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Economic assessment\4. Statistics\02 Pocket book\Pocketbook 2024 work files\PB2024\"/>
    </mc:Choice>
  </mc:AlternateContent>
  <xr:revisionPtr revIDLastSave="0" documentId="13_ncr:1_{BE1F8777-E785-4FD5-97B2-BC4F7208E929}" xr6:coauthVersionLast="47" xr6:coauthVersionMax="47" xr10:uidLastSave="{00000000-0000-0000-0000-000000000000}"/>
  <bookViews>
    <workbookView xWindow="-120" yWindow="-120" windowWidth="29040" windowHeight="15840" tabRatio="864" xr2:uid="{00000000-000D-0000-FFFF-FFFF00000000}"/>
  </bookViews>
  <sheets>
    <sheet name="T2.6" sheetId="174" r:id="rId1"/>
    <sheet name="motorisation" sheetId="112" r:id="rId2"/>
    <sheet name="stock_cars" sheetId="113" r:id="rId3"/>
    <sheet name="stock_bus" sheetId="114" state="hidden" r:id="rId4"/>
    <sheet name="stock_busses" sheetId="175" r:id="rId5"/>
    <sheet name="stock_goods" sheetId="115" r:id="rId6"/>
    <sheet name="stock_mbike" sheetId="116" r:id="rId7"/>
    <sheet name="car_reg_new" sheetId="176" r:id="rId8"/>
    <sheet name="com_reg" sheetId="177" r:id="rId9"/>
    <sheet name="bus_reg" sheetId="120" r:id="rId10"/>
    <sheet name="mbike_reg" sheetId="118" r:id="rId11"/>
    <sheet name="moped_del" sheetId="170" r:id="rId12"/>
    <sheet name="sea_fleet_eu" sheetId="124" r:id="rId13"/>
    <sheet name="sea_world_region" sheetId="125" r:id="rId14"/>
    <sheet name="sea_world_type" sheetId="173" r:id="rId15"/>
    <sheet name="aircraft_passeng" sheetId="126" r:id="rId16"/>
    <sheet name="aircraft_other" sheetId="127" r:id="rId17"/>
    <sheet name="stock_loco" sheetId="121" r:id="rId18"/>
    <sheet name="stock_railcar" sheetId="122" r:id="rId19"/>
    <sheet name="stock_railgood" sheetId="123" r:id="rId20"/>
  </sheets>
  <definedNames>
    <definedName name="A" localSheetId="0">'T2.6'!$A$65501</definedName>
    <definedName name="HTML1_1" hidden="1">"'[internet 98q4.xls]xcontact'!$A$1:$F$114"</definedName>
    <definedName name="HTML1_10" hidden="1">""</definedName>
    <definedName name="HTML1_11" hidden="1">1</definedName>
    <definedName name="HTML1_12" hidden="1">"D:\data\xl\MyHTML.htm"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"internet 98q4.xls"</definedName>
    <definedName name="HTML1_4" hidden="1">"xcontact"</definedName>
    <definedName name="HTML1_5" hidden="1">""</definedName>
    <definedName name="HTML1_6" hidden="1">-4146</definedName>
    <definedName name="HTML1_7" hidden="1">-4146</definedName>
    <definedName name="HTML1_8" hidden="1">"15/10/1998"</definedName>
    <definedName name="HTML1_9" hidden="1">"GEORGIADES"</definedName>
    <definedName name="HTML2_1" hidden="1">"'[internet 98q4.xls]xcontact'!$A$2:$F$114"</definedName>
    <definedName name="HTML2_10" hidden="1">""</definedName>
    <definedName name="HTML2_11" hidden="1">1</definedName>
    <definedName name="HTML2_12" hidden="1">"D:\data\xl\MyHTML.htm"</definedName>
    <definedName name="HTML2_13" hidden="1">#N/A</definedName>
    <definedName name="HTML2_14" hidden="1">#N/A</definedName>
    <definedName name="HTML2_15" hidden="1">#N/A</definedName>
    <definedName name="HTML2_2" hidden="1">1</definedName>
    <definedName name="HTML2_3" hidden="1">"internet 98q4.xls"</definedName>
    <definedName name="HTML2_4" hidden="1">"xcontact"</definedName>
    <definedName name="HTML2_5" hidden="1">""</definedName>
    <definedName name="HTML2_6" hidden="1">-4146</definedName>
    <definedName name="HTML2_7" hidden="1">-4146</definedName>
    <definedName name="HTML2_8" hidden="1">"15/10/1998"</definedName>
    <definedName name="HTML2_9" hidden="1">"GEORGIADES"</definedName>
    <definedName name="HTML3_1" hidden="1">"'[internet 98q4.xls]xlist3'!$A$3:$E$175"</definedName>
    <definedName name="HTML3_10" hidden="1">""</definedName>
    <definedName name="HTML3_11" hidden="1">-4146</definedName>
    <definedName name="HTML3_12" hidden="1">"D:\data\aaa html\national2.htm"</definedName>
    <definedName name="HTML3_13" hidden="1">#N/A</definedName>
    <definedName name="HTML3_14" hidden="1">#N/A</definedName>
    <definedName name="HTML3_15" hidden="1">#N/A</definedName>
    <definedName name="HTML3_2" hidden="1">1</definedName>
    <definedName name="HTML3_3" hidden="1">"internet 98q4.xls"</definedName>
    <definedName name="HTML3_4" hidden="1">"xlist3"</definedName>
    <definedName name="HTML3_5" hidden="1">""</definedName>
    <definedName name="HTML3_6" hidden="1">-4146</definedName>
    <definedName name="HTML3_7" hidden="1">-4146</definedName>
    <definedName name="HTML3_8" hidden="1">"15/10/1998"</definedName>
    <definedName name="HTML3_9" hidden="1">"GEORGIADES"</definedName>
    <definedName name="HTML4_1" hidden="1">"'[internet 98q4.xls]x1.2'!$B$5:$C$25"</definedName>
    <definedName name="HTML4_10" hidden="1">""</definedName>
    <definedName name="HTML4_11" hidden="1">1</definedName>
    <definedName name="HTML4_12" hidden="1">"D:\data\aaa html\test1.htm"</definedName>
    <definedName name="HTML4_13" hidden="1">#N/A</definedName>
    <definedName name="HTML4_14" hidden="1">#N/A</definedName>
    <definedName name="HTML4_15" hidden="1">#N/A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Count" hidden="1">4</definedName>
    <definedName name="_xlnm.Print_Area" localSheetId="16">aircraft_other!#REF!</definedName>
    <definedName name="_xlnm.Print_Area" localSheetId="15">aircraft_passeng!$B$1:$H$47</definedName>
    <definedName name="_xlnm.Print_Area" localSheetId="9">bus_reg!#REF!</definedName>
    <definedName name="_xlnm.Print_Area" localSheetId="10">mbike_reg!$B$1:$S$49</definedName>
    <definedName name="_xlnm.Print_Area" localSheetId="11">moped_del!$B$1:$AB$46</definedName>
    <definedName name="_xlnm.Print_Area" localSheetId="1">motorisation!$A$1:$AM$49</definedName>
    <definedName name="_xlnm.Print_Area" localSheetId="12">sea_fleet_eu!$B$1:$K$49</definedName>
    <definedName name="_xlnm.Print_Area" localSheetId="13">sea_world_region!$B$1:$L$21</definedName>
    <definedName name="_xlnm.Print_Area" localSheetId="14">sea_world_type!#REF!</definedName>
    <definedName name="_xlnm.Print_Area" localSheetId="3">stock_bus!$B$1:$Z$47</definedName>
    <definedName name="_xlnm.Print_Area" localSheetId="2">stock_cars!$A$1:$Z$50</definedName>
    <definedName name="_xlnm.Print_Area" localSheetId="5">stock_goods!$B$1:$Z$51</definedName>
    <definedName name="_xlnm.Print_Area" localSheetId="17">stock_loco!#REF!</definedName>
    <definedName name="_xlnm.Print_Area" localSheetId="6">stock_mbike!$B$1:$S$49</definedName>
    <definedName name="_xlnm.Print_Area" localSheetId="18">stock_railcar!$B$1:$AE$50</definedName>
    <definedName name="_xlnm.Print_Area" localSheetId="19">stock_railgood!$B$1:$N$48</definedName>
    <definedName name="_xlnm.Print_Area" localSheetId="0">'T2.6'!$A$1:$D$33</definedName>
    <definedName name="TABLE" localSheetId="17">stock_loco!#REF!</definedName>
    <definedName name="TABLE_2" localSheetId="17">stock_loco!#REF!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127" l="1"/>
  <c r="G8" i="127"/>
  <c r="F8" i="127"/>
  <c r="E8" i="127"/>
  <c r="D8" i="127"/>
  <c r="G44" i="126"/>
  <c r="G43" i="126"/>
  <c r="G42" i="126"/>
  <c r="G41" i="126"/>
  <c r="G40" i="126"/>
  <c r="G39" i="126"/>
  <c r="G38" i="126"/>
  <c r="G37" i="126"/>
  <c r="G36" i="126"/>
  <c r="G35" i="126"/>
  <c r="G34" i="126"/>
  <c r="G33" i="126"/>
  <c r="G32" i="126"/>
  <c r="G31" i="126"/>
  <c r="G30" i="126"/>
  <c r="G29" i="126"/>
  <c r="G28" i="126"/>
  <c r="G27" i="126"/>
  <c r="G26" i="126"/>
  <c r="G25" i="126"/>
  <c r="G24" i="126"/>
  <c r="G23" i="126"/>
  <c r="G22" i="126"/>
  <c r="G21" i="126"/>
  <c r="G20" i="126"/>
  <c r="G19" i="126"/>
  <c r="G18" i="126"/>
  <c r="G17" i="126"/>
  <c r="G16" i="126"/>
  <c r="G15" i="126"/>
  <c r="G14" i="126"/>
  <c r="G13" i="126"/>
  <c r="G12" i="126"/>
  <c r="G11" i="126"/>
  <c r="G10" i="126"/>
  <c r="G9" i="126"/>
  <c r="G7" i="126" s="1"/>
  <c r="G8" i="126"/>
  <c r="F7" i="126"/>
  <c r="E7" i="126"/>
  <c r="D7" i="126"/>
  <c r="C7" i="126"/>
  <c r="U7" i="120"/>
  <c r="AF25" i="177"/>
  <c r="L25" i="177" s="1"/>
  <c r="L7" i="177" s="1"/>
  <c r="AG25" i="177"/>
  <c r="M25" i="177" s="1"/>
  <c r="M7" i="177" s="1"/>
  <c r="AF37" i="177"/>
  <c r="AH29" i="177"/>
  <c r="AI29" i="177"/>
  <c r="AJ29" i="177"/>
  <c r="AK29" i="177"/>
  <c r="AL29" i="177"/>
  <c r="AM29" i="177"/>
  <c r="AN29" i="177"/>
  <c r="AO29" i="177"/>
  <c r="AG29" i="177"/>
  <c r="AG28" i="177"/>
  <c r="AH28" i="177"/>
  <c r="AI28" i="177"/>
  <c r="AJ28" i="177"/>
  <c r="AK28" i="177"/>
  <c r="AL28" i="177"/>
  <c r="AM28" i="177"/>
  <c r="AN28" i="177"/>
  <c r="AO28" i="177"/>
  <c r="AF28" i="177"/>
  <c r="N7" i="177"/>
  <c r="BS29" i="177"/>
  <c r="O7" i="116"/>
  <c r="H7" i="116"/>
  <c r="L18" i="173"/>
  <c r="G17" i="173"/>
  <c r="G18" i="173"/>
  <c r="G19" i="173"/>
  <c r="G20" i="173"/>
  <c r="G16" i="173"/>
  <c r="AG32" i="177" l="1"/>
  <c r="AH32" i="177"/>
  <c r="AI32" i="177"/>
  <c r="AJ32" i="177"/>
  <c r="AK32" i="177"/>
  <c r="AL32" i="177"/>
  <c r="AM32" i="177"/>
  <c r="AN32" i="177"/>
  <c r="AO32" i="177"/>
  <c r="AF32" i="177"/>
  <c r="AO8" i="177"/>
  <c r="CB8" i="177" s="1"/>
  <c r="T7" i="177"/>
  <c r="AD8" i="120" l="1"/>
  <c r="AD9" i="120"/>
  <c r="AD10" i="120"/>
  <c r="AD11" i="120"/>
  <c r="AD12" i="120"/>
  <c r="AD13" i="120"/>
  <c r="AD14" i="120"/>
  <c r="AD15" i="120"/>
  <c r="AD16" i="120"/>
  <c r="AD17" i="120"/>
  <c r="AD18" i="120"/>
  <c r="AD19" i="120"/>
  <c r="AD20" i="120"/>
  <c r="AD21" i="120"/>
  <c r="AD22" i="120"/>
  <c r="AD23" i="120"/>
  <c r="AD24" i="120"/>
  <c r="AD25" i="120"/>
  <c r="AD26" i="120"/>
  <c r="AD27" i="120"/>
  <c r="AD28" i="120"/>
  <c r="AD29" i="120"/>
  <c r="AD30" i="120"/>
  <c r="AD31" i="120"/>
  <c r="AD32" i="120"/>
  <c r="AD33" i="120"/>
  <c r="AD34" i="120"/>
  <c r="AD35" i="120"/>
  <c r="AD36" i="120"/>
  <c r="AD37" i="120"/>
  <c r="AD38" i="120"/>
  <c r="M7" i="120" l="1"/>
  <c r="N7" i="120"/>
  <c r="O7" i="120"/>
  <c r="P7" i="120"/>
  <c r="Q7" i="120"/>
  <c r="R7" i="120"/>
  <c r="S7" i="120"/>
  <c r="T7" i="120"/>
  <c r="L7" i="120"/>
  <c r="Z14" i="170"/>
  <c r="AA14" i="170" s="1"/>
  <c r="Z23" i="170"/>
  <c r="AA23" i="170" s="1"/>
  <c r="Z34" i="170"/>
  <c r="AA34" i="170" s="1"/>
  <c r="AA7" i="170"/>
  <c r="AA8" i="170"/>
  <c r="AA10" i="170"/>
  <c r="AA11" i="170"/>
  <c r="AA12" i="170"/>
  <c r="AA13" i="170"/>
  <c r="AA15" i="170"/>
  <c r="AA16" i="170"/>
  <c r="AA17" i="170"/>
  <c r="AA18" i="170"/>
  <c r="AA19" i="170"/>
  <c r="AA20" i="170"/>
  <c r="AA21" i="170"/>
  <c r="AA22" i="170"/>
  <c r="AA24" i="170"/>
  <c r="AA25" i="170"/>
  <c r="AA26" i="170"/>
  <c r="AA27" i="170"/>
  <c r="AA28" i="170"/>
  <c r="AA29" i="170"/>
  <c r="AA30" i="170"/>
  <c r="AA31" i="170"/>
  <c r="AA32" i="170"/>
  <c r="AA33" i="170"/>
  <c r="AA35" i="170"/>
  <c r="AA36" i="170"/>
  <c r="AA37" i="170"/>
  <c r="AA41" i="170"/>
  <c r="AA45" i="170"/>
  <c r="Z36" i="170"/>
  <c r="Z9" i="170"/>
  <c r="AA9" i="170" l="1"/>
  <c r="Z6" i="170"/>
  <c r="AD7" i="120"/>
  <c r="J33" i="173" l="1"/>
  <c r="E33" i="173"/>
  <c r="H33" i="173"/>
  <c r="L16" i="173"/>
  <c r="L17" i="173"/>
  <c r="J7" i="173"/>
  <c r="H7" i="173"/>
  <c r="E7" i="173"/>
  <c r="C7" i="173"/>
  <c r="AA14" i="125"/>
  <c r="AA13" i="125"/>
  <c r="AA12" i="125"/>
  <c r="AA10" i="125"/>
  <c r="AA9" i="125"/>
  <c r="AA7" i="125"/>
  <c r="C9" i="124"/>
  <c r="I9" i="124" s="1"/>
  <c r="D9" i="124"/>
  <c r="J9" i="124" s="1"/>
  <c r="C11" i="124"/>
  <c r="I11" i="124" s="1"/>
  <c r="D11" i="124"/>
  <c r="J11" i="124" s="1"/>
  <c r="C12" i="124"/>
  <c r="I12" i="124" s="1"/>
  <c r="D12" i="124"/>
  <c r="J12" i="124" s="1"/>
  <c r="C13" i="124"/>
  <c r="I13" i="124" s="1"/>
  <c r="D13" i="124"/>
  <c r="J13" i="124" s="1"/>
  <c r="C14" i="124"/>
  <c r="I14" i="124" s="1"/>
  <c r="D14" i="124"/>
  <c r="J14" i="124" s="1"/>
  <c r="C15" i="124"/>
  <c r="I15" i="124" s="1"/>
  <c r="D15" i="124"/>
  <c r="J15" i="124" s="1"/>
  <c r="C16" i="124"/>
  <c r="I16" i="124" s="1"/>
  <c r="D16" i="124"/>
  <c r="J16" i="124" s="1"/>
  <c r="C17" i="124"/>
  <c r="I17" i="124" s="1"/>
  <c r="D17" i="124"/>
  <c r="J17" i="124" s="1"/>
  <c r="C18" i="124"/>
  <c r="I18" i="124" s="1"/>
  <c r="D18" i="124"/>
  <c r="J18" i="124" s="1"/>
  <c r="C19" i="124"/>
  <c r="I19" i="124" s="1"/>
  <c r="D19" i="124"/>
  <c r="J19" i="124" s="1"/>
  <c r="C20" i="124"/>
  <c r="I20" i="124" s="1"/>
  <c r="D20" i="124"/>
  <c r="J20" i="124" s="1"/>
  <c r="C21" i="124"/>
  <c r="I21" i="124" s="1"/>
  <c r="D21" i="124"/>
  <c r="J21" i="124" s="1"/>
  <c r="C22" i="124"/>
  <c r="I22" i="124" s="1"/>
  <c r="D22" i="124"/>
  <c r="J22" i="124" s="1"/>
  <c r="C23" i="124"/>
  <c r="I23" i="124" s="1"/>
  <c r="D23" i="124"/>
  <c r="J23" i="124" s="1"/>
  <c r="C25" i="124"/>
  <c r="I25" i="124" s="1"/>
  <c r="D25" i="124"/>
  <c r="J25" i="124" s="1"/>
  <c r="C26" i="124"/>
  <c r="I26" i="124" s="1"/>
  <c r="D26" i="124"/>
  <c r="J26" i="124" s="1"/>
  <c r="C27" i="124"/>
  <c r="I27" i="124" s="1"/>
  <c r="D27" i="124"/>
  <c r="J27" i="124" s="1"/>
  <c r="C28" i="124"/>
  <c r="I28" i="124" s="1"/>
  <c r="D28" i="124"/>
  <c r="J28" i="124" s="1"/>
  <c r="C29" i="124"/>
  <c r="I29" i="124" s="1"/>
  <c r="D29" i="124"/>
  <c r="J29" i="124" s="1"/>
  <c r="C30" i="124"/>
  <c r="I30" i="124" s="1"/>
  <c r="D30" i="124"/>
  <c r="J30" i="124" s="1"/>
  <c r="C31" i="124"/>
  <c r="I31" i="124" s="1"/>
  <c r="D31" i="124"/>
  <c r="J31" i="124" s="1"/>
  <c r="C33" i="124"/>
  <c r="I33" i="124" s="1"/>
  <c r="D33" i="124"/>
  <c r="J33" i="124" s="1"/>
  <c r="C34" i="124"/>
  <c r="I34" i="124" s="1"/>
  <c r="D34" i="124"/>
  <c r="J34" i="124" s="1"/>
  <c r="C35" i="124"/>
  <c r="I35" i="124" s="1"/>
  <c r="D35" i="124"/>
  <c r="J35" i="124" s="1"/>
  <c r="C36" i="124"/>
  <c r="I36" i="124" s="1"/>
  <c r="D36" i="124"/>
  <c r="J36" i="124" s="1"/>
  <c r="C37" i="124"/>
  <c r="I37" i="124" s="1"/>
  <c r="D37" i="124"/>
  <c r="J37" i="124" s="1"/>
  <c r="C39" i="124"/>
  <c r="I39" i="124" s="1"/>
  <c r="D39" i="124"/>
  <c r="J39" i="124" s="1"/>
  <c r="C41" i="124"/>
  <c r="I41" i="124" s="1"/>
  <c r="D41" i="124"/>
  <c r="J41" i="124" s="1"/>
  <c r="C42" i="124"/>
  <c r="I42" i="124" s="1"/>
  <c r="D42" i="124"/>
  <c r="J42" i="124" s="1"/>
  <c r="C43" i="124"/>
  <c r="I43" i="124" s="1"/>
  <c r="D43" i="124"/>
  <c r="J43" i="124" s="1"/>
  <c r="C44" i="124"/>
  <c r="I44" i="124" s="1"/>
  <c r="D44" i="124"/>
  <c r="J44" i="124" s="1"/>
  <c r="C45" i="124"/>
  <c r="I45" i="124" s="1"/>
  <c r="D45" i="124"/>
  <c r="J45" i="124" s="1"/>
  <c r="C46" i="124"/>
  <c r="I46" i="124" s="1"/>
  <c r="D46" i="124"/>
  <c r="J46" i="124" s="1"/>
  <c r="C47" i="124"/>
  <c r="I47" i="124" s="1"/>
  <c r="D47" i="124"/>
  <c r="J47" i="124" s="1"/>
  <c r="D8" i="124"/>
  <c r="J8" i="124" s="1"/>
  <c r="C8" i="124"/>
  <c r="I8" i="124" s="1"/>
  <c r="C7" i="124" l="1"/>
  <c r="AA11" i="125"/>
  <c r="CA15" i="177"/>
  <c r="AO9" i="177"/>
  <c r="CB9" i="177" s="1"/>
  <c r="AO10" i="177"/>
  <c r="CB10" i="177" s="1"/>
  <c r="AO11" i="177"/>
  <c r="CB11" i="177" s="1"/>
  <c r="AO12" i="177"/>
  <c r="CB12" i="177" s="1"/>
  <c r="AO13" i="177"/>
  <c r="CB13" i="177" s="1"/>
  <c r="AO14" i="177"/>
  <c r="CB14" i="177" s="1"/>
  <c r="CB15" i="177"/>
  <c r="CC15" i="177" s="1"/>
  <c r="AO16" i="177"/>
  <c r="CB16" i="177" s="1"/>
  <c r="AO17" i="177"/>
  <c r="CB17" i="177" s="1"/>
  <c r="AO18" i="177"/>
  <c r="CB18" i="177" s="1"/>
  <c r="AO19" i="177"/>
  <c r="CB19" i="177" s="1"/>
  <c r="AO20" i="177"/>
  <c r="CB20" i="177" s="1"/>
  <c r="AO21" i="177"/>
  <c r="CB21" i="177" s="1"/>
  <c r="AO22" i="177"/>
  <c r="CB22" i="177" s="1"/>
  <c r="AO23" i="177"/>
  <c r="CB23" i="177" s="1"/>
  <c r="AO24" i="177"/>
  <c r="CB24" i="177" s="1"/>
  <c r="AO25" i="177"/>
  <c r="CB25" i="177" s="1"/>
  <c r="AO26" i="177"/>
  <c r="CB26" i="177" s="1"/>
  <c r="AO27" i="177"/>
  <c r="CB27" i="177" s="1"/>
  <c r="CB30" i="177"/>
  <c r="CB31" i="177"/>
  <c r="CB32" i="177"/>
  <c r="AO33" i="177"/>
  <c r="CB33" i="177" s="1"/>
  <c r="AO34" i="177"/>
  <c r="CB34" i="177" s="1"/>
  <c r="AO36" i="177"/>
  <c r="CB36" i="177" s="1"/>
  <c r="AO37" i="177"/>
  <c r="CB37" i="177" s="1"/>
  <c r="AO38" i="177"/>
  <c r="CB38" i="177" s="1"/>
  <c r="U7" i="177"/>
  <c r="CB7" i="177" l="1"/>
  <c r="CB35" i="177"/>
  <c r="CB29" i="177"/>
  <c r="CB28" i="177"/>
  <c r="AO7" i="177"/>
  <c r="Z42" i="170"/>
  <c r="AE40" i="122" l="1"/>
  <c r="AE38" i="121"/>
  <c r="AE39" i="121"/>
  <c r="AE40" i="121"/>
  <c r="AE42" i="121"/>
  <c r="AE36" i="121"/>
  <c r="AE7" i="122"/>
  <c r="AE8" i="122"/>
  <c r="AE9" i="122"/>
  <c r="AE10" i="122"/>
  <c r="AE11" i="122"/>
  <c r="AE13" i="122"/>
  <c r="AE15" i="122"/>
  <c r="AE16" i="122"/>
  <c r="AE20" i="122"/>
  <c r="AE21" i="122"/>
  <c r="AE22" i="122"/>
  <c r="AE24" i="122"/>
  <c r="AE25" i="122"/>
  <c r="AE26" i="122"/>
  <c r="AE27" i="122"/>
  <c r="AE28" i="122"/>
  <c r="AE29" i="122"/>
  <c r="AE32" i="122"/>
  <c r="AE36" i="122"/>
  <c r="AE37" i="122"/>
  <c r="AE38" i="122"/>
  <c r="AE39" i="122"/>
  <c r="AE43" i="122"/>
  <c r="AE44" i="122"/>
  <c r="AB35" i="122"/>
  <c r="AE35" i="122" s="1"/>
  <c r="L22" i="122"/>
  <c r="M22" i="122" s="1"/>
  <c r="AB17" i="122"/>
  <c r="AE17" i="122" s="1"/>
  <c r="AB42" i="122"/>
  <c r="AE42" i="122" s="1"/>
  <c r="N38" i="121"/>
  <c r="AB41" i="121"/>
  <c r="AE6" i="121"/>
  <c r="AE7" i="121"/>
  <c r="AE8" i="121"/>
  <c r="AE9" i="121"/>
  <c r="AE10" i="121"/>
  <c r="AE11" i="121"/>
  <c r="AE13" i="121"/>
  <c r="AE14" i="121"/>
  <c r="AE15" i="121"/>
  <c r="AE16" i="121"/>
  <c r="AE17" i="121"/>
  <c r="AE19" i="121"/>
  <c r="AE20" i="121"/>
  <c r="AE21" i="121"/>
  <c r="AE22" i="121"/>
  <c r="AE24" i="121"/>
  <c r="AE25" i="121"/>
  <c r="AE26" i="121"/>
  <c r="AE27" i="121"/>
  <c r="AE28" i="121"/>
  <c r="AE29" i="121"/>
  <c r="AE30" i="121"/>
  <c r="AE32" i="121"/>
  <c r="AB35" i="121"/>
  <c r="AE35" i="121" s="1"/>
  <c r="E9" i="121" l="1"/>
  <c r="AD42" i="116" l="1"/>
  <c r="AD40" i="116"/>
  <c r="AD36" i="116"/>
  <c r="AD29" i="116" l="1"/>
  <c r="AD24" i="116"/>
  <c r="AD12" i="116"/>
  <c r="AD15" i="116"/>
  <c r="AD33" i="116" l="1"/>
  <c r="AE33" i="116" s="1"/>
  <c r="AE8" i="116"/>
  <c r="AE9" i="116"/>
  <c r="AE10" i="116"/>
  <c r="AE11" i="116"/>
  <c r="AE12" i="116"/>
  <c r="AE13" i="116"/>
  <c r="AE14" i="116"/>
  <c r="AE15" i="116"/>
  <c r="AE16" i="116"/>
  <c r="AE17" i="116"/>
  <c r="AE18" i="116"/>
  <c r="AE19" i="116"/>
  <c r="AE20" i="116"/>
  <c r="AE21" i="116"/>
  <c r="AE22" i="116"/>
  <c r="AE23" i="116"/>
  <c r="AE24" i="116"/>
  <c r="AE25" i="116"/>
  <c r="AE26" i="116"/>
  <c r="AE27" i="116"/>
  <c r="AE28" i="116"/>
  <c r="AE29" i="116"/>
  <c r="AE30" i="116"/>
  <c r="AE31" i="116"/>
  <c r="AE32" i="116"/>
  <c r="AE34" i="116"/>
  <c r="AE35" i="116"/>
  <c r="AE36" i="116"/>
  <c r="AE37" i="116"/>
  <c r="AE38" i="116"/>
  <c r="AE39" i="116"/>
  <c r="AE40" i="116"/>
  <c r="AE41" i="116"/>
  <c r="AE42" i="116"/>
  <c r="AE43" i="116"/>
  <c r="AE44" i="116"/>
  <c r="AE45" i="116"/>
  <c r="AE47" i="116"/>
  <c r="AD7" i="116" l="1"/>
  <c r="O7" i="177"/>
  <c r="P7" i="177"/>
  <c r="Q7" i="177"/>
  <c r="R7" i="177"/>
  <c r="S7" i="177"/>
  <c r="AF8" i="177"/>
  <c r="AG8" i="177"/>
  <c r="AH8" i="177"/>
  <c r="AI8" i="177"/>
  <c r="BV8" i="177" s="1"/>
  <c r="AJ8" i="177"/>
  <c r="BW8" i="177" s="1"/>
  <c r="AK8" i="177"/>
  <c r="BX8" i="177" s="1"/>
  <c r="AL8" i="177"/>
  <c r="BY8" i="177" s="1"/>
  <c r="AM8" i="177"/>
  <c r="BZ8" i="177" s="1"/>
  <c r="AN8" i="177"/>
  <c r="BJ8" i="177"/>
  <c r="BK8" i="177"/>
  <c r="BL8" i="177"/>
  <c r="BM8" i="177"/>
  <c r="BN8" i="177"/>
  <c r="BO8" i="177"/>
  <c r="BP8" i="177"/>
  <c r="BQ8" i="177"/>
  <c r="BR8" i="177"/>
  <c r="AF9" i="177"/>
  <c r="BS9" i="177" s="1"/>
  <c r="AG9" i="177"/>
  <c r="BT9" i="177" s="1"/>
  <c r="AH9" i="177"/>
  <c r="BU9" i="177" s="1"/>
  <c r="AI9" i="177"/>
  <c r="BV9" i="177" s="1"/>
  <c r="AJ9" i="177"/>
  <c r="BW9" i="177" s="1"/>
  <c r="AK9" i="177"/>
  <c r="BX9" i="177" s="1"/>
  <c r="AL9" i="177"/>
  <c r="BY9" i="177" s="1"/>
  <c r="AM9" i="177"/>
  <c r="BZ9" i="177" s="1"/>
  <c r="AN9" i="177"/>
  <c r="CA9" i="177" s="1"/>
  <c r="CC9" i="177" s="1"/>
  <c r="AF10" i="177"/>
  <c r="BS10" i="177" s="1"/>
  <c r="AG10" i="177"/>
  <c r="BT10" i="177" s="1"/>
  <c r="AH10" i="177"/>
  <c r="BU10" i="177" s="1"/>
  <c r="AI10" i="177"/>
  <c r="BV10" i="177" s="1"/>
  <c r="AJ10" i="177"/>
  <c r="BW10" i="177" s="1"/>
  <c r="AK10" i="177"/>
  <c r="BX10" i="177" s="1"/>
  <c r="AL10" i="177"/>
  <c r="BY10" i="177" s="1"/>
  <c r="AM10" i="177"/>
  <c r="BZ10" i="177" s="1"/>
  <c r="AN10" i="177"/>
  <c r="CA10" i="177" s="1"/>
  <c r="CC10" i="177" s="1"/>
  <c r="BJ10" i="177"/>
  <c r="BK10" i="177"/>
  <c r="BL10" i="177"/>
  <c r="BM10" i="177"/>
  <c r="BN10" i="177"/>
  <c r="BO10" i="177"/>
  <c r="BP10" i="177"/>
  <c r="BQ10" i="177"/>
  <c r="BR10" i="177"/>
  <c r="AF11" i="177"/>
  <c r="BS11" i="177" s="1"/>
  <c r="AG11" i="177"/>
  <c r="BT11" i="177" s="1"/>
  <c r="AH11" i="177"/>
  <c r="BU11" i="177" s="1"/>
  <c r="AI11" i="177"/>
  <c r="BV11" i="177" s="1"/>
  <c r="AJ11" i="177"/>
  <c r="BW11" i="177" s="1"/>
  <c r="AK11" i="177"/>
  <c r="BX11" i="177" s="1"/>
  <c r="AL11" i="177"/>
  <c r="BY11" i="177" s="1"/>
  <c r="AM11" i="177"/>
  <c r="BZ11" i="177" s="1"/>
  <c r="AN11" i="177"/>
  <c r="CA11" i="177" s="1"/>
  <c r="CC11" i="177" s="1"/>
  <c r="BJ11" i="177"/>
  <c r="BK11" i="177"/>
  <c r="BL11" i="177"/>
  <c r="BM11" i="177"/>
  <c r="BN11" i="177"/>
  <c r="BO11" i="177"/>
  <c r="BP11" i="177"/>
  <c r="BQ11" i="177"/>
  <c r="BR11" i="177"/>
  <c r="AF12" i="177"/>
  <c r="BS12" i="177" s="1"/>
  <c r="AG12" i="177"/>
  <c r="BT12" i="177" s="1"/>
  <c r="AH12" i="177"/>
  <c r="BU12" i="177" s="1"/>
  <c r="AI12" i="177"/>
  <c r="BV12" i="177" s="1"/>
  <c r="AJ12" i="177"/>
  <c r="BW12" i="177" s="1"/>
  <c r="AK12" i="177"/>
  <c r="BX12" i="177" s="1"/>
  <c r="AL12" i="177"/>
  <c r="BY12" i="177" s="1"/>
  <c r="AM12" i="177"/>
  <c r="BZ12" i="177" s="1"/>
  <c r="AN12" i="177"/>
  <c r="CA12" i="177" s="1"/>
  <c r="CC12" i="177" s="1"/>
  <c r="BJ12" i="177"/>
  <c r="BK12" i="177"/>
  <c r="BL12" i="177"/>
  <c r="BM12" i="177"/>
  <c r="BN12" i="177"/>
  <c r="BO12" i="177"/>
  <c r="BP12" i="177"/>
  <c r="BQ12" i="177"/>
  <c r="BR12" i="177"/>
  <c r="AF13" i="177"/>
  <c r="BS13" i="177" s="1"/>
  <c r="AG13" i="177"/>
  <c r="BT13" i="177" s="1"/>
  <c r="AH13" i="177"/>
  <c r="BU13" i="177" s="1"/>
  <c r="AI13" i="177"/>
  <c r="BV13" i="177" s="1"/>
  <c r="AJ13" i="177"/>
  <c r="BW13" i="177" s="1"/>
  <c r="AK13" i="177"/>
  <c r="BX13" i="177" s="1"/>
  <c r="AL13" i="177"/>
  <c r="BY13" i="177" s="1"/>
  <c r="AM13" i="177"/>
  <c r="BZ13" i="177" s="1"/>
  <c r="AN13" i="177"/>
  <c r="CA13" i="177" s="1"/>
  <c r="CC13" i="177" s="1"/>
  <c r="BJ13" i="177"/>
  <c r="BK13" i="177"/>
  <c r="BL13" i="177"/>
  <c r="BM13" i="177"/>
  <c r="BN13" i="177"/>
  <c r="BO13" i="177"/>
  <c r="BP13" i="177"/>
  <c r="BQ13" i="177"/>
  <c r="BR13" i="177"/>
  <c r="AF14" i="177"/>
  <c r="BS14" i="177" s="1"/>
  <c r="AG14" i="177"/>
  <c r="BT14" i="177" s="1"/>
  <c r="AH14" i="177"/>
  <c r="BU14" i="177" s="1"/>
  <c r="AI14" i="177"/>
  <c r="BV14" i="177" s="1"/>
  <c r="AJ14" i="177"/>
  <c r="BW14" i="177" s="1"/>
  <c r="AK14" i="177"/>
  <c r="BX14" i="177" s="1"/>
  <c r="AL14" i="177"/>
  <c r="AM14" i="177"/>
  <c r="BZ14" i="177" s="1"/>
  <c r="AN14" i="177"/>
  <c r="CA14" i="177" s="1"/>
  <c r="CC14" i="177" s="1"/>
  <c r="BJ14" i="177"/>
  <c r="BK14" i="177"/>
  <c r="BL14" i="177"/>
  <c r="BM14" i="177"/>
  <c r="BN14" i="177"/>
  <c r="BO14" i="177"/>
  <c r="BP14" i="177"/>
  <c r="BQ14" i="177"/>
  <c r="BR14" i="177"/>
  <c r="BJ15" i="177"/>
  <c r="BK15" i="177"/>
  <c r="BL15" i="177"/>
  <c r="BM15" i="177"/>
  <c r="BN15" i="177"/>
  <c r="BO15" i="177"/>
  <c r="BP15" i="177"/>
  <c r="BQ15" i="177"/>
  <c r="BR15" i="177"/>
  <c r="BS15" i="177"/>
  <c r="BT15" i="177"/>
  <c r="BU15" i="177"/>
  <c r="BV15" i="177"/>
  <c r="BW15" i="177"/>
  <c r="BX15" i="177"/>
  <c r="BY15" i="177"/>
  <c r="BZ15" i="177"/>
  <c r="AG16" i="177"/>
  <c r="BT16" i="177" s="1"/>
  <c r="AH16" i="177"/>
  <c r="BU16" i="177" s="1"/>
  <c r="AI16" i="177"/>
  <c r="BV16" i="177" s="1"/>
  <c r="AJ16" i="177"/>
  <c r="BW16" i="177" s="1"/>
  <c r="AK16" i="177"/>
  <c r="BX16" i="177" s="1"/>
  <c r="AL16" i="177"/>
  <c r="BY16" i="177" s="1"/>
  <c r="AM16" i="177"/>
  <c r="BZ16" i="177" s="1"/>
  <c r="AN16" i="177"/>
  <c r="CA16" i="177" s="1"/>
  <c r="CC16" i="177" s="1"/>
  <c r="BJ16" i="177"/>
  <c r="BK16" i="177"/>
  <c r="BL16" i="177"/>
  <c r="BM16" i="177"/>
  <c r="BN16" i="177"/>
  <c r="BO16" i="177"/>
  <c r="BP16" i="177"/>
  <c r="BQ16" i="177"/>
  <c r="BR16" i="177"/>
  <c r="BS16" i="177"/>
  <c r="AF17" i="177"/>
  <c r="BS17" i="177" s="1"/>
  <c r="AG17" i="177"/>
  <c r="BT17" i="177" s="1"/>
  <c r="AH17" i="177"/>
  <c r="BU17" i="177" s="1"/>
  <c r="AI17" i="177"/>
  <c r="BV17" i="177" s="1"/>
  <c r="AJ17" i="177"/>
  <c r="BW17" i="177" s="1"/>
  <c r="AK17" i="177"/>
  <c r="BX17" i="177" s="1"/>
  <c r="AL17" i="177"/>
  <c r="BY17" i="177" s="1"/>
  <c r="AM17" i="177"/>
  <c r="BZ17" i="177" s="1"/>
  <c r="AN17" i="177"/>
  <c r="CA17" i="177" s="1"/>
  <c r="CC17" i="177" s="1"/>
  <c r="BJ17" i="177"/>
  <c r="BK17" i="177"/>
  <c r="BL17" i="177"/>
  <c r="BM17" i="177"/>
  <c r="BN17" i="177"/>
  <c r="BO17" i="177"/>
  <c r="BP17" i="177"/>
  <c r="BQ17" i="177"/>
  <c r="BR17" i="177"/>
  <c r="AN18" i="177"/>
  <c r="BS18" i="177"/>
  <c r="BT18" i="177"/>
  <c r="BU18" i="177"/>
  <c r="BV18" i="177"/>
  <c r="BW18" i="177"/>
  <c r="BX18" i="177"/>
  <c r="BY18" i="177"/>
  <c r="BZ18" i="177"/>
  <c r="AF19" i="177"/>
  <c r="BS19" i="177" s="1"/>
  <c r="AG19" i="177"/>
  <c r="BT19" i="177" s="1"/>
  <c r="AH19" i="177"/>
  <c r="BU19" i="177" s="1"/>
  <c r="AI19" i="177"/>
  <c r="BV19" i="177" s="1"/>
  <c r="AJ19" i="177"/>
  <c r="BW19" i="177" s="1"/>
  <c r="AK19" i="177"/>
  <c r="BX19" i="177" s="1"/>
  <c r="AL19" i="177"/>
  <c r="BY19" i="177" s="1"/>
  <c r="AM19" i="177"/>
  <c r="BZ19" i="177" s="1"/>
  <c r="AN19" i="177"/>
  <c r="BJ19" i="177"/>
  <c r="BK19" i="177"/>
  <c r="BL19" i="177"/>
  <c r="BM19" i="177"/>
  <c r="BN19" i="177"/>
  <c r="BO19" i="177"/>
  <c r="BP19" i="177"/>
  <c r="BQ19" i="177"/>
  <c r="BR19" i="177"/>
  <c r="AF20" i="177"/>
  <c r="BS20" i="177" s="1"/>
  <c r="AG20" i="177"/>
  <c r="BT20" i="177" s="1"/>
  <c r="AH20" i="177"/>
  <c r="BU20" i="177" s="1"/>
  <c r="AI20" i="177"/>
  <c r="BV20" i="177" s="1"/>
  <c r="AJ20" i="177"/>
  <c r="BW20" i="177" s="1"/>
  <c r="AK20" i="177"/>
  <c r="BX20" i="177" s="1"/>
  <c r="AL20" i="177"/>
  <c r="BY20" i="177" s="1"/>
  <c r="AM20" i="177"/>
  <c r="BZ20" i="177" s="1"/>
  <c r="AN20" i="177"/>
  <c r="AF21" i="177"/>
  <c r="BS21" i="177" s="1"/>
  <c r="AG21" i="177"/>
  <c r="BT21" i="177" s="1"/>
  <c r="AH21" i="177"/>
  <c r="BU21" i="177" s="1"/>
  <c r="AI21" i="177"/>
  <c r="BV21" i="177" s="1"/>
  <c r="AJ21" i="177"/>
  <c r="BW21" i="177" s="1"/>
  <c r="AK21" i="177"/>
  <c r="BX21" i="177" s="1"/>
  <c r="AL21" i="177"/>
  <c r="BY21" i="177" s="1"/>
  <c r="AM21" i="177"/>
  <c r="BZ21" i="177" s="1"/>
  <c r="AN21" i="177"/>
  <c r="BJ21" i="177"/>
  <c r="BK21" i="177"/>
  <c r="BL21" i="177"/>
  <c r="BM21" i="177"/>
  <c r="BN21" i="177"/>
  <c r="BO21" i="177"/>
  <c r="BP21" i="177"/>
  <c r="BQ21" i="177"/>
  <c r="BR21" i="177"/>
  <c r="AF22" i="177"/>
  <c r="BS22" i="177" s="1"/>
  <c r="AG22" i="177"/>
  <c r="BT22" i="177" s="1"/>
  <c r="AH22" i="177"/>
  <c r="BU22" i="177" s="1"/>
  <c r="AI22" i="177"/>
  <c r="BV22" i="177" s="1"/>
  <c r="AJ22" i="177"/>
  <c r="BW22" i="177" s="1"/>
  <c r="AK22" i="177"/>
  <c r="BX22" i="177" s="1"/>
  <c r="AL22" i="177"/>
  <c r="BY22" i="177" s="1"/>
  <c r="AM22" i="177"/>
  <c r="BZ22" i="177" s="1"/>
  <c r="AN22" i="177"/>
  <c r="CA22" i="177" s="1"/>
  <c r="CC22" i="177" s="1"/>
  <c r="BJ22" i="177"/>
  <c r="BK22" i="177"/>
  <c r="BL22" i="177"/>
  <c r="BM22" i="177"/>
  <c r="BN22" i="177"/>
  <c r="BO22" i="177"/>
  <c r="BP22" i="177"/>
  <c r="BQ22" i="177"/>
  <c r="BR22" i="177"/>
  <c r="AF23" i="177"/>
  <c r="BS23" i="177" s="1"/>
  <c r="AG23" i="177"/>
  <c r="BT23" i="177" s="1"/>
  <c r="AH23" i="177"/>
  <c r="BU23" i="177" s="1"/>
  <c r="AI23" i="177"/>
  <c r="BV23" i="177" s="1"/>
  <c r="AJ23" i="177"/>
  <c r="BW23" i="177" s="1"/>
  <c r="AK23" i="177"/>
  <c r="BX23" i="177" s="1"/>
  <c r="AL23" i="177"/>
  <c r="BY23" i="177" s="1"/>
  <c r="AM23" i="177"/>
  <c r="BZ23" i="177" s="1"/>
  <c r="AN23" i="177"/>
  <c r="CA23" i="177" s="1"/>
  <c r="CC23" i="177" s="1"/>
  <c r="BJ23" i="177"/>
  <c r="BK23" i="177"/>
  <c r="BL23" i="177"/>
  <c r="BM23" i="177"/>
  <c r="BN23" i="177"/>
  <c r="BO23" i="177"/>
  <c r="BP23" i="177"/>
  <c r="BQ23" i="177"/>
  <c r="BR23" i="177"/>
  <c r="AF24" i="177"/>
  <c r="BS24" i="177" s="1"/>
  <c r="AG24" i="177"/>
  <c r="BT24" i="177" s="1"/>
  <c r="AH24" i="177"/>
  <c r="BU24" i="177" s="1"/>
  <c r="AI24" i="177"/>
  <c r="BV24" i="177" s="1"/>
  <c r="AJ24" i="177"/>
  <c r="BW24" i="177" s="1"/>
  <c r="AK24" i="177"/>
  <c r="BX24" i="177" s="1"/>
  <c r="AL24" i="177"/>
  <c r="BY24" i="177" s="1"/>
  <c r="AM24" i="177"/>
  <c r="BZ24" i="177" s="1"/>
  <c r="AN24" i="177"/>
  <c r="BJ24" i="177"/>
  <c r="BK24" i="177"/>
  <c r="BL24" i="177"/>
  <c r="BM24" i="177"/>
  <c r="BN24" i="177"/>
  <c r="BO24" i="177"/>
  <c r="BP24" i="177"/>
  <c r="BQ24" i="177"/>
  <c r="BR24" i="177"/>
  <c r="AH25" i="177"/>
  <c r="BU25" i="177" s="1"/>
  <c r="AI25" i="177"/>
  <c r="BV25" i="177" s="1"/>
  <c r="AJ25" i="177"/>
  <c r="BW25" i="177" s="1"/>
  <c r="AK25" i="177"/>
  <c r="BX25" i="177" s="1"/>
  <c r="AL25" i="177"/>
  <c r="BY25" i="177" s="1"/>
  <c r="AM25" i="177"/>
  <c r="BZ25" i="177" s="1"/>
  <c r="AN25" i="177"/>
  <c r="AF26" i="177"/>
  <c r="BS26" i="177" s="1"/>
  <c r="AG26" i="177"/>
  <c r="BT26" i="177" s="1"/>
  <c r="AH26" i="177"/>
  <c r="BU26" i="177" s="1"/>
  <c r="AI26" i="177"/>
  <c r="BV26" i="177" s="1"/>
  <c r="AJ26" i="177"/>
  <c r="BW26" i="177" s="1"/>
  <c r="AK26" i="177"/>
  <c r="BX26" i="177" s="1"/>
  <c r="AL26" i="177"/>
  <c r="BY26" i="177" s="1"/>
  <c r="AM26" i="177"/>
  <c r="BZ26" i="177" s="1"/>
  <c r="AN26" i="177"/>
  <c r="CA26" i="177" s="1"/>
  <c r="CC26" i="177" s="1"/>
  <c r="BJ26" i="177"/>
  <c r="BK26" i="177"/>
  <c r="BL26" i="177"/>
  <c r="BM26" i="177"/>
  <c r="BN26" i="177"/>
  <c r="BO26" i="177"/>
  <c r="BP26" i="177"/>
  <c r="BQ26" i="177"/>
  <c r="BR26" i="177"/>
  <c r="AF27" i="177"/>
  <c r="BS27" i="177" s="1"/>
  <c r="AG27" i="177"/>
  <c r="BT27" i="177" s="1"/>
  <c r="AH27" i="177"/>
  <c r="BU27" i="177" s="1"/>
  <c r="AI27" i="177"/>
  <c r="BV27" i="177" s="1"/>
  <c r="AJ27" i="177"/>
  <c r="BW27" i="177" s="1"/>
  <c r="AK27" i="177"/>
  <c r="BX27" i="177" s="1"/>
  <c r="AL27" i="177"/>
  <c r="BY27" i="177" s="1"/>
  <c r="AM27" i="177"/>
  <c r="BZ27" i="177" s="1"/>
  <c r="AN27" i="177"/>
  <c r="BJ27" i="177"/>
  <c r="BK27" i="177"/>
  <c r="BL27" i="177"/>
  <c r="BM27" i="177"/>
  <c r="BN27" i="177"/>
  <c r="BO27" i="177"/>
  <c r="BP27" i="177"/>
  <c r="BQ27" i="177"/>
  <c r="BR27" i="177"/>
  <c r="BJ28" i="177"/>
  <c r="BK28" i="177"/>
  <c r="BL28" i="177"/>
  <c r="BM28" i="177"/>
  <c r="BN28" i="177"/>
  <c r="BO28" i="177"/>
  <c r="BP28" i="177"/>
  <c r="BQ28" i="177"/>
  <c r="BR28" i="177"/>
  <c r="BS28" i="177"/>
  <c r="BT28" i="177"/>
  <c r="BU28" i="177"/>
  <c r="BV28" i="177"/>
  <c r="BW28" i="177"/>
  <c r="BX28" i="177"/>
  <c r="BY28" i="177"/>
  <c r="BZ28" i="177"/>
  <c r="CA28" i="177"/>
  <c r="CC28" i="177" s="1"/>
  <c r="BJ29" i="177"/>
  <c r="BK29" i="177"/>
  <c r="BL29" i="177"/>
  <c r="BM29" i="177"/>
  <c r="BN29" i="177"/>
  <c r="BO29" i="177"/>
  <c r="BP29" i="177"/>
  <c r="BQ29" i="177"/>
  <c r="BR29" i="177"/>
  <c r="BT29" i="177"/>
  <c r="BU29" i="177"/>
  <c r="BV29" i="177"/>
  <c r="BW29" i="177"/>
  <c r="BX29" i="177"/>
  <c r="BY29" i="177"/>
  <c r="BZ29" i="177"/>
  <c r="BL30" i="177"/>
  <c r="BM30" i="177"/>
  <c r="BN30" i="177"/>
  <c r="BO30" i="177"/>
  <c r="BP30" i="177"/>
  <c r="BQ30" i="177"/>
  <c r="BR30" i="177"/>
  <c r="BS30" i="177"/>
  <c r="BT30" i="177"/>
  <c r="BU30" i="177"/>
  <c r="BV30" i="177"/>
  <c r="BW30" i="177"/>
  <c r="BX30" i="177"/>
  <c r="BY30" i="177"/>
  <c r="BZ30" i="177"/>
  <c r="CA30" i="177"/>
  <c r="CC30" i="177" s="1"/>
  <c r="BJ31" i="177"/>
  <c r="BK31" i="177"/>
  <c r="BL31" i="177"/>
  <c r="BM31" i="177"/>
  <c r="BN31" i="177"/>
  <c r="BO31" i="177"/>
  <c r="BP31" i="177"/>
  <c r="BQ31" i="177"/>
  <c r="BR31" i="177"/>
  <c r="BS31" i="177"/>
  <c r="BT31" i="177"/>
  <c r="BU31" i="177"/>
  <c r="BV31" i="177"/>
  <c r="BW31" i="177"/>
  <c r="BX31" i="177"/>
  <c r="BY31" i="177"/>
  <c r="BZ31" i="177"/>
  <c r="CA31" i="177"/>
  <c r="CC31" i="177" s="1"/>
  <c r="BJ32" i="177"/>
  <c r="BK32" i="177"/>
  <c r="BL32" i="177"/>
  <c r="BM32" i="177"/>
  <c r="BN32" i="177"/>
  <c r="BO32" i="177"/>
  <c r="BP32" i="177"/>
  <c r="BQ32" i="177"/>
  <c r="BR32" i="177"/>
  <c r="BS32" i="177"/>
  <c r="BT32" i="177"/>
  <c r="BU32" i="177"/>
  <c r="BV32" i="177"/>
  <c r="BW32" i="177"/>
  <c r="BX32" i="177"/>
  <c r="BY32" i="177"/>
  <c r="BZ32" i="177"/>
  <c r="CA32" i="177"/>
  <c r="CC32" i="177" s="1"/>
  <c r="AF33" i="177"/>
  <c r="BS33" i="177" s="1"/>
  <c r="AG33" i="177"/>
  <c r="BT33" i="177" s="1"/>
  <c r="AH33" i="177"/>
  <c r="BU33" i="177" s="1"/>
  <c r="AI33" i="177"/>
  <c r="BV33" i="177" s="1"/>
  <c r="AJ33" i="177"/>
  <c r="BW33" i="177" s="1"/>
  <c r="AK33" i="177"/>
  <c r="BX33" i="177" s="1"/>
  <c r="AL33" i="177"/>
  <c r="BY33" i="177" s="1"/>
  <c r="AM33" i="177"/>
  <c r="BZ33" i="177" s="1"/>
  <c r="AN33" i="177"/>
  <c r="BJ33" i="177"/>
  <c r="BK33" i="177"/>
  <c r="BL33" i="177"/>
  <c r="BM33" i="177"/>
  <c r="BN33" i="177"/>
  <c r="BO33" i="177"/>
  <c r="BP33" i="177"/>
  <c r="BQ33" i="177"/>
  <c r="BR33" i="177"/>
  <c r="AF34" i="177"/>
  <c r="BS34" i="177" s="1"/>
  <c r="AG34" i="177"/>
  <c r="BT34" i="177" s="1"/>
  <c r="AH34" i="177"/>
  <c r="BU34" i="177" s="1"/>
  <c r="AI34" i="177"/>
  <c r="BV34" i="177" s="1"/>
  <c r="AJ34" i="177"/>
  <c r="BW34" i="177" s="1"/>
  <c r="AK34" i="177"/>
  <c r="BX34" i="177" s="1"/>
  <c r="AL34" i="177"/>
  <c r="BY34" i="177" s="1"/>
  <c r="AM34" i="177"/>
  <c r="BZ34" i="177" s="1"/>
  <c r="AN34" i="177"/>
  <c r="BJ34" i="177"/>
  <c r="BK34" i="177"/>
  <c r="BL34" i="177"/>
  <c r="BM34" i="177"/>
  <c r="BN34" i="177"/>
  <c r="BO34" i="177"/>
  <c r="BP34" i="177"/>
  <c r="BQ34" i="177"/>
  <c r="BR34" i="177"/>
  <c r="BJ35" i="177"/>
  <c r="BK35" i="177"/>
  <c r="BL35" i="177"/>
  <c r="BM35" i="177"/>
  <c r="BN35" i="177"/>
  <c r="BO35" i="177"/>
  <c r="BP35" i="177"/>
  <c r="BQ35" i="177"/>
  <c r="BR35" i="177"/>
  <c r="BS35" i="177"/>
  <c r="BT35" i="177"/>
  <c r="BU35" i="177"/>
  <c r="BV35" i="177"/>
  <c r="AF36" i="177"/>
  <c r="BS36" i="177" s="1"/>
  <c r="AG36" i="177"/>
  <c r="BT36" i="177" s="1"/>
  <c r="AH36" i="177"/>
  <c r="BU36" i="177" s="1"/>
  <c r="AI36" i="177"/>
  <c r="BV36" i="177" s="1"/>
  <c r="AJ36" i="177"/>
  <c r="BW36" i="177" s="1"/>
  <c r="AK36" i="177"/>
  <c r="BX36" i="177" s="1"/>
  <c r="AL36" i="177"/>
  <c r="BY36" i="177" s="1"/>
  <c r="AM36" i="177"/>
  <c r="BZ36" i="177" s="1"/>
  <c r="AN36" i="177"/>
  <c r="CA36" i="177" s="1"/>
  <c r="CC36" i="177" s="1"/>
  <c r="BS37" i="177"/>
  <c r="AI37" i="177"/>
  <c r="BV37" i="177" s="1"/>
  <c r="AJ37" i="177"/>
  <c r="BW37" i="177" s="1"/>
  <c r="AK37" i="177"/>
  <c r="BX37" i="177" s="1"/>
  <c r="AL37" i="177"/>
  <c r="BY37" i="177" s="1"/>
  <c r="AM37" i="177"/>
  <c r="BZ37" i="177" s="1"/>
  <c r="AN37" i="177"/>
  <c r="CA37" i="177" s="1"/>
  <c r="CC37" i="177" s="1"/>
  <c r="BJ37" i="177"/>
  <c r="BK37" i="177"/>
  <c r="BL37" i="177"/>
  <c r="BM37" i="177"/>
  <c r="BN37" i="177"/>
  <c r="BO37" i="177"/>
  <c r="BP37" i="177"/>
  <c r="BQ37" i="177"/>
  <c r="BR37" i="177"/>
  <c r="BT37" i="177"/>
  <c r="BU37" i="177"/>
  <c r="AF38" i="177"/>
  <c r="BS38" i="177" s="1"/>
  <c r="AG38" i="177"/>
  <c r="BT38" i="177" s="1"/>
  <c r="AH38" i="177"/>
  <c r="BU38" i="177" s="1"/>
  <c r="AI38" i="177"/>
  <c r="BV38" i="177" s="1"/>
  <c r="AJ38" i="177"/>
  <c r="BW38" i="177" s="1"/>
  <c r="AK38" i="177"/>
  <c r="BX38" i="177" s="1"/>
  <c r="AL38" i="177"/>
  <c r="BY38" i="177" s="1"/>
  <c r="AM38" i="177"/>
  <c r="BZ38" i="177" s="1"/>
  <c r="AN38" i="177"/>
  <c r="BJ38" i="177"/>
  <c r="BK38" i="177"/>
  <c r="BL38" i="177"/>
  <c r="BM38" i="177"/>
  <c r="BN38" i="177"/>
  <c r="BO38" i="177"/>
  <c r="BP38" i="177"/>
  <c r="BQ38" i="177"/>
  <c r="BR38" i="177"/>
  <c r="BT8" i="177" l="1"/>
  <c r="BT7" i="177" s="1"/>
  <c r="AG7" i="177"/>
  <c r="BS8" i="177"/>
  <c r="AF7" i="177"/>
  <c r="BU8" i="177"/>
  <c r="BU7" i="177" s="1"/>
  <c r="AH7" i="177"/>
  <c r="BY35" i="177"/>
  <c r="BX35" i="177"/>
  <c r="CA35" i="177"/>
  <c r="CC35" i="177" s="1"/>
  <c r="BZ35" i="177"/>
  <c r="BW35" i="177"/>
  <c r="CA8" i="177"/>
  <c r="CC8" i="177" s="1"/>
  <c r="AN7" i="177"/>
  <c r="CA29" i="177"/>
  <c r="CC29" i="177" s="1"/>
  <c r="CA21" i="177"/>
  <c r="CC21" i="177" s="1"/>
  <c r="CA20" i="177"/>
  <c r="CC20" i="177" s="1"/>
  <c r="CA27" i="177"/>
  <c r="CC27" i="177" s="1"/>
  <c r="CA25" i="177"/>
  <c r="CC25" i="177" s="1"/>
  <c r="CA34" i="177"/>
  <c r="CC34" i="177" s="1"/>
  <c r="AL7" i="177"/>
  <c r="BP7" i="177"/>
  <c r="BQ7" i="177"/>
  <c r="BO7" i="177"/>
  <c r="AM7" i="177"/>
  <c r="BZ7" i="177"/>
  <c r="BN7" i="177"/>
  <c r="BR7" i="177"/>
  <c r="CA38" i="177"/>
  <c r="CC38" i="177" s="1"/>
  <c r="BM7" i="177"/>
  <c r="AJ7" i="177"/>
  <c r="BL7" i="177"/>
  <c r="BX7" i="177"/>
  <c r="BW7" i="177"/>
  <c r="BS7" i="177"/>
  <c r="BV7" i="177"/>
  <c r="AK7" i="177"/>
  <c r="CA18" i="177"/>
  <c r="AI7" i="177"/>
  <c r="CA33" i="177"/>
  <c r="CC33" i="177" s="1"/>
  <c r="CA24" i="177"/>
  <c r="CC24" i="177" s="1"/>
  <c r="CA19" i="177"/>
  <c r="CC19" i="177" s="1"/>
  <c r="BY14" i="177"/>
  <c r="BY7" i="177" s="1"/>
  <c r="CC18" i="177" l="1"/>
  <c r="CA7" i="177"/>
  <c r="CC7" i="177" l="1"/>
  <c r="G5" i="121"/>
  <c r="F5" i="121"/>
  <c r="Y43" i="170" l="1"/>
  <c r="AA43" i="170" s="1"/>
  <c r="K7" i="120" l="1"/>
  <c r="J7" i="120"/>
  <c r="I7" i="120"/>
  <c r="H7" i="120"/>
  <c r="G7" i="120"/>
  <c r="F7" i="120"/>
  <c r="E7" i="120"/>
  <c r="Y42" i="170"/>
  <c r="AA42" i="170" s="1"/>
  <c r="AA44" i="123" l="1"/>
  <c r="AA38" i="123"/>
  <c r="L7" i="173"/>
  <c r="Z13" i="125"/>
  <c r="I7" i="116" l="1"/>
  <c r="J7" i="116"/>
  <c r="K7" i="116"/>
  <c r="L7" i="116"/>
  <c r="M7" i="116"/>
  <c r="N7" i="116"/>
  <c r="P7" i="116"/>
  <c r="Q7" i="116"/>
  <c r="R7" i="116"/>
  <c r="S7" i="116"/>
  <c r="T7" i="116"/>
  <c r="U7" i="116"/>
  <c r="V7" i="116"/>
  <c r="W7" i="116"/>
  <c r="X7" i="116"/>
  <c r="Y7" i="116"/>
  <c r="Z7" i="116"/>
  <c r="AA7" i="116"/>
  <c r="AB7" i="116"/>
  <c r="AC7" i="116"/>
  <c r="AE7" i="116" l="1"/>
  <c r="M44" i="123" l="1"/>
  <c r="N44" i="123" s="1"/>
  <c r="X38" i="123"/>
  <c r="Z37" i="123"/>
  <c r="AA37" i="123" s="1"/>
  <c r="AB37" i="123" s="1"/>
  <c r="AA13" i="123"/>
  <c r="AA43" i="123"/>
  <c r="AA42" i="123"/>
  <c r="AA12" i="123"/>
  <c r="AB12" i="123" s="1"/>
  <c r="AA6" i="123"/>
  <c r="M44" i="122"/>
  <c r="N44" i="122" s="1"/>
  <c r="I44" i="122"/>
  <c r="G5" i="122"/>
  <c r="H5" i="122"/>
  <c r="I5" i="122"/>
  <c r="J5" i="122"/>
  <c r="K5" i="122"/>
  <c r="L5" i="122"/>
  <c r="M5" i="122"/>
  <c r="N5" i="122"/>
  <c r="O5" i="122"/>
  <c r="P5" i="122"/>
  <c r="Q5" i="122"/>
  <c r="R5" i="122"/>
  <c r="S5" i="122"/>
  <c r="T5" i="122"/>
  <c r="U5" i="122"/>
  <c r="V5" i="122"/>
  <c r="W5" i="122"/>
  <c r="X5" i="122"/>
  <c r="Y5" i="122"/>
  <c r="Z5" i="122"/>
  <c r="F5" i="122"/>
  <c r="AA34" i="122"/>
  <c r="AB34" i="122" s="1"/>
  <c r="AE34" i="122" s="1"/>
  <c r="AA30" i="122"/>
  <c r="AB30" i="122" s="1"/>
  <c r="AE30" i="122" s="1"/>
  <c r="N41" i="122"/>
  <c r="O41" i="122" s="1"/>
  <c r="P41" i="122" s="1"/>
  <c r="Q41" i="122" s="1"/>
  <c r="R41" i="122" s="1"/>
  <c r="S41" i="122" s="1"/>
  <c r="T41" i="122" s="1"/>
  <c r="U41" i="122" s="1"/>
  <c r="V41" i="122" s="1"/>
  <c r="W41" i="122" s="1"/>
  <c r="X41" i="122" s="1"/>
  <c r="Y41" i="122" s="1"/>
  <c r="Z41" i="122" s="1"/>
  <c r="AA41" i="122" s="1"/>
  <c r="AB41" i="122" s="1"/>
  <c r="AE41" i="122" s="1"/>
  <c r="N37" i="122"/>
  <c r="O37" i="122" s="1"/>
  <c r="P37" i="122" s="1"/>
  <c r="Q37" i="122" s="1"/>
  <c r="R37" i="122" s="1"/>
  <c r="S37" i="122" s="1"/>
  <c r="T37" i="122" s="1"/>
  <c r="U37" i="122" s="1"/>
  <c r="V37" i="122" s="1"/>
  <c r="AA19" i="122"/>
  <c r="AB19" i="122" s="1"/>
  <c r="AE19" i="122" s="1"/>
  <c r="AA6" i="122" l="1"/>
  <c r="AB6" i="122" s="1"/>
  <c r="AE6" i="122" l="1"/>
  <c r="Z45" i="122"/>
  <c r="AA45" i="122" s="1"/>
  <c r="AB45" i="122" s="1"/>
  <c r="AE45" i="122" s="1"/>
  <c r="AA31" i="122"/>
  <c r="AB31" i="122" s="1"/>
  <c r="AE31" i="122" s="1"/>
  <c r="AA12" i="122"/>
  <c r="AB12" i="122" s="1"/>
  <c r="AE12" i="122" s="1"/>
  <c r="AA14" i="122"/>
  <c r="AE14" i="122" s="1"/>
  <c r="V36" i="121"/>
  <c r="AA34" i="121"/>
  <c r="AB34" i="121" s="1"/>
  <c r="Z45" i="121"/>
  <c r="AA45" i="121" s="1"/>
  <c r="AB45" i="121" s="1"/>
  <c r="AE45" i="121" s="1"/>
  <c r="AA43" i="121"/>
  <c r="AE43" i="121" s="1"/>
  <c r="X41" i="121"/>
  <c r="Y41" i="121" s="1"/>
  <c r="Z41" i="121" s="1"/>
  <c r="AA41" i="121" s="1"/>
  <c r="AE41" i="121" s="1"/>
  <c r="T41" i="121"/>
  <c r="U41" i="121" s="1"/>
  <c r="AA37" i="121"/>
  <c r="AB37" i="121" s="1"/>
  <c r="AE37" i="121" s="1"/>
  <c r="AA31" i="121"/>
  <c r="AB31" i="121" s="1"/>
  <c r="AE31" i="121" s="1"/>
  <c r="Z21" i="121"/>
  <c r="Z5" i="121" s="1"/>
  <c r="AA12" i="121"/>
  <c r="AB12" i="121" s="1"/>
  <c r="AE12" i="121" s="1"/>
  <c r="AB5" i="122" l="1"/>
  <c r="AB5" i="121"/>
  <c r="AA5" i="121"/>
  <c r="AA5" i="122"/>
  <c r="G33" i="173"/>
  <c r="L28" i="173"/>
  <c r="G28" i="173"/>
  <c r="L27" i="173"/>
  <c r="G27" i="173"/>
  <c r="L26" i="173"/>
  <c r="G26" i="173"/>
  <c r="L21" i="173"/>
  <c r="G21" i="173"/>
  <c r="L20" i="173"/>
  <c r="L19" i="173"/>
  <c r="L14" i="173"/>
  <c r="G14" i="173"/>
  <c r="L13" i="173"/>
  <c r="G13" i="173"/>
  <c r="L12" i="173"/>
  <c r="G12" i="173"/>
  <c r="G11" i="173"/>
  <c r="L10" i="173"/>
  <c r="G10" i="173"/>
  <c r="L9" i="173"/>
  <c r="G9" i="173"/>
  <c r="G7" i="173"/>
  <c r="Z14" i="125"/>
  <c r="Z12" i="125"/>
  <c r="Z11" i="125"/>
  <c r="Z9" i="125"/>
  <c r="Z10" i="125" s="1"/>
  <c r="AE5" i="122" l="1"/>
  <c r="AE5" i="121"/>
  <c r="L33" i="173"/>
  <c r="L11" i="173"/>
  <c r="F7" i="124"/>
  <c r="H7" i="124"/>
  <c r="G7" i="124"/>
  <c r="E7" i="124"/>
  <c r="Z7" i="125" l="1"/>
  <c r="D7" i="124"/>
  <c r="AA8" i="125" s="1"/>
  <c r="AA16" i="125" s="1"/>
  <c r="I7" i="124" l="1"/>
  <c r="AA17" i="125" s="1"/>
  <c r="E6" i="173"/>
  <c r="G6" i="173" s="1"/>
  <c r="J7" i="124"/>
  <c r="Z17" i="125" s="1"/>
  <c r="J6" i="173"/>
  <c r="L6" i="173" s="1"/>
  <c r="Z8" i="125"/>
  <c r="Z16" i="125" s="1"/>
  <c r="O45" i="170"/>
  <c r="O43" i="170"/>
  <c r="R42" i="170"/>
  <c r="O35" i="170"/>
  <c r="O32" i="170"/>
  <c r="O31" i="170"/>
  <c r="O28" i="170"/>
  <c r="O27" i="170"/>
  <c r="O26" i="170"/>
  <c r="T25" i="170"/>
  <c r="O25" i="170"/>
  <c r="R23" i="170"/>
  <c r="S23" i="170" s="1"/>
  <c r="S6" i="170" s="1"/>
  <c r="O22" i="170"/>
  <c r="O21" i="170"/>
  <c r="O20" i="170"/>
  <c r="O19" i="170"/>
  <c r="O18" i="170"/>
  <c r="O17" i="170"/>
  <c r="O16" i="170"/>
  <c r="O15" i="170"/>
  <c r="O14" i="170"/>
  <c r="O13" i="170"/>
  <c r="O12" i="170"/>
  <c r="O11" i="170"/>
  <c r="Q9" i="170"/>
  <c r="Q6" i="170" s="1"/>
  <c r="O9" i="170"/>
  <c r="T8" i="170"/>
  <c r="H8" i="170"/>
  <c r="O7" i="170"/>
  <c r="P6" i="170"/>
  <c r="O6" i="170" l="1"/>
  <c r="R6" i="170"/>
  <c r="X6" i="170"/>
  <c r="T23" i="170"/>
  <c r="U23" i="170" s="1"/>
  <c r="U6" i="170" s="1"/>
  <c r="Y6" i="170" l="1"/>
  <c r="AA6" i="170" s="1"/>
  <c r="T6" i="170"/>
  <c r="V6" i="170"/>
  <c r="W6" i="170" l="1"/>
  <c r="AH45" i="114" l="1"/>
  <c r="AH9" i="114"/>
  <c r="AH10" i="114"/>
  <c r="AH11" i="114"/>
  <c r="AH12" i="114"/>
  <c r="AH13" i="114"/>
  <c r="AH14" i="114"/>
  <c r="AH15" i="114"/>
  <c r="AH16" i="114"/>
  <c r="AH17" i="114"/>
  <c r="AH18" i="114"/>
  <c r="AH19" i="114"/>
  <c r="AH20" i="114"/>
  <c r="AH21" i="114"/>
  <c r="AH22" i="114"/>
  <c r="AH23" i="114"/>
  <c r="AH24" i="114"/>
  <c r="AH25" i="114"/>
  <c r="AH27" i="114"/>
  <c r="AH28" i="114"/>
  <c r="AH29" i="114"/>
  <c r="AH30" i="114"/>
  <c r="AH31" i="114"/>
  <c r="AH32" i="114"/>
  <c r="AH33" i="114"/>
  <c r="AH34" i="114"/>
  <c r="AH35" i="114"/>
  <c r="AH36" i="114"/>
  <c r="AH37" i="114"/>
  <c r="AH38" i="114"/>
  <c r="AH39" i="114"/>
  <c r="AH40" i="114"/>
  <c r="AH41" i="114"/>
  <c r="AH42" i="114"/>
  <c r="AH43" i="114"/>
  <c r="AH44" i="114"/>
  <c r="Z8" i="114"/>
  <c r="AG8" i="114"/>
  <c r="P7" i="114"/>
  <c r="X7" i="114"/>
  <c r="Z7" i="114"/>
  <c r="AE7" i="114"/>
  <c r="AF7" i="114"/>
  <c r="AI52" i="114"/>
  <c r="AJ52" i="114"/>
  <c r="AK52" i="114" s="1"/>
  <c r="AH52" i="114"/>
  <c r="AE53" i="114" s="1"/>
  <c r="AG26" i="114"/>
  <c r="AG11" i="114"/>
  <c r="AG7" i="114" s="1"/>
  <c r="AH7" i="114" s="1"/>
  <c r="AF26" i="114"/>
  <c r="AF8" i="114" s="1"/>
  <c r="AE26" i="114"/>
  <c r="AD26" i="114"/>
  <c r="AE13" i="114"/>
  <c r="AE11" i="114"/>
  <c r="AE8" i="114" s="1"/>
  <c r="AC26" i="114"/>
  <c r="AC7" i="114" s="1"/>
  <c r="AB26" i="114"/>
  <c r="AA26" i="114"/>
  <c r="AA8" i="114" s="1"/>
  <c r="AD11" i="114"/>
  <c r="AD8" i="114" s="1"/>
  <c r="AC11" i="114"/>
  <c r="AC8" i="114" s="1"/>
  <c r="AB45" i="114"/>
  <c r="AB43" i="114"/>
  <c r="AB41" i="114"/>
  <c r="AB36" i="114"/>
  <c r="AB34" i="114"/>
  <c r="AB33" i="114"/>
  <c r="AB32" i="114"/>
  <c r="AB27" i="114"/>
  <c r="AB8" i="114" s="1"/>
  <c r="AB23" i="114"/>
  <c r="AB11" i="114"/>
  <c r="AA11" i="114"/>
  <c r="AA7" i="114" s="1"/>
  <c r="AA45" i="114"/>
  <c r="AA41" i="114"/>
  <c r="AA36" i="114"/>
  <c r="Y32" i="114"/>
  <c r="AA27" i="114"/>
  <c r="Y26" i="114"/>
  <c r="AA23" i="114"/>
  <c r="G26" i="114"/>
  <c r="F26" i="114"/>
  <c r="I22" i="114"/>
  <c r="H22" i="114"/>
  <c r="G22" i="114"/>
  <c r="F22" i="114"/>
  <c r="G11" i="114"/>
  <c r="F11" i="114"/>
  <c r="Y45" i="114"/>
  <c r="X45" i="114"/>
  <c r="W45" i="114"/>
  <c r="V45" i="114"/>
  <c r="U45" i="114"/>
  <c r="T45" i="114"/>
  <c r="S45" i="114"/>
  <c r="R45" i="114"/>
  <c r="Q45" i="114"/>
  <c r="P45" i="114"/>
  <c r="O45" i="114"/>
  <c r="X44" i="114"/>
  <c r="Y41" i="114"/>
  <c r="X41" i="114"/>
  <c r="W41" i="114"/>
  <c r="V41" i="114"/>
  <c r="U41" i="114"/>
  <c r="T41" i="114"/>
  <c r="S41" i="114"/>
  <c r="R41" i="114"/>
  <c r="Y39" i="114"/>
  <c r="X39" i="114"/>
  <c r="W39" i="114"/>
  <c r="V39" i="114"/>
  <c r="Y36" i="114"/>
  <c r="X36" i="114"/>
  <c r="W36" i="114"/>
  <c r="V36" i="114"/>
  <c r="U36" i="114"/>
  <c r="T36" i="114"/>
  <c r="S36" i="114"/>
  <c r="R36" i="114"/>
  <c r="Q36" i="114"/>
  <c r="P36" i="114"/>
  <c r="O36" i="114"/>
  <c r="N36" i="114"/>
  <c r="M36" i="114"/>
  <c r="L36" i="114"/>
  <c r="K36" i="114"/>
  <c r="J36" i="114"/>
  <c r="I36" i="114"/>
  <c r="X35" i="114"/>
  <c r="Y34" i="114"/>
  <c r="X34" i="114"/>
  <c r="Y33" i="114"/>
  <c r="X33" i="114"/>
  <c r="X31" i="114"/>
  <c r="V31" i="114"/>
  <c r="U31" i="114"/>
  <c r="T31" i="114"/>
  <c r="S31" i="114"/>
  <c r="S8" i="114" s="1"/>
  <c r="R31" i="114"/>
  <c r="Q31" i="114"/>
  <c r="P31" i="114"/>
  <c r="O31" i="114"/>
  <c r="N31" i="114"/>
  <c r="M31" i="114"/>
  <c r="L31" i="114"/>
  <c r="K31" i="114"/>
  <c r="K8" i="114" s="1"/>
  <c r="J31" i="114"/>
  <c r="I31" i="114"/>
  <c r="H31" i="114"/>
  <c r="G31" i="114"/>
  <c r="F31" i="114"/>
  <c r="E31" i="114"/>
  <c r="X30" i="114"/>
  <c r="Y28" i="114"/>
  <c r="Y27" i="114"/>
  <c r="X26" i="114"/>
  <c r="W26" i="114"/>
  <c r="V26" i="114"/>
  <c r="U26" i="114"/>
  <c r="T26" i="114"/>
  <c r="P26" i="114"/>
  <c r="O26" i="114"/>
  <c r="N26" i="114"/>
  <c r="M26" i="114"/>
  <c r="Y25" i="114"/>
  <c r="X24" i="114"/>
  <c r="Y23" i="114"/>
  <c r="X23" i="114"/>
  <c r="W23" i="114"/>
  <c r="V23" i="114"/>
  <c r="U23" i="114"/>
  <c r="T23" i="114"/>
  <c r="S23" i="114"/>
  <c r="R23" i="114"/>
  <c r="Q23" i="114"/>
  <c r="Q8" i="114" s="1"/>
  <c r="P23" i="114"/>
  <c r="O23" i="114"/>
  <c r="N23" i="114"/>
  <c r="M23" i="114"/>
  <c r="L23" i="114"/>
  <c r="K23" i="114"/>
  <c r="J23" i="114"/>
  <c r="H23" i="114" s="1"/>
  <c r="H7" i="114" s="1"/>
  <c r="X21" i="114"/>
  <c r="Y15" i="114"/>
  <c r="X15" i="114"/>
  <c r="Y13" i="114"/>
  <c r="Y8" i="114" s="1"/>
  <c r="Y12" i="114"/>
  <c r="X12" i="114"/>
  <c r="Y11" i="114"/>
  <c r="Y7" i="114" s="1"/>
  <c r="X11" i="114"/>
  <c r="X8" i="114" s="1"/>
  <c r="W11" i="114"/>
  <c r="W8" i="114" s="1"/>
  <c r="V11" i="114"/>
  <c r="V8" i="114" s="1"/>
  <c r="U11" i="114"/>
  <c r="U8" i="114" s="1"/>
  <c r="T11" i="114"/>
  <c r="T8" i="114" s="1"/>
  <c r="S11" i="114"/>
  <c r="S7" i="114" s="1"/>
  <c r="R11" i="114"/>
  <c r="R7" i="114" s="1"/>
  <c r="Q11" i="114"/>
  <c r="Q7" i="114" s="1"/>
  <c r="P11" i="114"/>
  <c r="P8" i="114" s="1"/>
  <c r="O11" i="114"/>
  <c r="O8" i="114" s="1"/>
  <c r="N11" i="114"/>
  <c r="N8" i="114" s="1"/>
  <c r="M11" i="114"/>
  <c r="M8" i="114" s="1"/>
  <c r="L11" i="114"/>
  <c r="L7" i="114" s="1"/>
  <c r="K11" i="114"/>
  <c r="K7" i="114" s="1"/>
  <c r="J11" i="114"/>
  <c r="J7" i="114" s="1"/>
  <c r="I11" i="114"/>
  <c r="H10" i="114"/>
  <c r="G10" i="114"/>
  <c r="G8" i="114" s="1"/>
  <c r="F10" i="114"/>
  <c r="E10" i="114"/>
  <c r="E7" i="114" s="1"/>
  <c r="E8" i="114"/>
  <c r="G23" i="114"/>
  <c r="H8" i="114" l="1"/>
  <c r="AH8" i="114"/>
  <c r="L8" i="114"/>
  <c r="W7" i="114"/>
  <c r="O7" i="114"/>
  <c r="G7" i="114"/>
  <c r="AH26" i="114"/>
  <c r="AD7" i="114"/>
  <c r="V7" i="114"/>
  <c r="N7" i="114"/>
  <c r="R8" i="114"/>
  <c r="J8" i="114"/>
  <c r="U7" i="114"/>
  <c r="AB7" i="114"/>
  <c r="T7" i="114"/>
  <c r="M7" i="114"/>
  <c r="I23" i="114"/>
  <c r="I8" i="114" s="1"/>
  <c r="F23" i="114"/>
  <c r="F8" i="114" s="1"/>
  <c r="F7" i="114" l="1"/>
  <c r="I7" i="11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A8995AF-2155-4870-8517-491B28C2EEBA}" keepAlive="1" name="Query - EEA_N2" description="Connection to the 'EEA_N2' query in the workbook." type="5" refreshedVersion="0" background="1">
    <dbPr connection="Provider=Microsoft.Mashup.OleDb.1;Data Source=$Workbook$;Location=EEA_N2;Extended Properties=&quot;&quot;" command="SELECT * FROM [EEA_N2]"/>
  </connection>
</connections>
</file>

<file path=xl/sharedStrings.xml><?xml version="1.0" encoding="utf-8"?>
<sst xmlns="http://schemas.openxmlformats.org/spreadsheetml/2006/main" count="2355" uniqueCount="373">
  <si>
    <t>MK</t>
  </si>
  <si>
    <t>thousand</t>
  </si>
  <si>
    <t>Number of passenger cars per 1000 inhabitants</t>
  </si>
  <si>
    <t>Stock of vehicles</t>
  </si>
  <si>
    <t>Road : Buses and Coaches</t>
  </si>
  <si>
    <t>Total fleet controlled</t>
  </si>
  <si>
    <t>Number</t>
  </si>
  <si>
    <t>Europe*</t>
  </si>
  <si>
    <t>North America</t>
  </si>
  <si>
    <t>Latin America</t>
  </si>
  <si>
    <t>Asia/Oceania</t>
  </si>
  <si>
    <t>Africa</t>
  </si>
  <si>
    <t>Unknown</t>
  </si>
  <si>
    <t>(ships of 300 gt and over)</t>
  </si>
  <si>
    <t>Bulk carriers</t>
  </si>
  <si>
    <t>General cargo</t>
  </si>
  <si>
    <t>(ships of 1000 gt and over)</t>
  </si>
  <si>
    <t xml:space="preserve">Passenger aircraft </t>
  </si>
  <si>
    <t>50 seats or less</t>
  </si>
  <si>
    <t>51 to 150 seats</t>
  </si>
  <si>
    <t>151 to 250 seats</t>
  </si>
  <si>
    <t>251 seats and more</t>
  </si>
  <si>
    <t>Freight / Cargo</t>
  </si>
  <si>
    <t>Quick-change convertible</t>
  </si>
  <si>
    <t xml:space="preserve">Special purpose / Ambulance </t>
  </si>
  <si>
    <t>Business / Corporate / Executive</t>
  </si>
  <si>
    <t>IS</t>
  </si>
  <si>
    <t>CH</t>
  </si>
  <si>
    <t>BG</t>
  </si>
  <si>
    <t>CY</t>
  </si>
  <si>
    <t>CZ</t>
  </si>
  <si>
    <t>EE</t>
  </si>
  <si>
    <t>HU</t>
  </si>
  <si>
    <t>LV</t>
  </si>
  <si>
    <t>LT</t>
  </si>
  <si>
    <t>MT</t>
  </si>
  <si>
    <t>PL</t>
  </si>
  <si>
    <t>RO</t>
  </si>
  <si>
    <t>SK</t>
  </si>
  <si>
    <t>SI</t>
  </si>
  <si>
    <t>TR</t>
  </si>
  <si>
    <t>DK</t>
  </si>
  <si>
    <t>EL</t>
  </si>
  <si>
    <t>NL</t>
  </si>
  <si>
    <t>UK</t>
  </si>
  <si>
    <t>BE</t>
  </si>
  <si>
    <t>DE</t>
  </si>
  <si>
    <t>ES</t>
  </si>
  <si>
    <t>FR</t>
  </si>
  <si>
    <t>IE</t>
  </si>
  <si>
    <t>IT</t>
  </si>
  <si>
    <t>LU</t>
  </si>
  <si>
    <t>AT</t>
  </si>
  <si>
    <t>PT</t>
  </si>
  <si>
    <t>FI</t>
  </si>
  <si>
    <t>SE</t>
  </si>
  <si>
    <t>NO</t>
  </si>
  <si>
    <t xml:space="preserve"> </t>
  </si>
  <si>
    <t>-</t>
  </si>
  <si>
    <t>HR</t>
  </si>
  <si>
    <t>World</t>
  </si>
  <si>
    <t>Total</t>
  </si>
  <si>
    <t>More than 30 000 small private planes not included.</t>
  </si>
  <si>
    <t>(1)</t>
  </si>
  <si>
    <t xml:space="preserve">  </t>
  </si>
  <si>
    <t>LI</t>
  </si>
  <si>
    <t xml:space="preserve">   of which: </t>
  </si>
  <si>
    <t>Reefer</t>
  </si>
  <si>
    <t>Ro-Ro: vehicles roll on to embark, vehicles roll off to disembark.</t>
  </si>
  <si>
    <t>Liquid gas tankers</t>
  </si>
  <si>
    <t>Container ships</t>
  </si>
  <si>
    <t>Reefer: refrigerated ships.</t>
  </si>
  <si>
    <t>New vehicle registrations</t>
  </si>
  <si>
    <t>Road : Motorcycles</t>
  </si>
  <si>
    <t>Road : Mopeds</t>
  </si>
  <si>
    <t>New vehicle deliveries</t>
  </si>
  <si>
    <t>On 1st January:</t>
  </si>
  <si>
    <t>Total controlled fleet by world region</t>
  </si>
  <si>
    <t>World region</t>
  </si>
  <si>
    <t>Share of EU in Total and of Foreign Flag in EU</t>
  </si>
  <si>
    <t>%</t>
  </si>
  <si>
    <t>Data relate to main railways (UIC members)</t>
  </si>
  <si>
    <t>(passenger / cargo)</t>
  </si>
  <si>
    <t>mtow</t>
  </si>
  <si>
    <t>Multi-role</t>
  </si>
  <si>
    <t>Total fleet</t>
  </si>
  <si>
    <t>2007*</t>
  </si>
  <si>
    <t>Stock of registered vehicles</t>
  </si>
  <si>
    <t>In this table blank means none.</t>
  </si>
  <si>
    <t>EUROPEAN UNION</t>
  </si>
  <si>
    <t>European Commission</t>
  </si>
  <si>
    <t>Means of Transport</t>
  </si>
  <si>
    <r>
      <t xml:space="preserve">in co-operation with </t>
    </r>
    <r>
      <rPr>
        <b/>
        <sz val="10"/>
        <rFont val="Arial"/>
        <family val="2"/>
      </rPr>
      <t>Eurostat</t>
    </r>
  </si>
  <si>
    <t>Tankers</t>
  </si>
  <si>
    <t>Passenger and passenger cargo</t>
  </si>
  <si>
    <t>Cargo passenger and Ro-Ro passenger ships</t>
  </si>
  <si>
    <t>2008*</t>
  </si>
  <si>
    <t>Road : Motorisation</t>
  </si>
  <si>
    <t>Directorate-General for Mobility and Transport</t>
  </si>
  <si>
    <t>TRANSPORT IN FIGURES</t>
  </si>
  <si>
    <t>Part 2  :  TRANSPORT</t>
  </si>
  <si>
    <t>Chapter 2.6  :</t>
  </si>
  <si>
    <t>2.6.1</t>
  </si>
  <si>
    <t>2.6.2</t>
  </si>
  <si>
    <t>2.6.3</t>
  </si>
  <si>
    <t>2.6.4</t>
  </si>
  <si>
    <t>2.6.5</t>
  </si>
  <si>
    <t>2.6.6</t>
  </si>
  <si>
    <t>2.6.7</t>
  </si>
  <si>
    <t>2.6.8</t>
  </si>
  <si>
    <t>2.6.9</t>
  </si>
  <si>
    <t>2.6.10</t>
  </si>
  <si>
    <t>2.6.11</t>
  </si>
  <si>
    <t>2.6.12a</t>
  </si>
  <si>
    <t>2.6.12b</t>
  </si>
  <si>
    <t>2.6.13</t>
  </si>
  <si>
    <t>2.6.14</t>
  </si>
  <si>
    <t>2.6.15</t>
  </si>
  <si>
    <t>2.6.16</t>
  </si>
  <si>
    <t>2.6.17</t>
  </si>
  <si>
    <t>Taxis are usually included.</t>
  </si>
  <si>
    <t>Only ships of 1000 gt and over</t>
  </si>
  <si>
    <t xml:space="preserve">Stock of coaches, railcars and trailers  </t>
  </si>
  <si>
    <t>2009*</t>
  </si>
  <si>
    <r>
      <t>Source</t>
    </r>
    <r>
      <rPr>
        <sz val="8"/>
        <rFont val="Arial"/>
        <family val="2"/>
      </rPr>
      <t>: tables 2.6.2 and 1.5</t>
    </r>
  </si>
  <si>
    <r>
      <t>Notes:</t>
    </r>
    <r>
      <rPr>
        <b/>
        <sz val="8"/>
        <rFont val="Arial"/>
        <family val="2"/>
      </rPr>
      <t/>
    </r>
  </si>
  <si>
    <r>
      <t xml:space="preserve">Stock at end of year, except for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1 August,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  <r>
      <rPr>
        <b/>
        <sz val="8"/>
        <rFont val="Arial"/>
        <family val="2"/>
      </rPr>
      <t/>
    </r>
  </si>
  <si>
    <r>
      <t>As a rule, data include heavy and light goods vehicles, lorries and road tractors; due to varying concepts of such vehicles, data are not fully comparable between countries.</t>
    </r>
    <r>
      <rPr>
        <b/>
        <sz val="8"/>
        <rFont val="Arial"/>
        <family val="2"/>
      </rPr>
      <t/>
    </r>
  </si>
  <si>
    <r>
      <t>National vehicle stock data do not always include all powered two-wheelers and are therefore not fully comparable between countries.</t>
    </r>
    <r>
      <rPr>
        <b/>
        <sz val="8"/>
        <rFont val="Arial"/>
        <family val="2"/>
      </rPr>
      <t/>
    </r>
  </si>
  <si>
    <r>
      <t>dwt</t>
    </r>
    <r>
      <rPr>
        <sz val="8"/>
        <rFont val="Arial"/>
        <family val="2"/>
      </rPr>
      <t xml:space="preserve"> (million)</t>
    </r>
  </si>
  <si>
    <r>
      <t>Special purpose / Ambulance</t>
    </r>
    <r>
      <rPr>
        <sz val="8"/>
        <rFont val="Arial"/>
        <family val="2"/>
      </rPr>
      <t>: contains data about Hospital / Ambulance / Medevac and Special Role / Operations / Mission aircraft.</t>
    </r>
  </si>
  <si>
    <t xml:space="preserve">Passenger (not Ro-Ro) </t>
  </si>
  <si>
    <t>Road: Goods vehicles</t>
  </si>
  <si>
    <t>2010*</t>
  </si>
  <si>
    <t>Eurostat</t>
  </si>
  <si>
    <t>ESTAT</t>
  </si>
  <si>
    <t>2011*</t>
  </si>
  <si>
    <t xml:space="preserve">% of foreign flag in total fleet </t>
  </si>
  <si>
    <t>RS</t>
  </si>
  <si>
    <t>ME</t>
  </si>
  <si>
    <r>
      <t xml:space="preserve">Stock at end of year, except for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1 August (1 July in 2012),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</si>
  <si>
    <r>
      <rPr>
        <b/>
        <sz val="8"/>
        <rFont val="Arial"/>
        <family val="2"/>
      </rPr>
      <t>HR:</t>
    </r>
    <r>
      <rPr>
        <sz val="8"/>
        <rFont val="Arial"/>
        <family val="2"/>
      </rPr>
      <t xml:space="preserve"> from 2009 light vans are included in passenger cars and no longer in Goods Vehicles</t>
    </r>
  </si>
  <si>
    <r>
      <t xml:space="preserve">Stock at end of year, except for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  <r>
      <rPr>
        <b/>
        <sz val="8"/>
        <rFont val="Arial"/>
        <family val="2"/>
      </rPr>
      <t/>
    </r>
  </si>
  <si>
    <r>
      <t xml:space="preserve">***: </t>
    </r>
    <r>
      <rPr>
        <sz val="8"/>
        <rFont val="Arial"/>
        <family val="2"/>
      </rPr>
      <t>foreign flag share includes ships registered by EU countries in other EU countries</t>
    </r>
  </si>
  <si>
    <t>2012*</t>
  </si>
  <si>
    <t>AL</t>
  </si>
  <si>
    <t>EU-28</t>
  </si>
  <si>
    <t xml:space="preserve">New vehicle registrations </t>
  </si>
  <si>
    <t>under 
100 000lbs</t>
  </si>
  <si>
    <t>over 
100 000lbs</t>
  </si>
  <si>
    <t>2013*</t>
  </si>
  <si>
    <r>
      <t>Source:</t>
    </r>
    <r>
      <rPr>
        <sz val="8"/>
        <rFont val="Arial"/>
        <family val="2"/>
      </rPr>
      <t xml:space="preserve"> ISL, up to 2011 based on quarterly updates from IHS Fairplay, since 2012 on Clarkson Research Services Limited (CRSL)</t>
    </r>
  </si>
  <si>
    <t>Crude oil and oil product tankers</t>
  </si>
  <si>
    <t>Oil / chemical tankers</t>
  </si>
  <si>
    <t>Conventional cargo</t>
  </si>
  <si>
    <t>Special cargo (*)</t>
  </si>
  <si>
    <t>Pure car carriers</t>
  </si>
  <si>
    <t>Ro-Ro cargo</t>
  </si>
  <si>
    <t>(*) Including open hatch carriers.</t>
  </si>
  <si>
    <r>
      <rPr>
        <b/>
        <sz val="8"/>
        <rFont val="Arial"/>
        <family val="2"/>
      </rPr>
      <t>EE,  FR:</t>
    </r>
    <r>
      <rPr>
        <sz val="8"/>
        <rFont val="Arial"/>
        <family val="2"/>
      </rPr>
      <t xml:space="preserve"> include special purpose vehicles.</t>
    </r>
  </si>
  <si>
    <t>(**) No deadweight figure is given for cruise ships, since dwt is a measure of the weight admissible in the vessel.</t>
  </si>
  <si>
    <t>2014*</t>
  </si>
  <si>
    <r>
      <t>CS:</t>
    </r>
    <r>
      <rPr>
        <sz val="8"/>
        <rFont val="Arial"/>
        <family val="2"/>
      </rPr>
      <t xml:space="preserve"> 1970: 4 998; 1990: 6 010</t>
    </r>
  </si>
  <si>
    <t>2015*</t>
  </si>
  <si>
    <r>
      <t>Source</t>
    </r>
    <r>
      <rPr>
        <sz val="8"/>
        <rFont val="Arial"/>
        <family val="2"/>
      </rPr>
      <t xml:space="preserve">:  Union Internationale des Chemins de Fer, Eurostat, national statistics (own estimates in </t>
    </r>
    <r>
      <rPr>
        <i/>
        <sz val="8"/>
        <rFont val="Arial"/>
        <family val="2"/>
      </rPr>
      <t>italics</t>
    </r>
    <r>
      <rPr>
        <sz val="8"/>
        <rFont val="Arial"/>
        <family val="2"/>
      </rPr>
      <t>)</t>
    </r>
  </si>
  <si>
    <t>Data relates to main railway undertakings. Values on this table consider the declared values of locomotives (diesel + electric) and railcars (diesel + electric) and in some cases multiple units.</t>
  </si>
  <si>
    <r>
      <t>CS:</t>
    </r>
    <r>
      <rPr>
        <sz val="8"/>
        <rFont val="Arial"/>
        <family val="2"/>
      </rPr>
      <t xml:space="preserve"> 1970=10 145   1990=8 597</t>
    </r>
  </si>
  <si>
    <t>2016*</t>
  </si>
  <si>
    <t>(2)</t>
  </si>
  <si>
    <r>
      <t>Source</t>
    </r>
    <r>
      <rPr>
        <sz val="8"/>
        <rFont val="Arial"/>
        <family val="2"/>
      </rPr>
      <t>: Flightglobal</t>
    </r>
  </si>
  <si>
    <t>Ships of 1 000 gt and over</t>
  </si>
  <si>
    <t>(ships of 1 000 gt and over)</t>
  </si>
  <si>
    <t>2017*</t>
  </si>
  <si>
    <t>Source 2018</t>
  </si>
  <si>
    <t>Source 2017</t>
  </si>
  <si>
    <t>Source 2016</t>
  </si>
  <si>
    <t>Km parcourus par les vehicules Belges (mobilit.fgov.be), pag 13</t>
  </si>
  <si>
    <t>Km parcourus par les vehicules Belges (mobilit.fgov.be), pag 16</t>
  </si>
  <si>
    <t>Joana Iltchevska</t>
  </si>
  <si>
    <t>Galina vasileva</t>
  </si>
  <si>
    <t>DK Stat</t>
  </si>
  <si>
    <t>KBA.de Bestand am 1.st Januar 2017 nach Fahrzeugklassen</t>
  </si>
  <si>
    <t>KBA.de Bestand am 1.st Januar 2016 nach Fahrzeugklassen</t>
  </si>
  <si>
    <t>KBA.de Bestand am 1.st Januar 2015 nach Fahrzeugklassen</t>
  </si>
  <si>
    <t>EE STAT</t>
  </si>
  <si>
    <t>IE Transport Omnibus</t>
  </si>
  <si>
    <t>EL Stat</t>
  </si>
  <si>
    <t>ministerio fomento -  estadisticas - anuario estadistico 2016 - trafico</t>
  </si>
  <si>
    <t>ministerio fomento -  estadisticas - anuario estadistico 2014 - trafico</t>
  </si>
  <si>
    <t>Statistiques developpement durables</t>
  </si>
  <si>
    <t>CCFA estimates</t>
  </si>
  <si>
    <t>HR statistical yearbook</t>
  </si>
  <si>
    <t>CNIT tab V.3.1.1</t>
  </si>
  <si>
    <t>CY Stat, Transport Statistics 2016 (licensed)</t>
  </si>
  <si>
    <t>LV Stat</t>
  </si>
  <si>
    <t>LV STAT</t>
  </si>
  <si>
    <t>LT STAT</t>
  </si>
  <si>
    <t xml:space="preserve">MT Transport yearbook </t>
  </si>
  <si>
    <t>NL Stat</t>
  </si>
  <si>
    <t>AT Stat</t>
  </si>
  <si>
    <t>Antonio cavaco (quadro 60)</t>
  </si>
  <si>
    <t>Eurostat regional statistics - transport</t>
  </si>
  <si>
    <t>AL STAT (discontinued?)</t>
  </si>
  <si>
    <t>AL STAT</t>
  </si>
  <si>
    <t>ME STAT, Statistical yearbook</t>
  </si>
  <si>
    <t>ME STAT</t>
  </si>
  <si>
    <t>Makstat database</t>
  </si>
  <si>
    <t>RS Stat yearbook</t>
  </si>
  <si>
    <t>NO Stat</t>
  </si>
  <si>
    <t>Km parcourus par les vehicules Belges (mobilit.fgov.be), pag 12</t>
  </si>
  <si>
    <t>CZ Transport yearbook 2016, values from tables 4.2.1 and 4.2.5</t>
  </si>
  <si>
    <t>CZ Transport yearbook 2015, values from tables 4.2.4 and 4.2.5</t>
  </si>
  <si>
    <t>CZ Transport yearbook 2014, values from tables 4.2.4 and 4.2.5</t>
  </si>
  <si>
    <t>Irish bullettin of vehicle and driver stat - section 1 table 1 large public service vehicles</t>
  </si>
  <si>
    <t>CCFA estimates - revised</t>
  </si>
  <si>
    <t>CY STAT - licensed vehicles!</t>
  </si>
  <si>
    <t>CY STAT - weird number - explained by statistics CY</t>
  </si>
  <si>
    <t>LV STAT, statistical yearbook</t>
  </si>
  <si>
    <t>Lu stat</t>
  </si>
  <si>
    <t>LU stat</t>
  </si>
  <si>
    <t xml:space="preserve">Hu Stat Dissemination database </t>
  </si>
  <si>
    <t>PL Stat</t>
  </si>
  <si>
    <t>ESTAT (revised until 2010)</t>
  </si>
  <si>
    <t>Eurostat regional statistics</t>
  </si>
  <si>
    <t>FI stat</t>
  </si>
  <si>
    <t>FI Stat</t>
  </si>
  <si>
    <t>FI STAT</t>
  </si>
  <si>
    <t>Trafikanalys - Fordon (table BU2)</t>
  </si>
  <si>
    <t>UK Stat (tax type, United Kingdom)</t>
  </si>
  <si>
    <t>UK Stat + NI Stat (tax type)</t>
  </si>
  <si>
    <t>MK Stat Yearbook</t>
  </si>
  <si>
    <t>IS STAT</t>
  </si>
  <si>
    <t>CH Stat</t>
  </si>
  <si>
    <t>CZ Transport yearbook 2016, values from tables 4.2.1 and 4.2.5: busses+troleybuses</t>
  </si>
  <si>
    <t>dk stat, https://www.statbank.dk/BIL12</t>
  </si>
  <si>
    <t>ok, national sources, same figure as ESTAT</t>
  </si>
  <si>
    <t>estim</t>
  </si>
  <si>
    <t>estat</t>
  </si>
  <si>
    <t>EU-27</t>
  </si>
  <si>
    <t>2018*</t>
  </si>
  <si>
    <t>be estim</t>
  </si>
  <si>
    <t>change 17/18</t>
  </si>
  <si>
    <t>Uk stat, table veh0103</t>
  </si>
  <si>
    <t xml:space="preserve">estat </t>
  </si>
  <si>
    <t>**: EU-27 since 2012</t>
  </si>
  <si>
    <t>of which:  EU-27**</t>
  </si>
  <si>
    <t>World Total</t>
  </si>
  <si>
    <t>EU-27** control of total</t>
  </si>
  <si>
    <t>EU-27** : Foreign flag share ***</t>
  </si>
  <si>
    <t>https://appsso.eurostat.ec.europa.eu/nui/show.do?dataset=road_eqs_carage&amp;lang=en</t>
  </si>
  <si>
    <t>CNIT</t>
  </si>
  <si>
    <t>AL stat</t>
  </si>
  <si>
    <r>
      <rPr>
        <sz val="8"/>
        <color indexed="8"/>
        <rFont val="Arial"/>
        <family val="2"/>
      </rPr>
      <t>Data include buses, coaches, minibuses and sometimes also trolleybuses (BG:incudes troleybusses).</t>
    </r>
    <r>
      <rPr>
        <b/>
        <sz val="8"/>
        <rFont val="Arial"/>
        <family val="2"/>
      </rPr>
      <t/>
    </r>
  </si>
  <si>
    <t>https://appsso.eurostat.ec.europa.eu/nui/show.do?dataset=tran_r_vehst&amp;lang=en</t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</si>
  <si>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Eurostat [road_eqs_carage, tran_r_vehst], national statistics, United Nations Economic Commission for Europe, estimates </t>
    </r>
    <r>
      <rPr>
        <i/>
        <sz val="8"/>
        <rFont val="Arial"/>
        <family val="2"/>
      </rPr>
      <t>(in italics)</t>
    </r>
  </si>
  <si>
    <r>
      <t>Source</t>
    </r>
    <r>
      <rPr>
        <sz val="8"/>
        <rFont val="Arial"/>
        <family val="2"/>
      </rPr>
      <t>:  Union Internationale des Chemins de Fer, Eurostat [rail_eq_pa_nty], national statistics, estimates</t>
    </r>
    <r>
      <rPr>
        <i/>
        <sz val="8"/>
        <rFont val="Arial"/>
        <family val="2"/>
      </rPr>
      <t xml:space="preserve"> (in italics)</t>
    </r>
  </si>
  <si>
    <r>
      <t>DE:</t>
    </r>
    <r>
      <rPr>
        <sz val="8"/>
        <rFont val="Arial"/>
        <family val="2"/>
      </rPr>
      <t xml:space="preserve"> includes </t>
    </r>
    <r>
      <rPr>
        <b/>
        <sz val="8"/>
        <rFont val="Arial"/>
        <family val="2"/>
      </rPr>
      <t>former GDR</t>
    </r>
    <r>
      <rPr>
        <sz val="8"/>
        <rFont val="Arial"/>
        <family val="2"/>
      </rPr>
      <t>: 1970=</t>
    </r>
    <r>
      <rPr>
        <i/>
        <sz val="8"/>
        <rFont val="Arial"/>
        <family val="2"/>
      </rPr>
      <t>10 000</t>
    </r>
    <r>
      <rPr>
        <sz val="8"/>
        <rFont val="Arial"/>
        <family val="2"/>
      </rPr>
      <t>,  1980=10 761,  1990=9 635</t>
    </r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</si>
  <si>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Eurostat [road_eqs_busveh], national statistics, United Nations Economic Commission for Europe, estimates </t>
    </r>
    <r>
      <rPr>
        <i/>
        <sz val="8"/>
        <rFont val="Arial"/>
        <family val="2"/>
      </rPr>
      <t>(in italics)</t>
    </r>
  </si>
  <si>
    <r>
      <t>Data include buses, coaches, minibuses and sometimes also trolleybuses (BG:incudes troleybusses).</t>
    </r>
    <r>
      <rPr>
        <b/>
        <sz val="8"/>
        <rFont val="Arial"/>
        <family val="2"/>
      </rPr>
      <t/>
    </r>
  </si>
  <si>
    <t>Road : Buses and coaches</t>
  </si>
  <si>
    <r>
      <t>DE:</t>
    </r>
    <r>
      <rPr>
        <b/>
        <sz val="8"/>
        <rFont val="Arial"/>
        <family val="2"/>
      </rPr>
      <t xml:space="preserve"> includes former GDR:  </t>
    </r>
    <r>
      <rPr>
        <sz val="8"/>
        <rFont val="Arial"/>
        <family val="2"/>
      </rPr>
      <t xml:space="preserve">: 1970 = 5 </t>
    </r>
    <r>
      <rPr>
        <i/>
        <sz val="8"/>
        <rFont val="Arial"/>
        <family val="2"/>
      </rPr>
      <t>000</t>
    </r>
    <r>
      <rPr>
        <sz val="8"/>
        <rFont val="Arial"/>
        <family val="2"/>
      </rPr>
      <t>; 1980 = 4 506; 1990 = 6 331</t>
    </r>
  </si>
  <si>
    <t>Road : Passenger cars</t>
  </si>
  <si>
    <t xml:space="preserve">    Road : Goods vehicles</t>
  </si>
  <si>
    <t>Road : Powered two-wheelers</t>
  </si>
  <si>
    <t>Sea : EU merchant fleet</t>
  </si>
  <si>
    <t>Sea : World merchant fleet</t>
  </si>
  <si>
    <t>Air : passenger aircraft</t>
  </si>
  <si>
    <t>Number of civil aircraft in service</t>
  </si>
  <si>
    <t>Air : Freight, special, business aircraft</t>
  </si>
  <si>
    <t>Rail : Locomotives and railcars</t>
  </si>
  <si>
    <t>Rail : Passenger transport vehicles</t>
  </si>
  <si>
    <t>Rail : Goods transport wagons</t>
  </si>
  <si>
    <r>
      <t>*</t>
    </r>
    <r>
      <rPr>
        <sz val="8"/>
        <rFont val="Arial"/>
        <family val="2"/>
      </rPr>
      <t>: not including private-owners' vehicles; not fully comparable with data of previous years.</t>
    </r>
  </si>
  <si>
    <r>
      <t>DE:</t>
    </r>
    <r>
      <rPr>
        <sz val="8"/>
        <rFont val="Arial"/>
        <family val="2"/>
      </rPr>
      <t xml:space="preserve"> includes former GDR: 1970=137 984;  1980=142 202;  1990=163 158 </t>
    </r>
  </si>
  <si>
    <t>Road: Passenger cars : stock of vehicles</t>
  </si>
  <si>
    <t>Road: Buses and coaches : stock of vehicles</t>
  </si>
  <si>
    <t>Road: Goods vehicles : stock of vehicles</t>
  </si>
  <si>
    <t>Road: Powered two-wheelers : stock of vehicles</t>
  </si>
  <si>
    <t>Road: Passenger cars : new vehicle registrations</t>
  </si>
  <si>
    <t>Road: Goods vehicles : new vehicle registrations</t>
  </si>
  <si>
    <t>Road: Motorcycles : new vehicle registrations</t>
  </si>
  <si>
    <t>Road: Mopeds : new vehicle deliveries</t>
  </si>
  <si>
    <t>Road: Buses and Coaches : new vehicle registrations</t>
  </si>
  <si>
    <t>Sea:  EU merchant fleet</t>
  </si>
  <si>
    <t>Sea:  World merchant fleet by World region</t>
  </si>
  <si>
    <t>Sea:  World merchant fleet by type of ship</t>
  </si>
  <si>
    <t>Air:   Passenger aircraft : number in service</t>
  </si>
  <si>
    <t>Air:   Freight, special,  business aircraft : number in service</t>
  </si>
  <si>
    <t>Rail: Locomotives and railcars : stock of vehicles</t>
  </si>
  <si>
    <t>Rail: Goods transport wagons : stock of vehicles</t>
  </si>
  <si>
    <t>NB:</t>
  </si>
  <si>
    <r>
      <t xml:space="preserve">NB: </t>
    </r>
    <r>
      <rPr>
        <sz val="8"/>
        <rFont val="Arial"/>
        <family val="2"/>
      </rPr>
      <t>Passenger car stock at end of year n divided by the population on 1 January of year n+1</t>
    </r>
  </si>
  <si>
    <t xml:space="preserve">NB: </t>
  </si>
  <si>
    <r>
      <t>NB:</t>
    </r>
    <r>
      <rPr>
        <sz val="8"/>
        <rFont val="Arial"/>
        <family val="2"/>
      </rPr>
      <t xml:space="preserve"> </t>
    </r>
  </si>
  <si>
    <t>MT: including e-bycicles</t>
  </si>
  <si>
    <r>
      <rPr>
        <b/>
        <sz val="8"/>
        <rFont val="Arial"/>
        <family val="2"/>
      </rPr>
      <t>HR:</t>
    </r>
    <r>
      <rPr>
        <sz val="8"/>
        <rFont val="Arial"/>
        <family val="2"/>
      </rPr>
      <t xml:space="preserve"> from 2009 light vans are included in passenger cars and no longer in goods vehicles</t>
    </r>
  </si>
  <si>
    <t>Road: Motorisation : number of passenger cars per 1000 inhabitants</t>
  </si>
  <si>
    <t>Rail: Passenger transport vehicles: stocks of coaches, railcars and trailers</t>
  </si>
  <si>
    <t>2019*</t>
  </si>
  <si>
    <t>SE: Since 2010 national figures are used.</t>
  </si>
  <si>
    <r>
      <rPr>
        <b/>
        <sz val="8"/>
        <rFont val="Arial"/>
        <family val="2"/>
      </rPr>
      <t>EL, FI, NO:</t>
    </r>
    <r>
      <rPr>
        <sz val="8"/>
        <rFont val="Arial"/>
        <family val="2"/>
      </rPr>
      <t xml:space="preserve"> figures in italics refer to value of previous year; </t>
    </r>
    <r>
      <rPr>
        <b/>
        <sz val="8"/>
        <rFont val="Arial"/>
        <family val="2"/>
      </rPr>
      <t xml:space="preserve">BE: </t>
    </r>
    <r>
      <rPr>
        <sz val="8"/>
        <rFont val="Arial"/>
        <family val="2"/>
      </rPr>
      <t xml:space="preserve">2013 data; </t>
    </r>
    <r>
      <rPr>
        <b/>
        <sz val="8"/>
        <rFont val="Arial"/>
        <family val="2"/>
      </rPr>
      <t>UK</t>
    </r>
    <r>
      <rPr>
        <sz val="8"/>
        <rFont val="Arial"/>
        <family val="2"/>
      </rPr>
      <t>: 2014 data</t>
    </r>
  </si>
  <si>
    <t>dwt (1000)</t>
  </si>
  <si>
    <t xml:space="preserve">dwt </t>
  </si>
  <si>
    <r>
      <t>Cruise ships by registered flag</t>
    </r>
    <r>
      <rPr>
        <sz val="10"/>
        <color theme="1"/>
        <rFont val="Arial"/>
        <family val="2"/>
      </rPr>
      <t>, numbers and gross tons</t>
    </r>
  </si>
  <si>
    <r>
      <t xml:space="preserve">gt </t>
    </r>
    <r>
      <rPr>
        <sz val="8"/>
        <color theme="1"/>
        <rFont val="Arial"/>
        <family val="2"/>
      </rPr>
      <t>(thousand)</t>
    </r>
  </si>
  <si>
    <r>
      <t xml:space="preserve">Break in time series due to inclusion of mopeds from 2001 in </t>
    </r>
    <r>
      <rPr>
        <b/>
        <sz val="8"/>
        <rFont val="Arial"/>
        <family val="2"/>
      </rPr>
      <t>ES</t>
    </r>
    <r>
      <rPr>
        <sz val="8"/>
        <rFont val="Arial"/>
        <family val="2"/>
      </rPr>
      <t xml:space="preserve">, from 2002 in </t>
    </r>
    <r>
      <rPr>
        <b/>
        <sz val="8"/>
        <rFont val="Arial"/>
        <family val="2"/>
      </rPr>
      <t xml:space="preserve">SI </t>
    </r>
    <r>
      <rPr>
        <sz val="8"/>
        <rFont val="Arial"/>
        <family val="2"/>
      </rPr>
      <t xml:space="preserve">and </t>
    </r>
    <r>
      <rPr>
        <b/>
        <sz val="8"/>
        <rFont val="Arial"/>
        <family val="2"/>
      </rPr>
      <t>HR</t>
    </r>
    <r>
      <rPr>
        <sz val="8"/>
        <rFont val="Arial"/>
        <family val="2"/>
      </rPr>
      <t xml:space="preserve">, from 2004 in </t>
    </r>
    <r>
      <rPr>
        <b/>
        <sz val="8"/>
        <rFont val="Arial"/>
        <family val="2"/>
      </rPr>
      <t>LV</t>
    </r>
    <r>
      <rPr>
        <sz val="8"/>
        <rFont val="Arial"/>
        <family val="2"/>
      </rPr>
      <t xml:space="preserve">, from 2005 in </t>
    </r>
    <r>
      <rPr>
        <b/>
        <sz val="8"/>
        <rFont val="Arial"/>
        <family val="2"/>
      </rPr>
      <t>PL</t>
    </r>
    <r>
      <rPr>
        <sz val="8"/>
        <rFont val="Arial"/>
        <family val="2"/>
      </rPr>
      <t xml:space="preserve">, from 2007 in </t>
    </r>
    <r>
      <rPr>
        <b/>
        <sz val="8"/>
        <rFont val="Arial"/>
        <family val="2"/>
      </rPr>
      <t xml:space="preserve">LT, </t>
    </r>
    <r>
      <rPr>
        <sz val="8"/>
        <rFont val="Arial"/>
        <family val="2"/>
      </rPr>
      <t xml:space="preserve">from 2009 </t>
    </r>
    <r>
      <rPr>
        <b/>
        <sz val="8"/>
        <rFont val="Arial"/>
        <family val="2"/>
      </rPr>
      <t xml:space="preserve">in SK, </t>
    </r>
    <r>
      <rPr>
        <sz val="8"/>
        <rFont val="Arial"/>
        <family val="2"/>
      </rPr>
      <t xml:space="preserve">from 2011 in </t>
    </r>
    <r>
      <rPr>
        <b/>
        <sz val="8"/>
        <rFont val="Arial"/>
        <family val="2"/>
      </rPr>
      <t xml:space="preserve">EE, </t>
    </r>
    <r>
      <rPr>
        <sz val="8"/>
        <rFont val="Arial"/>
        <family val="2"/>
      </rPr>
      <t>from 2018 in</t>
    </r>
    <r>
      <rPr>
        <b/>
        <sz val="8"/>
        <rFont val="Arial"/>
        <family val="2"/>
      </rPr>
      <t xml:space="preserve"> BE. </t>
    </r>
  </si>
  <si>
    <t xml:space="preserve">CZ: Revision in 2022 of the whole time series due to inclusion of the mopeds. </t>
  </si>
  <si>
    <t xml:space="preserve">Tricycles and quads are sometimes included in the data. SE data includes cross-country scooters. CH: mopeds include fast e-bikes. </t>
  </si>
  <si>
    <t>FR:  2015-2019 data were revised due to change in methodology.</t>
  </si>
  <si>
    <r>
      <t>Source:</t>
    </r>
    <r>
      <rPr>
        <sz val="8"/>
        <rFont val="Arial"/>
        <family val="2"/>
      </rPr>
      <t xml:space="preserve"> Eurostat [road_eqs_carage, tran_r_vehst], national statistics, Association des Constructeurs Européens de Motocycles (ACEM) for </t>
    </r>
    <r>
      <rPr>
        <b/>
        <sz val="8"/>
        <rFont val="Arial"/>
        <family val="2"/>
      </rPr>
      <t>FR</t>
    </r>
    <r>
      <rPr>
        <sz val="8"/>
        <rFont val="Arial"/>
        <family val="2"/>
      </rPr>
      <t xml:space="preserve"> (2017 data).</t>
    </r>
  </si>
  <si>
    <t>mtow: maximum take-off weight</t>
  </si>
  <si>
    <t>BA</t>
  </si>
  <si>
    <t>UA</t>
  </si>
  <si>
    <t>MD</t>
  </si>
  <si>
    <t>:</t>
  </si>
  <si>
    <r>
      <t>National flag (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>)</t>
    </r>
  </si>
  <si>
    <r>
      <t xml:space="preserve">Foreign flag         </t>
    </r>
    <r>
      <rPr>
        <sz val="8"/>
        <rFont val="Arial"/>
        <family val="2"/>
      </rPr>
      <t>(including other EU)</t>
    </r>
  </si>
  <si>
    <r>
      <t>Source</t>
    </r>
    <r>
      <rPr>
        <sz val="8"/>
        <rFont val="Arial"/>
        <family val="2"/>
      </rPr>
      <t>: ISL, based on updates from Clarkson Research Services Limited (CRSL)</t>
    </r>
  </si>
  <si>
    <r>
      <t>(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>)</t>
    </r>
    <r>
      <rPr>
        <sz val="8"/>
        <rFont val="Arial"/>
        <family val="2"/>
      </rPr>
      <t xml:space="preserve"> including international registers like NIS and DIS. Including vessels registered at territorial dependencies.</t>
    </r>
  </si>
  <si>
    <r>
      <t xml:space="preserve">dwt </t>
    </r>
    <r>
      <rPr>
        <sz val="8"/>
        <rFont val="Arial"/>
        <family val="2"/>
      </rPr>
      <t>(thousand)</t>
    </r>
  </si>
  <si>
    <r>
      <t>For transport of goods and passengers: passenger and passenger / cargo ships by registered flag</t>
    </r>
    <r>
      <rPr>
        <sz val="10"/>
        <rFont val="Arial"/>
        <family val="2"/>
      </rPr>
      <t>, numbers and gross tons</t>
    </r>
  </si>
  <si>
    <r>
      <t xml:space="preserve">gt </t>
    </r>
    <r>
      <rPr>
        <sz val="8"/>
        <rFont val="Arial"/>
        <family val="2"/>
      </rPr>
      <t>(thousand)</t>
    </r>
  </si>
  <si>
    <r>
      <t>Source</t>
    </r>
    <r>
      <rPr>
        <sz val="8"/>
        <rFont val="Arial"/>
        <family val="2"/>
      </rPr>
      <t>: Institute for Shipping Economics and Logistics, Bremen</t>
    </r>
  </si>
  <si>
    <t>change 20/21
%</t>
  </si>
  <si>
    <r>
      <t>Source</t>
    </r>
    <r>
      <rPr>
        <sz val="8"/>
        <rFont val="Arial"/>
        <family val="2"/>
      </rPr>
      <t xml:space="preserve">: Eurostat [road_eqs_carage], national statistics (IE, FI, UK, MD, RS,TR), estimates or provisional </t>
    </r>
    <r>
      <rPr>
        <i/>
        <sz val="8"/>
        <rFont val="Arial"/>
        <family val="2"/>
      </rPr>
      <t>(in italics)</t>
    </r>
  </si>
  <si>
    <r>
      <t>Source</t>
    </r>
    <r>
      <rPr>
        <sz val="8"/>
        <rFont val="Arial"/>
        <family val="2"/>
      </rPr>
      <t xml:space="preserve">: Eurostat [road_eqs_lorroa, tran_r_vehst], national statistics, estimates </t>
    </r>
    <r>
      <rPr>
        <i/>
        <sz val="8"/>
        <rFont val="Arial"/>
        <family val="2"/>
      </rPr>
      <t>(in italics)</t>
    </r>
  </si>
  <si>
    <t>Zero emission vehicles* (thousands)</t>
  </si>
  <si>
    <t>Light goods vehicles (&lt; 3.5 t)</t>
  </si>
  <si>
    <t>Heavy goods vehicles (&gt;3.5 t)</t>
  </si>
  <si>
    <t>Total goods vehicles</t>
  </si>
  <si>
    <t>of which:                                                      'Lorries &gt; 3.5 t</t>
  </si>
  <si>
    <t xml:space="preserve">Road tractors </t>
  </si>
  <si>
    <t>Busses and coaches</t>
  </si>
  <si>
    <t xml:space="preserve">Heavy goods vehicles include lorries &gt; 3.5 t and road tractors. </t>
  </si>
  <si>
    <t>(1) only the total is available, with no split between light goods vehicles and heavy goods vehicles.</t>
  </si>
  <si>
    <t xml:space="preserve">(2) included in Heavy goods vehicles </t>
  </si>
  <si>
    <t>Buses and coaches' includes troleybuses</t>
  </si>
  <si>
    <r>
      <t xml:space="preserve">Source: </t>
    </r>
    <r>
      <rPr>
        <sz val="8"/>
        <rFont val="Arial"/>
        <family val="2"/>
      </rPr>
      <t>Association des Constructeurs Européens de Motocycles (ACEM), Eurostat (HU, LT, MK, TR, NO), national sources (BG, DK, CY, MT, RO, SE, CH), estimates</t>
    </r>
    <r>
      <rPr>
        <i/>
        <sz val="8"/>
        <rFont val="Arial"/>
        <family val="2"/>
      </rPr>
      <t xml:space="preserve"> (in italics</t>
    </r>
    <r>
      <rPr>
        <b/>
        <sz val="8"/>
        <rFont val="Arial"/>
        <family val="2"/>
      </rPr>
      <t>)</t>
    </r>
  </si>
  <si>
    <r>
      <t>Source</t>
    </r>
    <r>
      <rPr>
        <sz val="8"/>
        <rFont val="Arial"/>
        <family val="2"/>
      </rPr>
      <t xml:space="preserve">: Association des Constructeurs Européens de Motocycles (ACEM), Eurostat (FI, MT, SE, AL,RS, TR), national sources (BG, CY, DK, RO, CH), estimates </t>
    </r>
    <r>
      <rPr>
        <i/>
        <sz val="8"/>
        <rFont val="Arial"/>
        <family val="2"/>
      </rPr>
      <t>(in italics)</t>
    </r>
    <r>
      <rPr>
        <sz val="8"/>
        <rFont val="Arial"/>
        <family val="2"/>
      </rPr>
      <t xml:space="preserve">. </t>
    </r>
  </si>
  <si>
    <t xml:space="preserve">Official statistics on mopeds are often unavailable, therefore data and estimates should be considered as indicative. </t>
  </si>
  <si>
    <r>
      <rPr>
        <b/>
        <sz val="8"/>
        <rFont val="Arial"/>
        <family val="2"/>
      </rPr>
      <t>SI: S</t>
    </r>
    <r>
      <rPr>
        <sz val="8"/>
        <rFont val="Arial"/>
        <family val="2"/>
      </rPr>
      <t xml:space="preserve">ince May 2017 obligatory registration of mopeds with the maximum speed of 25 km/h </t>
    </r>
  </si>
  <si>
    <t>Zero emission vehicles*    (%)</t>
  </si>
  <si>
    <t>change 21/22</t>
  </si>
  <si>
    <t>Change 21/22</t>
  </si>
  <si>
    <r>
      <t>Source</t>
    </r>
    <r>
      <rPr>
        <sz val="8"/>
        <rFont val="Arial"/>
        <family val="2"/>
      </rPr>
      <t xml:space="preserve">: Eurostat [rail_eq_locon],  Union Internationale des Chemins de Fer, UNECE (ME), national sources (BE,DK), </t>
    </r>
    <r>
      <rPr>
        <i/>
        <sz val="8"/>
        <rFont val="Arial"/>
        <family val="2"/>
      </rPr>
      <t xml:space="preserve">estimates (in italics); </t>
    </r>
  </si>
  <si>
    <t>change 22/21 %</t>
  </si>
  <si>
    <t>GE</t>
  </si>
  <si>
    <t xml:space="preserve">SI, SK: light goods vehicles are not included. </t>
  </si>
  <si>
    <t>change (total)
22/23 (%)</t>
  </si>
  <si>
    <t>On January 1st, 2023</t>
  </si>
  <si>
    <t>change 
21/22</t>
  </si>
  <si>
    <t>change 21/22
%</t>
  </si>
  <si>
    <r>
      <t>Source</t>
    </r>
    <r>
      <rPr>
        <sz val="8"/>
        <rFont val="Arial"/>
        <family val="2"/>
      </rPr>
      <t xml:space="preserve">: Eurostat since 2013, Association des Constructeurs Européens d'Automobiles (ACEA),  EAFO for data on shares, national sources, </t>
    </r>
    <r>
      <rPr>
        <i/>
        <sz val="8"/>
        <rFont val="Arial"/>
        <family val="2"/>
      </rPr>
      <t>estimates (in italics)</t>
    </r>
  </si>
  <si>
    <t>2023 figures are provisional.</t>
  </si>
  <si>
    <r>
      <rPr>
        <b/>
        <sz val="8"/>
        <rFont val="Arial"/>
        <family val="2"/>
      </rPr>
      <t>FR</t>
    </r>
    <r>
      <rPr>
        <sz val="8"/>
        <rFont val="Arial"/>
        <family val="2"/>
      </rPr>
      <t>:  2013-2019 data were revised; data until 2012 included private cars &lt; 15 years old;</t>
    </r>
  </si>
  <si>
    <r>
      <t>*:</t>
    </r>
    <r>
      <rPr>
        <sz val="8"/>
        <rFont val="Arial"/>
        <family val="2"/>
      </rPr>
      <t xml:space="preserve"> In this table Europe includes EU-27, EFTA, UK, Monaco, Gibraltar, Andorra, Turkey, Western Balkan countries, Russia, Ukraine and Moldova, and Georgia (starting with 2023)</t>
    </r>
  </si>
  <si>
    <r>
      <t>Source</t>
    </r>
    <r>
      <rPr>
        <sz val="8"/>
        <rFont val="Arial"/>
        <family val="2"/>
      </rPr>
      <t xml:space="preserve">:   Eurostat, European Alternative Fuel Observatory (EAFO), Association des Constructeurs Européens d'Automobiles (ACEA) for data until 2013; national sources (CY and MT, TR until 2015;  ME, MK, RS all years), estimates </t>
    </r>
    <r>
      <rPr>
        <i/>
        <sz val="8"/>
        <rFont val="Arial"/>
        <family val="2"/>
      </rPr>
      <t>(italics);</t>
    </r>
  </si>
  <si>
    <t>LCV</t>
  </si>
  <si>
    <t xml:space="preserve">HR : ACEA data not eurostat data, because a strange decrease between 2020 and 2021. The other source - EAFO seems more credible. </t>
  </si>
  <si>
    <t>Electricity (%)</t>
  </si>
  <si>
    <t>468</t>
  </si>
  <si>
    <t>HgV</t>
  </si>
  <si>
    <t>EL: ACEA, no data available at ESTAT or EAFO</t>
  </si>
  <si>
    <t>Change (total)   21/22   (%)</t>
  </si>
  <si>
    <r>
      <t>For transport of goods and passengers: fleet by type of ship and country of control</t>
    </r>
    <r>
      <rPr>
        <sz val="10"/>
        <rFont val="Arial"/>
        <family val="2"/>
      </rPr>
      <t xml:space="preserve">, numbers and deadweight </t>
    </r>
  </si>
  <si>
    <t>As mid 2023  (**)</t>
  </si>
  <si>
    <t>Heavy goods vehicles (&lt; 3.5 t)</t>
  </si>
  <si>
    <r>
      <t>Source</t>
    </r>
    <r>
      <rPr>
        <sz val="8"/>
        <color theme="1"/>
        <rFont val="Arial"/>
        <family val="2"/>
      </rPr>
      <t>:  EUROSTAT, EAFO, ACEA, national sources, estimates (</t>
    </r>
    <r>
      <rPr>
        <i/>
        <sz val="8"/>
        <color theme="1"/>
        <rFont val="Arial"/>
        <family val="2"/>
      </rPr>
      <t>in italics</t>
    </r>
    <r>
      <rPr>
        <sz val="8"/>
        <color theme="1"/>
        <rFont val="Arial"/>
        <family val="2"/>
      </rPr>
      <t xml:space="preserve">); up to 2013 most  of the data is from ACEA and national sources; </t>
    </r>
  </si>
  <si>
    <t xml:space="preserve"> Change 21/22     (%)</t>
  </si>
  <si>
    <t>On 31 December 2023</t>
  </si>
  <si>
    <t>change 22/23</t>
  </si>
  <si>
    <t xml:space="preserve">FI, IE, RS: figures in italics refer to value of previous year; </t>
  </si>
  <si>
    <t>Zero emission vehicles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</si>
</sst>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43" formatCode="_-* #,##0.00_-;\-* #,##0.00_-;_-* &quot;-&quot;??_-;_-@_-"/>
    <numFmt numFmtId="164" formatCode="#,##0.0"/>
    <numFmt numFmtId="165" formatCode="#,##0.000"/>
    <numFmt numFmtId="166" formatCode="0.0"/>
    <numFmt numFmtId="167" formatCode="#\ ##0"/>
    <numFmt numFmtId="168" formatCode="0.000"/>
    <numFmt numFmtId="169" formatCode="0.0%"/>
    <numFmt numFmtId="170" formatCode="#,##0.0\ \ "/>
    <numFmt numFmtId="171" formatCode="#,###,##0"/>
    <numFmt numFmtId="172" formatCode="0.0\ \ \ "/>
    <numFmt numFmtId="173" formatCode="0.00\ "/>
    <numFmt numFmtId="174" formatCode="#,##0\ "/>
    <numFmt numFmtId="175" formatCode="_-* #,##0.00\ _F_t_-;\-* #,##0.00\ _F_t_-;_-* &quot;-&quot;??\ _F_t_-;_-@_-"/>
    <numFmt numFmtId="176" formatCode="#\ ##0.0"/>
    <numFmt numFmtId="177" formatCode="#\ ###\ ###\ ###\ ##0"/>
    <numFmt numFmtId="178" formatCode="#\ ##0.000"/>
    <numFmt numFmtId="179" formatCode="#\ ###\ ##0"/>
    <numFmt numFmtId="180" formatCode="\(##\);\(##\)"/>
    <numFmt numFmtId="181" formatCode="##############\ ##0.0"/>
    <numFmt numFmtId="182" formatCode="####\ ##0.0"/>
    <numFmt numFmtId="183" formatCode="_-* #,##0.00\ _k_r_-;\-* #,##0.00\ _k_r_-;_-* &quot;-&quot;??\ _k_r_-;_-@_-"/>
    <numFmt numFmtId="184" formatCode="######\ ##0.0"/>
    <numFmt numFmtId="185" formatCode="##0\ "/>
  </numFmts>
  <fonts count="10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10"/>
      <color indexed="18"/>
      <name val="Arial"/>
      <family val="2"/>
    </font>
    <font>
      <b/>
      <sz val="10"/>
      <color indexed="8"/>
      <name val="Arial"/>
      <family val="2"/>
    </font>
    <font>
      <b/>
      <sz val="7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10"/>
      <name val="Times"/>
      <family val="1"/>
    </font>
    <font>
      <b/>
      <sz val="10"/>
      <name val="Times"/>
      <family val="1"/>
    </font>
    <font>
      <b/>
      <sz val="8"/>
      <name val="Times"/>
      <family val="1"/>
    </font>
    <font>
      <b/>
      <sz val="10"/>
      <name val="Times"/>
      <family val="1"/>
    </font>
    <font>
      <b/>
      <i/>
      <sz val="10"/>
      <name val="Times"/>
      <family val="1"/>
    </font>
    <font>
      <sz val="8"/>
      <name val="Times"/>
      <family val="1"/>
    </font>
    <font>
      <i/>
      <sz val="8"/>
      <name val="Times"/>
      <family val="1"/>
    </font>
    <font>
      <sz val="8"/>
      <color indexed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sz val="11"/>
      <name val="Arial"/>
      <family val="2"/>
    </font>
    <font>
      <sz val="10"/>
      <name val="MS Sans Serif"/>
      <family val="2"/>
    </font>
    <font>
      <sz val="10"/>
      <name val="Times New Roman CE"/>
      <charset val="238"/>
    </font>
    <font>
      <sz val="11"/>
      <name val="Arial"/>
      <family val="2"/>
    </font>
    <font>
      <sz val="10"/>
      <color indexed="8"/>
      <name val="Arial"/>
      <family val="2"/>
    </font>
    <font>
      <b/>
      <sz val="6"/>
      <color indexed="18"/>
      <name val="Arial"/>
      <family val="2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b/>
      <sz val="10"/>
      <color indexed="37"/>
      <name val="Arial"/>
      <family val="2"/>
    </font>
    <font>
      <b/>
      <sz val="12"/>
      <color indexed="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b/>
      <i/>
      <sz val="10"/>
      <color indexed="8"/>
      <name val="Arial"/>
      <family val="2"/>
    </font>
    <font>
      <sz val="10"/>
      <name val="Arial"/>
      <family val="2"/>
    </font>
    <font>
      <b/>
      <sz val="12"/>
      <name val="Times New Roman"/>
      <family val="1"/>
    </font>
    <font>
      <i/>
      <sz val="8"/>
      <color indexed="38"/>
      <name val="Arial"/>
      <family val="2"/>
    </font>
    <font>
      <sz val="10"/>
      <color indexed="56"/>
      <name val="Arial"/>
      <family val="2"/>
    </font>
    <font>
      <b/>
      <vertAlign val="superscript"/>
      <sz val="12"/>
      <color indexed="54"/>
      <name val="Arial"/>
      <family val="2"/>
    </font>
    <font>
      <sz val="10"/>
      <color indexed="54"/>
      <name val="Arial"/>
      <family val="2"/>
    </font>
    <font>
      <b/>
      <sz val="10"/>
      <color indexed="56"/>
      <name val="Arial"/>
      <family val="2"/>
    </font>
    <font>
      <i/>
      <sz val="8"/>
      <color indexed="57"/>
      <name val="Arial"/>
      <family val="2"/>
    </font>
    <font>
      <b/>
      <sz val="10"/>
      <color indexed="8"/>
      <name val="Arial"/>
      <family val="2"/>
    </font>
    <font>
      <sz val="11"/>
      <color indexed="9"/>
      <name val="Calibri"/>
      <family val="2"/>
    </font>
    <font>
      <i/>
      <sz val="8"/>
      <color indexed="3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b/>
      <i/>
      <u/>
      <sz val="1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0"/>
      <color theme="10"/>
      <name val="Arial"/>
      <family val="2"/>
    </font>
    <font>
      <sz val="11"/>
      <color rgb="FF3F3F76"/>
      <name val="Calibri"/>
      <family val="2"/>
      <scheme val="minor"/>
    </font>
    <font>
      <sz val="10"/>
      <color rgb="FF000000"/>
      <name val="Arial"/>
      <family val="2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indexed="8"/>
      <name val="Calibri"/>
      <family val="2"/>
      <scheme val="minor"/>
    </font>
    <font>
      <sz val="9.5"/>
      <color rgb="FF000000"/>
      <name val="Albany AMT"/>
    </font>
    <font>
      <sz val="10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333333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 Greek"/>
      <charset val="161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i/>
      <sz val="8"/>
      <color theme="1"/>
      <name val="Arial"/>
      <family val="2"/>
    </font>
    <font>
      <sz val="10"/>
      <name val="Arial"/>
      <family val="2"/>
      <charset val="204"/>
    </font>
    <font>
      <b/>
      <vertAlign val="superscript"/>
      <sz val="8"/>
      <name val="Arial"/>
      <family val="2"/>
    </font>
    <font>
      <sz val="8"/>
      <color rgb="FFC00000"/>
      <name val="Arial"/>
      <family val="2"/>
    </font>
    <font>
      <b/>
      <sz val="11"/>
      <color theme="1"/>
      <name val="Calibri"/>
      <family val="2"/>
      <charset val="1"/>
    </font>
    <font>
      <b/>
      <i/>
      <sz val="8"/>
      <color theme="1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53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lightGray">
        <fgColor indexed="9"/>
      </patternFill>
    </fill>
    <fill>
      <patternFill patternType="solid">
        <fgColor indexed="49"/>
        <bgColor indexed="64"/>
      </patternFill>
    </fill>
    <fill>
      <patternFill patternType="solid">
        <fgColor indexed="20"/>
        <bgColor indexed="64"/>
      </patternFill>
    </fill>
    <fill>
      <patternFill patternType="gray0625">
        <fgColor indexed="9"/>
      </patternFill>
    </fill>
    <fill>
      <patternFill patternType="gray0625">
        <fgColor indexed="9"/>
        <bgColor indexed="9"/>
      </patternFill>
    </fill>
    <fill>
      <patternFill patternType="solid">
        <fgColor indexed="9"/>
        <bgColor indexed="9"/>
      </patternFill>
    </fill>
    <fill>
      <patternFill patternType="lightGray">
        <fgColor indexed="13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lightGray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66">
    <border>
      <left/>
      <right/>
      <top/>
      <bottom/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79">
    <xf numFmtId="0" fontId="0" fillId="0" borderId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6" fillId="24" borderId="0" applyNumberFormat="0" applyBorder="0" applyAlignment="0" applyProtection="0"/>
    <xf numFmtId="0" fontId="66" fillId="25" borderId="0" applyNumberFormat="0" applyBorder="0" applyAlignment="0" applyProtection="0"/>
    <xf numFmtId="0" fontId="66" fillId="26" borderId="0" applyNumberFormat="0" applyBorder="0" applyAlignment="0" applyProtection="0"/>
    <xf numFmtId="0" fontId="66" fillId="27" borderId="0" applyNumberFormat="0" applyBorder="0" applyAlignment="0" applyProtection="0"/>
    <xf numFmtId="0" fontId="66" fillId="28" borderId="0" applyNumberFormat="0" applyBorder="0" applyAlignment="0" applyProtection="0"/>
    <xf numFmtId="0" fontId="66" fillId="29" borderId="0" applyNumberFormat="0" applyBorder="0" applyAlignment="0" applyProtection="0"/>
    <xf numFmtId="0" fontId="66" fillId="30" borderId="0" applyNumberFormat="0" applyBorder="0" applyAlignment="0" applyProtection="0"/>
    <xf numFmtId="0" fontId="66" fillId="31" borderId="0" applyNumberFormat="0" applyBorder="0" applyAlignment="0" applyProtection="0"/>
    <xf numFmtId="0" fontId="66" fillId="32" borderId="0" applyNumberFormat="0" applyBorder="0" applyAlignment="0" applyProtection="0"/>
    <xf numFmtId="0" fontId="66" fillId="33" borderId="0" applyNumberFormat="0" applyBorder="0" applyAlignment="0" applyProtection="0"/>
    <xf numFmtId="0" fontId="66" fillId="34" borderId="0" applyNumberFormat="0" applyBorder="0" applyAlignment="0" applyProtection="0"/>
    <xf numFmtId="0" fontId="67" fillId="35" borderId="0" applyNumberFormat="0" applyBorder="0" applyAlignment="0" applyProtection="0"/>
    <xf numFmtId="0" fontId="67" fillId="36" borderId="0" applyNumberFormat="0" applyBorder="0" applyAlignment="0" applyProtection="0"/>
    <xf numFmtId="0" fontId="67" fillId="37" borderId="0" applyNumberFormat="0" applyBorder="0" applyAlignment="0" applyProtection="0"/>
    <xf numFmtId="0" fontId="67" fillId="38" borderId="0" applyNumberFormat="0" applyBorder="0" applyAlignment="0" applyProtection="0"/>
    <xf numFmtId="0" fontId="67" fillId="39" borderId="0" applyNumberFormat="0" applyBorder="0" applyAlignment="0" applyProtection="0"/>
    <xf numFmtId="0" fontId="67" fillId="40" borderId="0" applyNumberFormat="0" applyBorder="0" applyAlignment="0" applyProtection="0"/>
    <xf numFmtId="0" fontId="67" fillId="41" borderId="0" applyNumberFormat="0" applyBorder="0" applyAlignment="0" applyProtection="0"/>
    <xf numFmtId="0" fontId="59" fillId="3" borderId="0" applyNumberFormat="0" applyBorder="0" applyAlignment="0" applyProtection="0"/>
    <xf numFmtId="0" fontId="67" fillId="42" borderId="0" applyNumberFormat="0" applyBorder="0" applyAlignment="0" applyProtection="0"/>
    <xf numFmtId="0" fontId="59" fillId="4" borderId="0" applyNumberFormat="0" applyBorder="0" applyAlignment="0" applyProtection="0"/>
    <xf numFmtId="0" fontId="67" fillId="43" borderId="0" applyNumberFormat="0" applyBorder="0" applyAlignment="0" applyProtection="0"/>
    <xf numFmtId="0" fontId="59" fillId="5" borderId="0" applyNumberFormat="0" applyBorder="0" applyAlignment="0" applyProtection="0"/>
    <xf numFmtId="0" fontId="67" fillId="44" borderId="0" applyNumberFormat="0" applyBorder="0" applyAlignment="0" applyProtection="0"/>
    <xf numFmtId="0" fontId="59" fillId="6" borderId="0" applyNumberFormat="0" applyBorder="0" applyAlignment="0" applyProtection="0"/>
    <xf numFmtId="0" fontId="67" fillId="45" borderId="0" applyNumberFormat="0" applyBorder="0" applyAlignment="0" applyProtection="0"/>
    <xf numFmtId="0" fontId="59" fillId="2" borderId="0" applyNumberFormat="0" applyBorder="0" applyAlignment="0" applyProtection="0"/>
    <xf numFmtId="0" fontId="67" fillId="46" borderId="0" applyNumberFormat="0" applyBorder="0" applyAlignment="0" applyProtection="0"/>
    <xf numFmtId="0" fontId="59" fillId="7" borderId="0" applyNumberFormat="0" applyBorder="0" applyAlignment="0" applyProtection="0"/>
    <xf numFmtId="0" fontId="68" fillId="47" borderId="0" applyNumberFormat="0" applyBorder="0" applyAlignment="0" applyProtection="0"/>
    <xf numFmtId="0" fontId="69" fillId="48" borderId="43" applyNumberFormat="0" applyAlignment="0" applyProtection="0"/>
    <xf numFmtId="0" fontId="6" fillId="8" borderId="0">
      <protection locked="0"/>
    </xf>
    <xf numFmtId="0" fontId="70" fillId="49" borderId="44" applyNumberFormat="0" applyAlignment="0" applyProtection="0"/>
    <xf numFmtId="49" fontId="6" fillId="9" borderId="1">
      <alignment vertical="top" wrapText="1"/>
    </xf>
    <xf numFmtId="0" fontId="6" fillId="10" borderId="2">
      <alignment horizontal="center" vertical="center"/>
      <protection locked="0"/>
    </xf>
    <xf numFmtId="175" fontId="38" fillId="0" borderId="0" applyFont="0" applyFill="0" applyBorder="0" applyAlignment="0" applyProtection="0"/>
    <xf numFmtId="183" fontId="6" fillId="0" borderId="0" applyFont="0" applyFill="0" applyBorder="0" applyAlignment="0" applyProtection="0"/>
    <xf numFmtId="49" fontId="50" fillId="0" borderId="0">
      <alignment vertical="top" wrapText="1"/>
    </xf>
    <xf numFmtId="171" fontId="40" fillId="11" borderId="0" applyNumberFormat="0" applyBorder="0">
      <protection locked="0"/>
    </xf>
    <xf numFmtId="3" fontId="53" fillId="0" borderId="1">
      <alignment horizontal="right" vertical="top"/>
    </xf>
    <xf numFmtId="164" fontId="53" fillId="0" borderId="3"/>
    <xf numFmtId="164" fontId="56" fillId="0" borderId="3"/>
    <xf numFmtId="0" fontId="14" fillId="12" borderId="4">
      <alignment horizontal="centerContinuous" vertical="top" wrapText="1"/>
    </xf>
    <xf numFmtId="0" fontId="57" fillId="0" borderId="0">
      <alignment horizontal="left" vertical="top"/>
    </xf>
    <xf numFmtId="0" fontId="71" fillId="0" borderId="0" applyNumberFormat="0" applyFill="0" applyBorder="0" applyAlignment="0" applyProtection="0"/>
    <xf numFmtId="0" fontId="6" fillId="13" borderId="0">
      <protection locked="0"/>
    </xf>
    <xf numFmtId="0" fontId="14" fillId="10" borderId="0">
      <alignment vertical="center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14" fillId="0" borderId="0">
      <protection locked="0"/>
    </xf>
    <xf numFmtId="0" fontId="72" fillId="50" borderId="0" applyNumberFormat="0" applyBorder="0" applyAlignment="0" applyProtection="0"/>
    <xf numFmtId="0" fontId="8" fillId="0" borderId="0">
      <protection locked="0"/>
    </xf>
    <xf numFmtId="0" fontId="73" fillId="0" borderId="45" applyNumberFormat="0" applyFill="0" applyAlignment="0" applyProtection="0"/>
    <xf numFmtId="0" fontId="74" fillId="0" borderId="46" applyNumberFormat="0" applyFill="0" applyAlignment="0" applyProtection="0"/>
    <xf numFmtId="0" fontId="75" fillId="0" borderId="47" applyNumberFormat="0" applyFill="0" applyAlignment="0" applyProtection="0"/>
    <xf numFmtId="0" fontId="75" fillId="0" borderId="0" applyNumberForma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71" fontId="41" fillId="14" borderId="0" applyNumberFormat="0" applyBorder="0">
      <alignment horizontal="left"/>
      <protection locked="0"/>
    </xf>
    <xf numFmtId="0" fontId="77" fillId="51" borderId="43" applyNumberFormat="0" applyAlignment="0" applyProtection="0"/>
    <xf numFmtId="171" fontId="40" fillId="15" borderId="0" applyNumberFormat="0" applyBorder="0">
      <alignment horizontal="right"/>
      <protection locked="0"/>
    </xf>
    <xf numFmtId="171" fontId="78" fillId="52" borderId="0" applyNumberFormat="0" applyBorder="0">
      <alignment horizontal="right"/>
      <protection locked="0"/>
    </xf>
    <xf numFmtId="0" fontId="51" fillId="0" borderId="0"/>
    <xf numFmtId="0" fontId="79" fillId="0" borderId="48" applyNumberFormat="0" applyFill="0" applyAlignment="0" applyProtection="0"/>
    <xf numFmtId="171" fontId="42" fillId="15" borderId="0" applyNumberFormat="0" applyBorder="0">
      <alignment horizontal="right"/>
      <protection locked="0"/>
    </xf>
    <xf numFmtId="171" fontId="43" fillId="15" borderId="0" applyNumberFormat="0" applyBorder="0">
      <alignment horizontal="right"/>
      <protection locked="0"/>
    </xf>
    <xf numFmtId="0" fontId="80" fillId="53" borderId="0" applyNumberFormat="0" applyBorder="0" applyAlignment="0" applyProtection="0"/>
    <xf numFmtId="0" fontId="81" fillId="0" borderId="0"/>
    <xf numFmtId="0" fontId="82" fillId="0" borderId="0"/>
    <xf numFmtId="0" fontId="65" fillId="0" borderId="0"/>
    <xf numFmtId="0" fontId="66" fillId="0" borderId="0"/>
    <xf numFmtId="0" fontId="36" fillId="0" borderId="0"/>
    <xf numFmtId="0" fontId="6" fillId="0" borderId="0"/>
    <xf numFmtId="0" fontId="50" fillId="0" borderId="0"/>
    <xf numFmtId="0" fontId="6" fillId="0" borderId="0" applyFill="0"/>
    <xf numFmtId="0" fontId="62" fillId="0" borderId="0"/>
    <xf numFmtId="0" fontId="6" fillId="0" borderId="0"/>
    <xf numFmtId="0" fontId="66" fillId="0" borderId="0"/>
    <xf numFmtId="0" fontId="66" fillId="0" borderId="0"/>
    <xf numFmtId="0" fontId="66" fillId="0" borderId="0"/>
    <xf numFmtId="0" fontId="6" fillId="0" borderId="0" applyNumberFormat="0"/>
    <xf numFmtId="0" fontId="37" fillId="0" borderId="0"/>
    <xf numFmtId="0" fontId="83" fillId="0" borderId="0"/>
    <xf numFmtId="0" fontId="38" fillId="0" borderId="0"/>
    <xf numFmtId="0" fontId="39" fillId="0" borderId="0"/>
    <xf numFmtId="0" fontId="36" fillId="0" borderId="0"/>
    <xf numFmtId="0" fontId="40" fillId="0" borderId="0"/>
    <xf numFmtId="0" fontId="6" fillId="0" borderId="0">
      <protection locked="0"/>
    </xf>
    <xf numFmtId="0" fontId="9" fillId="0" borderId="0"/>
    <xf numFmtId="0" fontId="6" fillId="0" borderId="0"/>
    <xf numFmtId="0" fontId="55" fillId="0" borderId="0">
      <alignment vertical="top"/>
    </xf>
    <xf numFmtId="0" fontId="6" fillId="54" borderId="49" applyNumberFormat="0" applyFont="0" applyAlignment="0" applyProtection="0"/>
    <xf numFmtId="0" fontId="66" fillId="54" borderId="49" applyNumberFormat="0" applyFont="0" applyAlignment="0" applyProtection="0"/>
    <xf numFmtId="0" fontId="15" fillId="0" borderId="0"/>
    <xf numFmtId="180" fontId="54" fillId="0" borderId="0">
      <alignment horizontal="right"/>
    </xf>
    <xf numFmtId="0" fontId="84" fillId="48" borderId="50" applyNumberFormat="0" applyAlignment="0" applyProtection="0"/>
    <xf numFmtId="9" fontId="6" fillId="0" borderId="0" applyFont="0" applyFill="0" applyBorder="0" applyAlignment="0" applyProtection="0"/>
    <xf numFmtId="9" fontId="6" fillId="0" borderId="0" applyFill="0" applyBorder="0" applyAlignment="0" applyProtection="0"/>
    <xf numFmtId="0" fontId="64" fillId="0" borderId="0" applyNumberFormat="0" applyFill="0" applyBorder="0" applyAlignment="0" applyProtection="0"/>
    <xf numFmtId="0" fontId="6" fillId="10" borderId="5">
      <alignment vertical="center"/>
      <protection locked="0"/>
    </xf>
    <xf numFmtId="0" fontId="52" fillId="0" borderId="0">
      <alignment vertical="top" wrapText="1"/>
    </xf>
    <xf numFmtId="0" fontId="60" fillId="0" borderId="0">
      <alignment vertical="top" wrapText="1"/>
    </xf>
    <xf numFmtId="0" fontId="11" fillId="0" borderId="0"/>
    <xf numFmtId="0" fontId="6" fillId="8" borderId="0">
      <protection locked="0"/>
    </xf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171" fontId="44" fillId="17" borderId="0" applyNumberFormat="0" applyBorder="0">
      <alignment horizontal="center"/>
      <protection locked="0"/>
    </xf>
    <xf numFmtId="171" fontId="19" fillId="15" borderId="0" applyNumberFormat="0" applyBorder="0">
      <alignment horizontal="left"/>
      <protection locked="0"/>
    </xf>
    <xf numFmtId="171" fontId="78" fillId="52" borderId="0" applyNumberFormat="0" applyBorder="0">
      <alignment horizontal="left"/>
      <protection locked="0"/>
    </xf>
    <xf numFmtId="171" fontId="45" fillId="11" borderId="0" applyNumberFormat="0" applyBorder="0">
      <alignment horizontal="center"/>
      <protection locked="0"/>
    </xf>
    <xf numFmtId="171" fontId="45" fillId="15" borderId="0" applyNumberFormat="0" applyBorder="0">
      <alignment horizontal="left"/>
      <protection locked="0"/>
    </xf>
    <xf numFmtId="0" fontId="18" fillId="11" borderId="0" applyNumberFormat="0" applyBorder="0">
      <protection locked="0"/>
    </xf>
    <xf numFmtId="171" fontId="18" fillId="11" borderId="0" applyNumberFormat="0" applyBorder="0">
      <protection locked="0"/>
    </xf>
    <xf numFmtId="171" fontId="19" fillId="16" borderId="0" applyNumberFormat="0" applyBorder="0">
      <alignment horizontal="left"/>
      <protection locked="0"/>
    </xf>
    <xf numFmtId="171" fontId="78" fillId="52" borderId="0" applyNumberFormat="0" applyBorder="0">
      <alignment horizontal="left"/>
      <protection locked="0"/>
    </xf>
    <xf numFmtId="171" fontId="46" fillId="11" borderId="0" applyNumberFormat="0" applyBorder="0">
      <protection locked="0"/>
    </xf>
    <xf numFmtId="0" fontId="86" fillId="0" borderId="51" applyNumberFormat="0" applyFill="0" applyAlignment="0" applyProtection="0"/>
    <xf numFmtId="171" fontId="19" fillId="18" borderId="0" applyNumberFormat="0" applyBorder="0">
      <alignment horizontal="right"/>
      <protection locked="0"/>
    </xf>
    <xf numFmtId="171" fontId="58" fillId="18" borderId="0" applyNumberFormat="0" applyBorder="0">
      <protection locked="0"/>
    </xf>
    <xf numFmtId="171" fontId="19" fillId="18" borderId="0" applyNumberFormat="0" applyBorder="0">
      <protection locked="0"/>
    </xf>
    <xf numFmtId="0" fontId="19" fillId="14" borderId="0" applyNumberFormat="0" applyBorder="0">
      <protection locked="0"/>
    </xf>
    <xf numFmtId="171" fontId="47" fillId="19" borderId="0" applyNumberFormat="0" applyBorder="0">
      <protection locked="0"/>
    </xf>
    <xf numFmtId="171" fontId="48" fillId="19" borderId="0" applyNumberFormat="0" applyBorder="0">
      <protection locked="0"/>
    </xf>
    <xf numFmtId="171" fontId="19" fillId="15" borderId="0" applyNumberFormat="0" applyBorder="0">
      <protection locked="0"/>
    </xf>
    <xf numFmtId="171" fontId="19" fillId="15" borderId="0" applyNumberFormat="0" applyBorder="0">
      <protection locked="0"/>
    </xf>
    <xf numFmtId="171" fontId="19" fillId="15" borderId="0" applyNumberFormat="0" applyBorder="0">
      <protection locked="0"/>
    </xf>
    <xf numFmtId="171" fontId="19" fillId="14" borderId="0" applyNumberFormat="0" applyBorder="0">
      <protection locked="0"/>
    </xf>
    <xf numFmtId="171" fontId="49" fillId="20" borderId="0" applyNumberFormat="0" applyBorder="0">
      <protection locked="0"/>
    </xf>
    <xf numFmtId="183" fontId="6" fillId="0" borderId="0" applyFont="0" applyFill="0" applyBorder="0" applyAlignment="0" applyProtection="0"/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93" fillId="0" borderId="0"/>
    <xf numFmtId="0" fontId="5" fillId="27" borderId="0" applyNumberFormat="0" applyBorder="0" applyAlignment="0" applyProtection="0"/>
    <xf numFmtId="0" fontId="4" fillId="0" borderId="0"/>
    <xf numFmtId="0" fontId="4" fillId="54" borderId="49" applyNumberFormat="0" applyFont="0" applyAlignment="0" applyProtection="0"/>
    <xf numFmtId="0" fontId="4" fillId="23" borderId="0" applyNumberFormat="0" applyBorder="0" applyAlignment="0" applyProtection="0"/>
    <xf numFmtId="0" fontId="4" fillId="29" borderId="0" applyNumberFormat="0" applyBorder="0" applyAlignment="0" applyProtection="0"/>
    <xf numFmtId="0" fontId="4" fillId="24" borderId="0" applyNumberFormat="0" applyBorder="0" applyAlignment="0" applyProtection="0"/>
    <xf numFmtId="0" fontId="4" fillId="30" borderId="0" applyNumberFormat="0" applyBorder="0" applyAlignment="0" applyProtection="0"/>
    <xf numFmtId="0" fontId="4" fillId="25" borderId="0" applyNumberFormat="0" applyBorder="0" applyAlignment="0" applyProtection="0"/>
    <xf numFmtId="0" fontId="4" fillId="31" borderId="0" applyNumberFormat="0" applyBorder="0" applyAlignment="0" applyProtection="0"/>
    <xf numFmtId="0" fontId="4" fillId="26" borderId="0" applyNumberFormat="0" applyBorder="0" applyAlignment="0" applyProtection="0"/>
    <xf numFmtId="0" fontId="4" fillId="32" borderId="0" applyNumberFormat="0" applyBorder="0" applyAlignment="0" applyProtection="0"/>
    <xf numFmtId="0" fontId="4" fillId="27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4" borderId="0" applyNumberFormat="0" applyBorder="0" applyAlignment="0" applyProtection="0"/>
    <xf numFmtId="0" fontId="3" fillId="0" borderId="0"/>
    <xf numFmtId="0" fontId="97" fillId="0" borderId="0"/>
    <xf numFmtId="0" fontId="2" fillId="0" borderId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43" fontId="6" fillId="0" borderId="0" applyFont="0" applyFill="0" applyBorder="0" applyAlignment="0" applyProtection="0"/>
    <xf numFmtId="0" fontId="36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54" borderId="49" applyNumberFormat="0" applyFont="0" applyAlignment="0" applyProtection="0"/>
    <xf numFmtId="0" fontId="52" fillId="0" borderId="0">
      <alignment vertical="top" wrapText="1"/>
    </xf>
    <xf numFmtId="171" fontId="19" fillId="18" borderId="0" applyNumberFormat="0" applyBorder="0">
      <protection locked="0"/>
    </xf>
  </cellStyleXfs>
  <cellXfs count="1413">
    <xf numFmtId="0" fontId="0" fillId="0" borderId="0" xfId="0"/>
    <xf numFmtId="0" fontId="0" fillId="0" borderId="0" xfId="0" applyBorder="1"/>
    <xf numFmtId="0" fontId="9" fillId="0" borderId="0" xfId="0" applyFont="1" applyBorder="1"/>
    <xf numFmtId="0" fontId="9" fillId="0" borderId="0" xfId="0" applyFont="1"/>
    <xf numFmtId="0" fontId="0" fillId="0" borderId="0" xfId="0" applyFill="1" applyBorder="1"/>
    <xf numFmtId="0" fontId="0" fillId="0" borderId="0" xfId="0" applyAlignment="1">
      <alignment horizontal="center"/>
    </xf>
    <xf numFmtId="1" fontId="10" fillId="0" borderId="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right" vertical="top"/>
    </xf>
    <xf numFmtId="0" fontId="9" fillId="0" borderId="0" xfId="0" applyFont="1" applyAlignment="1">
      <alignment horizontal="center"/>
    </xf>
    <xf numFmtId="0" fontId="10" fillId="0" borderId="6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/>
    </xf>
    <xf numFmtId="0" fontId="9" fillId="0" borderId="0" xfId="0" applyFont="1" applyAlignment="1"/>
    <xf numFmtId="0" fontId="11" fillId="0" borderId="0" xfId="0" applyFont="1" applyBorder="1"/>
    <xf numFmtId="0" fontId="12" fillId="0" borderId="0" xfId="0" quotePrefix="1" applyFont="1" applyAlignment="1">
      <alignment horizontal="right" vertical="top"/>
    </xf>
    <xf numFmtId="0" fontId="12" fillId="0" borderId="0" xfId="0" quotePrefix="1" applyFont="1" applyBorder="1" applyAlignment="1">
      <alignment horizontal="right" vertical="top"/>
    </xf>
    <xf numFmtId="0" fontId="12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right" vertical="center"/>
    </xf>
    <xf numFmtId="0" fontId="10" fillId="0" borderId="0" xfId="0" applyFont="1" applyAlignment="1">
      <alignment horizontal="center"/>
    </xf>
    <xf numFmtId="0" fontId="9" fillId="0" borderId="0" xfId="0" applyFont="1" applyFill="1" applyBorder="1"/>
    <xf numFmtId="0" fontId="9" fillId="0" borderId="0" xfId="0" applyFont="1" applyFill="1"/>
    <xf numFmtId="0" fontId="13" fillId="0" borderId="0" xfId="0" applyFont="1"/>
    <xf numFmtId="9" fontId="9" fillId="0" borderId="0" xfId="0" applyNumberFormat="1" applyFont="1" applyAlignment="1">
      <alignment horizontal="center"/>
    </xf>
    <xf numFmtId="1" fontId="9" fillId="0" borderId="0" xfId="0" applyNumberFormat="1" applyFont="1" applyAlignment="1">
      <alignment horizontal="center"/>
    </xf>
    <xf numFmtId="0" fontId="13" fillId="0" borderId="0" xfId="0" applyFont="1" applyAlignment="1">
      <alignment vertical="top" wrapText="1"/>
    </xf>
    <xf numFmtId="0" fontId="12" fillId="0" borderId="0" xfId="0" applyFont="1" applyAlignment="1">
      <alignment horizontal="right" vertical="top"/>
    </xf>
    <xf numFmtId="0" fontId="13" fillId="0" borderId="0" xfId="0" applyFont="1" applyBorder="1" applyAlignment="1">
      <alignment vertical="top"/>
    </xf>
    <xf numFmtId="9" fontId="12" fillId="0" borderId="0" xfId="0" quotePrefix="1" applyNumberFormat="1" applyFont="1" applyAlignment="1">
      <alignment horizontal="right" vertical="top"/>
    </xf>
    <xf numFmtId="0" fontId="9" fillId="0" borderId="0" xfId="0" applyFont="1" applyBorder="1" applyAlignment="1"/>
    <xf numFmtId="0" fontId="9" fillId="0" borderId="8" xfId="0" applyFont="1" applyBorder="1" applyAlignment="1">
      <alignment horizontal="right" vertical="center"/>
    </xf>
    <xf numFmtId="1" fontId="20" fillId="0" borderId="0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right" vertical="top"/>
    </xf>
    <xf numFmtId="0" fontId="9" fillId="0" borderId="0" xfId="0" applyFont="1" applyFill="1" applyBorder="1" applyAlignment="1">
      <alignment horizontal="right" vertical="top"/>
    </xf>
    <xf numFmtId="0" fontId="9" fillId="0" borderId="0" xfId="0" applyFont="1" applyBorder="1" applyAlignment="1" applyProtection="1">
      <alignment horizontal="right" vertical="center"/>
    </xf>
    <xf numFmtId="166" fontId="9" fillId="0" borderId="0" xfId="0" applyNumberFormat="1" applyFont="1"/>
    <xf numFmtId="0" fontId="0" fillId="0" borderId="0" xfId="0" applyAlignment="1">
      <alignment vertical="top"/>
    </xf>
    <xf numFmtId="1" fontId="10" fillId="21" borderId="9" xfId="0" applyNumberFormat="1" applyFont="1" applyFill="1" applyBorder="1" applyAlignment="1">
      <alignment horizontal="center" vertical="center"/>
    </xf>
    <xf numFmtId="1" fontId="10" fillId="21" borderId="8" xfId="0" applyNumberFormat="1" applyFont="1" applyFill="1" applyBorder="1" applyAlignment="1">
      <alignment horizontal="center" vertical="center"/>
    </xf>
    <xf numFmtId="1" fontId="10" fillId="21" borderId="10" xfId="0" applyNumberFormat="1" applyFont="1" applyFill="1" applyBorder="1" applyAlignment="1">
      <alignment horizontal="center" vertical="center"/>
    </xf>
    <xf numFmtId="0" fontId="20" fillId="22" borderId="6" xfId="0" applyFont="1" applyFill="1" applyBorder="1" applyAlignment="1">
      <alignment horizontal="center" vertical="center" wrapText="1"/>
    </xf>
    <xf numFmtId="0" fontId="20" fillId="22" borderId="7" xfId="0" applyFont="1" applyFill="1" applyBorder="1" applyAlignment="1">
      <alignment horizontal="center" vertical="center" wrapText="1"/>
    </xf>
    <xf numFmtId="0" fontId="10" fillId="22" borderId="2" xfId="0" applyFont="1" applyFill="1" applyBorder="1" applyAlignment="1">
      <alignment horizontal="center" vertical="center"/>
    </xf>
    <xf numFmtId="0" fontId="10" fillId="22" borderId="6" xfId="0" applyFont="1" applyFill="1" applyBorder="1" applyAlignment="1">
      <alignment horizontal="center" vertical="center"/>
    </xf>
    <xf numFmtId="1" fontId="10" fillId="21" borderId="11" xfId="0" applyNumberFormat="1" applyFont="1" applyFill="1" applyBorder="1" applyAlignment="1">
      <alignment horizontal="center" vertical="center"/>
    </xf>
    <xf numFmtId="1" fontId="10" fillId="21" borderId="5" xfId="0" applyNumberFormat="1" applyFont="1" applyFill="1" applyBorder="1" applyAlignment="1">
      <alignment horizontal="center" vertical="center"/>
    </xf>
    <xf numFmtId="1" fontId="10" fillId="21" borderId="12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vertical="top"/>
    </xf>
    <xf numFmtId="0" fontId="9" fillId="0" borderId="0" xfId="0" applyFont="1" applyBorder="1" applyAlignment="1">
      <alignment horizontal="right" vertical="center"/>
    </xf>
    <xf numFmtId="3" fontId="0" fillId="0" borderId="0" xfId="0" applyNumberFormat="1"/>
    <xf numFmtId="0" fontId="10" fillId="22" borderId="13" xfId="0" applyFont="1" applyFill="1" applyBorder="1" applyAlignment="1">
      <alignment horizontal="center" vertical="center"/>
    </xf>
    <xf numFmtId="0" fontId="10" fillId="22" borderId="14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171" fontId="10" fillId="22" borderId="15" xfId="0" applyNumberFormat="1" applyFont="1" applyFill="1" applyBorder="1" applyAlignment="1">
      <alignment horizontal="right" vertical="center"/>
    </xf>
    <xf numFmtId="171" fontId="10" fillId="22" borderId="16" xfId="0" applyNumberFormat="1" applyFont="1" applyFill="1" applyBorder="1" applyAlignment="1">
      <alignment horizontal="right" vertical="center"/>
    </xf>
    <xf numFmtId="171" fontId="9" fillId="0" borderId="15" xfId="0" applyNumberFormat="1" applyFont="1" applyFill="1" applyBorder="1" applyAlignment="1">
      <alignment vertical="center"/>
    </xf>
    <xf numFmtId="171" fontId="9" fillId="0" borderId="16" xfId="0" applyNumberFormat="1" applyFont="1" applyFill="1" applyBorder="1" applyAlignment="1">
      <alignment vertical="center"/>
    </xf>
    <xf numFmtId="171" fontId="9" fillId="22" borderId="17" xfId="0" applyNumberFormat="1" applyFont="1" applyFill="1" applyBorder="1" applyAlignment="1">
      <alignment vertical="center"/>
    </xf>
    <xf numFmtId="171" fontId="9" fillId="22" borderId="0" xfId="0" applyNumberFormat="1" applyFont="1" applyFill="1" applyBorder="1" applyAlignment="1">
      <alignment vertical="center"/>
    </xf>
    <xf numFmtId="171" fontId="9" fillId="0" borderId="17" xfId="0" quotePrefix="1" applyNumberFormat="1" applyFont="1" applyFill="1" applyBorder="1" applyAlignment="1">
      <alignment horizontal="right" vertical="center"/>
    </xf>
    <xf numFmtId="171" fontId="9" fillId="0" borderId="0" xfId="0" quotePrefix="1" applyNumberFormat="1" applyFont="1" applyFill="1" applyBorder="1" applyAlignment="1">
      <alignment horizontal="right" vertical="center"/>
    </xf>
    <xf numFmtId="171" fontId="9" fillId="0" borderId="0" xfId="0" applyNumberFormat="1" applyFont="1" applyFill="1" applyBorder="1" applyAlignment="1">
      <alignment vertical="center"/>
    </xf>
    <xf numFmtId="171" fontId="9" fillId="0" borderId="17" xfId="0" applyNumberFormat="1" applyFont="1" applyFill="1" applyBorder="1" applyAlignment="1">
      <alignment vertical="center"/>
    </xf>
    <xf numFmtId="171" fontId="9" fillId="0" borderId="0" xfId="0" applyNumberFormat="1" applyFont="1" applyFill="1" applyBorder="1" applyAlignment="1">
      <alignment horizontal="right" vertical="center"/>
    </xf>
    <xf numFmtId="171" fontId="9" fillId="0" borderId="17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vertical="top" wrapText="1"/>
    </xf>
    <xf numFmtId="0" fontId="6" fillId="0" borderId="0" xfId="0" applyFont="1"/>
    <xf numFmtId="0" fontId="9" fillId="0" borderId="0" xfId="0" applyFont="1" applyBorder="1" applyAlignment="1">
      <alignment vertical="top"/>
    </xf>
    <xf numFmtId="0" fontId="12" fillId="0" borderId="0" xfId="0" applyFont="1" applyBorder="1" applyAlignment="1">
      <alignment horizontal="center" vertical="top"/>
    </xf>
    <xf numFmtId="0" fontId="14" fillId="0" borderId="0" xfId="0" applyFont="1" applyBorder="1" applyAlignment="1">
      <alignment horizontal="center" vertical="center" wrapText="1"/>
    </xf>
    <xf numFmtId="1" fontId="10" fillId="21" borderId="0" xfId="0" applyNumberFormat="1" applyFont="1" applyFill="1" applyBorder="1" applyAlignment="1">
      <alignment horizontal="center" vertical="center"/>
    </xf>
    <xf numFmtId="1" fontId="10" fillId="21" borderId="15" xfId="0" applyNumberFormat="1" applyFont="1" applyFill="1" applyBorder="1" applyAlignment="1">
      <alignment horizontal="center"/>
    </xf>
    <xf numFmtId="1" fontId="10" fillId="21" borderId="16" xfId="0" applyNumberFormat="1" applyFont="1" applyFill="1" applyBorder="1" applyAlignment="1">
      <alignment horizontal="center"/>
    </xf>
    <xf numFmtId="174" fontId="9" fillId="22" borderId="14" xfId="0" applyNumberFormat="1" applyFont="1" applyFill="1" applyBorder="1" applyAlignment="1">
      <alignment horizontal="right" vertical="center"/>
    </xf>
    <xf numFmtId="0" fontId="9" fillId="21" borderId="9" xfId="0" applyFont="1" applyFill="1" applyBorder="1" applyAlignment="1">
      <alignment horizontal="center" vertical="top" wrapText="1"/>
    </xf>
    <xf numFmtId="0" fontId="9" fillId="21" borderId="10" xfId="0" applyFont="1" applyFill="1" applyBorder="1" applyAlignment="1">
      <alignment horizontal="center" vertical="top" wrapText="1"/>
    </xf>
    <xf numFmtId="0" fontId="9" fillId="21" borderId="7" xfId="0" applyFont="1" applyFill="1" applyBorder="1" applyAlignment="1">
      <alignment horizontal="center" vertical="top" wrapText="1"/>
    </xf>
    <xf numFmtId="0" fontId="9" fillId="21" borderId="14" xfId="0" applyFont="1" applyFill="1" applyBorder="1" applyAlignment="1">
      <alignment horizontal="center" vertical="top" wrapText="1"/>
    </xf>
    <xf numFmtId="0" fontId="9" fillId="21" borderId="2" xfId="0" applyFont="1" applyFill="1" applyBorder="1" applyAlignment="1">
      <alignment horizontal="center" vertical="top" wrapText="1"/>
    </xf>
    <xf numFmtId="0" fontId="9" fillId="21" borderId="17" xfId="0" applyFont="1" applyFill="1" applyBorder="1" applyAlignment="1">
      <alignment horizontal="center" vertical="top" wrapText="1"/>
    </xf>
    <xf numFmtId="0" fontId="0" fillId="0" borderId="14" xfId="0" applyFill="1" applyBorder="1"/>
    <xf numFmtId="0" fontId="0" fillId="0" borderId="10" xfId="0" applyFill="1" applyBorder="1"/>
    <xf numFmtId="1" fontId="10" fillId="21" borderId="6" xfId="0" applyNumberFormat="1" applyFont="1" applyFill="1" applyBorder="1" applyAlignment="1">
      <alignment horizontal="center"/>
    </xf>
    <xf numFmtId="1" fontId="10" fillId="21" borderId="2" xfId="0" applyNumberFormat="1" applyFont="1" applyFill="1" applyBorder="1" applyAlignment="1">
      <alignment horizontal="center" vertical="center"/>
    </xf>
    <xf numFmtId="1" fontId="10" fillId="21" borderId="4" xfId="0" applyNumberFormat="1" applyFont="1" applyFill="1" applyBorder="1" applyAlignment="1">
      <alignment horizontal="center" vertical="center"/>
    </xf>
    <xf numFmtId="0" fontId="24" fillId="0" borderId="0" xfId="0" applyFont="1"/>
    <xf numFmtId="0" fontId="7" fillId="0" borderId="0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0" borderId="0" xfId="0" applyFont="1"/>
    <xf numFmtId="17" fontId="8" fillId="0" borderId="0" xfId="0" quotePrefix="1" applyNumberFormat="1" applyFont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49" fontId="7" fillId="0" borderId="0" xfId="0" applyNumberFormat="1" applyFont="1" applyAlignment="1">
      <alignment horizontal="left" vertical="center"/>
    </xf>
    <xf numFmtId="172" fontId="7" fillId="0" borderId="0" xfId="0" quotePrefix="1" applyNumberFormat="1" applyFont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7" fillId="0" borderId="0" xfId="0" quotePrefix="1" applyFont="1" applyAlignment="1">
      <alignment horizontal="left" vertical="center"/>
    </xf>
    <xf numFmtId="173" fontId="7" fillId="0" borderId="0" xfId="0" quotePrefix="1" applyNumberFormat="1" applyFont="1" applyAlignment="1">
      <alignment horizontal="left" vertical="center"/>
    </xf>
    <xf numFmtId="0" fontId="28" fillId="0" borderId="0" xfId="0" applyFont="1" applyAlignment="1">
      <alignment horizontal="left"/>
    </xf>
    <xf numFmtId="0" fontId="29" fillId="0" borderId="0" xfId="0" applyFont="1" applyAlignment="1">
      <alignment horizontal="left" vertical="center"/>
    </xf>
    <xf numFmtId="0" fontId="30" fillId="0" borderId="0" xfId="0" applyFont="1"/>
    <xf numFmtId="166" fontId="9" fillId="0" borderId="16" xfId="0" applyNumberFormat="1" applyFont="1" applyFill="1" applyBorder="1" applyAlignment="1">
      <alignment horizontal="right" vertical="center"/>
    </xf>
    <xf numFmtId="166" fontId="9" fillId="22" borderId="0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166" fontId="9" fillId="0" borderId="8" xfId="0" applyNumberFormat="1" applyFont="1" applyFill="1" applyBorder="1" applyAlignment="1">
      <alignment horizontal="right" vertical="center"/>
    </xf>
    <xf numFmtId="1" fontId="10" fillId="21" borderId="17" xfId="0" applyNumberFormat="1" applyFont="1" applyFill="1" applyBorder="1" applyAlignment="1">
      <alignment horizontal="center" vertical="center"/>
    </xf>
    <xf numFmtId="166" fontId="9" fillId="0" borderId="15" xfId="0" applyNumberFormat="1" applyFont="1" applyFill="1" applyBorder="1" applyAlignment="1">
      <alignment horizontal="right" vertical="center"/>
    </xf>
    <xf numFmtId="166" fontId="9" fillId="22" borderId="17" xfId="0" applyNumberFormat="1" applyFont="1" applyFill="1" applyBorder="1" applyAlignment="1">
      <alignment horizontal="right" vertical="center"/>
    </xf>
    <xf numFmtId="166" fontId="9" fillId="0" borderId="17" xfId="0" applyNumberFormat="1" applyFont="1" applyFill="1" applyBorder="1" applyAlignment="1">
      <alignment horizontal="right" vertical="center"/>
    </xf>
    <xf numFmtId="0" fontId="13" fillId="0" borderId="0" xfId="0" applyFont="1" applyBorder="1"/>
    <xf numFmtId="166" fontId="0" fillId="0" borderId="0" xfId="0" applyNumberFormat="1"/>
    <xf numFmtId="0" fontId="10" fillId="0" borderId="0" xfId="0" applyFont="1" applyBorder="1" applyAlignment="1"/>
    <xf numFmtId="0" fontId="12" fillId="0" borderId="0" xfId="0" applyFont="1" applyAlignment="1">
      <alignment horizontal="center"/>
    </xf>
    <xf numFmtId="1" fontId="13" fillId="0" borderId="0" xfId="0" applyNumberFormat="1" applyFont="1" applyAlignment="1">
      <alignment horizontal="center"/>
    </xf>
    <xf numFmtId="9" fontId="13" fillId="0" borderId="0" xfId="0" applyNumberFormat="1" applyFont="1" applyAlignment="1">
      <alignment horizontal="center"/>
    </xf>
    <xf numFmtId="0" fontId="20" fillId="21" borderId="13" xfId="0" applyFont="1" applyFill="1" applyBorder="1" applyAlignment="1">
      <alignment horizontal="center" wrapText="1"/>
    </xf>
    <xf numFmtId="0" fontId="10" fillId="21" borderId="14" xfId="0" applyFont="1" applyFill="1" applyBorder="1" applyAlignment="1">
      <alignment horizontal="center" vertical="top"/>
    </xf>
    <xf numFmtId="0" fontId="10" fillId="55" borderId="6" xfId="0" applyFont="1" applyFill="1" applyBorder="1" applyAlignment="1">
      <alignment horizontal="center" vertical="center"/>
    </xf>
    <xf numFmtId="0" fontId="10" fillId="55" borderId="2" xfId="0" applyFont="1" applyFill="1" applyBorder="1" applyAlignment="1">
      <alignment horizontal="center" vertical="center"/>
    </xf>
    <xf numFmtId="0" fontId="10" fillId="55" borderId="7" xfId="0" applyFont="1" applyFill="1" applyBorder="1" applyAlignment="1">
      <alignment horizontal="center" vertical="center"/>
    </xf>
    <xf numFmtId="167" fontId="9" fillId="0" borderId="2" xfId="0" applyNumberFormat="1" applyFont="1" applyFill="1" applyBorder="1" applyAlignment="1">
      <alignment horizontal="right" vertical="center"/>
    </xf>
    <xf numFmtId="167" fontId="9" fillId="55" borderId="2" xfId="0" applyNumberFormat="1" applyFont="1" applyFill="1" applyBorder="1" applyAlignment="1">
      <alignment horizontal="right" vertical="center"/>
    </xf>
    <xf numFmtId="0" fontId="10" fillId="0" borderId="0" xfId="0" applyFont="1" applyBorder="1"/>
    <xf numFmtId="2" fontId="9" fillId="0" borderId="2" xfId="0" applyNumberFormat="1" applyFont="1" applyFill="1" applyBorder="1" applyAlignment="1">
      <alignment horizontal="right" vertical="center"/>
    </xf>
    <xf numFmtId="2" fontId="9" fillId="55" borderId="2" xfId="0" applyNumberFormat="1" applyFont="1" applyFill="1" applyBorder="1" applyAlignment="1">
      <alignment horizontal="right" vertical="center"/>
    </xf>
    <xf numFmtId="2" fontId="9" fillId="0" borderId="7" xfId="0" applyNumberFormat="1" applyFont="1" applyFill="1" applyBorder="1" applyAlignment="1">
      <alignment horizontal="right" vertical="center"/>
    </xf>
    <xf numFmtId="166" fontId="9" fillId="55" borderId="0" xfId="0" applyNumberFormat="1" applyFont="1" applyFill="1" applyBorder="1" applyAlignment="1">
      <alignment horizontal="right" vertical="center"/>
    </xf>
    <xf numFmtId="166" fontId="16" fillId="55" borderId="0" xfId="0" applyNumberFormat="1" applyFont="1" applyFill="1" applyBorder="1" applyAlignment="1">
      <alignment horizontal="right" vertical="center"/>
    </xf>
    <xf numFmtId="166" fontId="9" fillId="55" borderId="14" xfId="0" applyNumberFormat="1" applyFont="1" applyFill="1" applyBorder="1" applyAlignment="1">
      <alignment horizontal="right" vertical="center"/>
    </xf>
    <xf numFmtId="166" fontId="9" fillId="0" borderId="14" xfId="0" applyNumberFormat="1" applyFont="1" applyFill="1" applyBorder="1" applyAlignment="1">
      <alignment horizontal="right" vertical="center"/>
    </xf>
    <xf numFmtId="1" fontId="32" fillId="21" borderId="11" xfId="0" applyNumberFormat="1" applyFont="1" applyFill="1" applyBorder="1" applyAlignment="1">
      <alignment horizontal="center" vertical="center"/>
    </xf>
    <xf numFmtId="1" fontId="32" fillId="21" borderId="5" xfId="0" applyNumberFormat="1" applyFont="1" applyFill="1" applyBorder="1" applyAlignment="1">
      <alignment horizontal="center" vertical="center"/>
    </xf>
    <xf numFmtId="0" fontId="32" fillId="22" borderId="2" xfId="0" applyFont="1" applyFill="1" applyBorder="1" applyAlignment="1">
      <alignment horizontal="center" vertical="center"/>
    </xf>
    <xf numFmtId="0" fontId="32" fillId="0" borderId="6" xfId="0" applyFont="1" applyFill="1" applyBorder="1" applyAlignment="1">
      <alignment horizontal="center" vertical="center"/>
    </xf>
    <xf numFmtId="0" fontId="32" fillId="0" borderId="2" xfId="0" applyFont="1" applyFill="1" applyBorder="1" applyAlignment="1">
      <alignment horizontal="center" vertical="center"/>
    </xf>
    <xf numFmtId="0" fontId="32" fillId="0" borderId="7" xfId="0" applyFont="1" applyFill="1" applyBorder="1" applyAlignment="1">
      <alignment horizontal="center" vertical="center"/>
    </xf>
    <xf numFmtId="166" fontId="9" fillId="0" borderId="10" xfId="0" applyNumberFormat="1" applyFont="1" applyFill="1" applyBorder="1" applyAlignment="1">
      <alignment horizontal="right" vertical="center"/>
    </xf>
    <xf numFmtId="0" fontId="10" fillId="0" borderId="0" xfId="0" applyFont="1"/>
    <xf numFmtId="0" fontId="10" fillId="21" borderId="0" xfId="0" applyFont="1" applyFill="1" applyBorder="1" applyAlignment="1">
      <alignment horizontal="center" vertical="center" wrapText="1"/>
    </xf>
    <xf numFmtId="0" fontId="10" fillId="21" borderId="1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34" fillId="0" borderId="0" xfId="0" quotePrefix="1" applyFont="1" applyAlignment="1">
      <alignment horizontal="right" vertical="top"/>
    </xf>
    <xf numFmtId="165" fontId="9" fillId="22" borderId="17" xfId="0" applyNumberFormat="1" applyFont="1" applyFill="1" applyBorder="1" applyAlignment="1">
      <alignment horizontal="right" vertical="center"/>
    </xf>
    <xf numFmtId="0" fontId="35" fillId="0" borderId="0" xfId="0" applyFont="1" applyAlignment="1">
      <alignment horizontal="center"/>
    </xf>
    <xf numFmtId="0" fontId="20" fillId="21" borderId="12" xfId="0" applyFont="1" applyFill="1" applyBorder="1" applyAlignment="1">
      <alignment horizontal="center" wrapText="1"/>
    </xf>
    <xf numFmtId="1" fontId="9" fillId="0" borderId="0" xfId="0" applyNumberFormat="1" applyFont="1" applyFill="1" applyBorder="1" applyAlignment="1">
      <alignment horizontal="center" vertical="center"/>
    </xf>
    <xf numFmtId="165" fontId="10" fillId="22" borderId="15" xfId="0" applyNumberFormat="1" applyFont="1" applyFill="1" applyBorder="1" applyAlignment="1">
      <alignment horizontal="right" vertical="center"/>
    </xf>
    <xf numFmtId="0" fontId="10" fillId="55" borderId="7" xfId="0" applyFont="1" applyFill="1" applyBorder="1" applyAlignment="1">
      <alignment horizontal="center"/>
    </xf>
    <xf numFmtId="0" fontId="9" fillId="21" borderId="17" xfId="0" applyFont="1" applyFill="1" applyBorder="1" applyAlignment="1">
      <alignment horizontal="left" vertical="center"/>
    </xf>
    <xf numFmtId="0" fontId="10" fillId="21" borderId="17" xfId="0" applyFont="1" applyFill="1" applyBorder="1" applyAlignment="1">
      <alignment horizontal="center" vertical="center"/>
    </xf>
    <xf numFmtId="0" fontId="10" fillId="21" borderId="0" xfId="0" applyFont="1" applyFill="1" applyBorder="1" applyAlignment="1">
      <alignment horizontal="center" vertical="center"/>
    </xf>
    <xf numFmtId="0" fontId="10" fillId="21" borderId="14" xfId="0" applyFont="1" applyFill="1" applyBorder="1" applyAlignment="1">
      <alignment horizontal="center" vertical="center"/>
    </xf>
    <xf numFmtId="0" fontId="10" fillId="22" borderId="6" xfId="0" applyFont="1" applyFill="1" applyBorder="1" applyAlignment="1">
      <alignment horizontal="left" vertical="center"/>
    </xf>
    <xf numFmtId="168" fontId="9" fillId="0" borderId="15" xfId="0" applyNumberFormat="1" applyFont="1" applyFill="1" applyBorder="1" applyAlignment="1">
      <alignment horizontal="right" vertical="center"/>
    </xf>
    <xf numFmtId="168" fontId="9" fillId="0" borderId="16" xfId="0" applyNumberFormat="1" applyFont="1" applyBorder="1" applyAlignment="1">
      <alignment vertical="center"/>
    </xf>
    <xf numFmtId="168" fontId="9" fillId="0" borderId="13" xfId="0" applyNumberFormat="1" applyFont="1" applyBorder="1" applyAlignment="1">
      <alignment vertical="center"/>
    </xf>
    <xf numFmtId="0" fontId="10" fillId="0" borderId="2" xfId="0" applyFont="1" applyFill="1" applyBorder="1" applyAlignment="1">
      <alignment horizontal="left" vertical="center"/>
    </xf>
    <xf numFmtId="168" fontId="9" fillId="22" borderId="17" xfId="0" applyNumberFormat="1" applyFont="1" applyFill="1" applyBorder="1" applyAlignment="1">
      <alignment horizontal="right" vertical="center"/>
    </xf>
    <xf numFmtId="168" fontId="9" fillId="22" borderId="0" xfId="0" applyNumberFormat="1" applyFont="1" applyFill="1" applyBorder="1" applyAlignment="1">
      <alignment vertical="center"/>
    </xf>
    <xf numFmtId="168" fontId="9" fillId="22" borderId="14" xfId="0" applyNumberFormat="1" applyFont="1" applyFill="1" applyBorder="1" applyAlignment="1">
      <alignment vertical="center"/>
    </xf>
    <xf numFmtId="0" fontId="10" fillId="22" borderId="2" xfId="0" applyFont="1" applyFill="1" applyBorder="1" applyAlignment="1">
      <alignment horizontal="left" vertical="center"/>
    </xf>
    <xf numFmtId="168" fontId="9" fillId="0" borderId="17" xfId="0" applyNumberFormat="1" applyFont="1" applyFill="1" applyBorder="1" applyAlignment="1">
      <alignment horizontal="right" vertical="center"/>
    </xf>
    <xf numFmtId="168" fontId="9" fillId="0" borderId="0" xfId="0" applyNumberFormat="1" applyFont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168" fontId="9" fillId="0" borderId="14" xfId="0" applyNumberFormat="1" applyFont="1" applyBorder="1" applyAlignment="1">
      <alignment vertical="center"/>
    </xf>
    <xf numFmtId="168" fontId="9" fillId="0" borderId="17" xfId="0" applyNumberFormat="1" applyFont="1" applyBorder="1" applyAlignment="1">
      <alignment vertical="center"/>
    </xf>
    <xf numFmtId="165" fontId="10" fillId="22" borderId="12" xfId="0" applyNumberFormat="1" applyFont="1" applyFill="1" applyBorder="1" applyAlignment="1">
      <alignment horizontal="right" vertical="center"/>
    </xf>
    <xf numFmtId="0" fontId="10" fillId="21" borderId="6" xfId="0" applyFont="1" applyFill="1" applyBorder="1" applyAlignment="1">
      <alignment horizontal="center" vertical="center" wrapText="1"/>
    </xf>
    <xf numFmtId="169" fontId="9" fillId="0" borderId="15" xfId="0" applyNumberFormat="1" applyFont="1" applyFill="1" applyBorder="1" applyAlignment="1">
      <alignment horizontal="center" vertical="center"/>
    </xf>
    <xf numFmtId="169" fontId="9" fillId="0" borderId="16" xfId="0" applyNumberFormat="1" applyFont="1" applyFill="1" applyBorder="1" applyAlignment="1">
      <alignment horizontal="center" vertical="center"/>
    </xf>
    <xf numFmtId="169" fontId="9" fillId="0" borderId="16" xfId="0" applyNumberFormat="1" applyFont="1" applyFill="1" applyBorder="1" applyAlignment="1">
      <alignment horizontal="right" vertical="center"/>
    </xf>
    <xf numFmtId="169" fontId="9" fillId="0" borderId="13" xfId="0" applyNumberFormat="1" applyFont="1" applyFill="1" applyBorder="1" applyAlignment="1">
      <alignment horizontal="center" vertical="center"/>
    </xf>
    <xf numFmtId="169" fontId="9" fillId="0" borderId="9" xfId="0" applyNumberFormat="1" applyFont="1" applyFill="1" applyBorder="1" applyAlignment="1">
      <alignment horizontal="center" vertical="center"/>
    </xf>
    <xf numFmtId="169" fontId="9" fillId="0" borderId="8" xfId="0" applyNumberFormat="1" applyFont="1" applyFill="1" applyBorder="1" applyAlignment="1">
      <alignment horizontal="center" vertical="center"/>
    </xf>
    <xf numFmtId="168" fontId="0" fillId="0" borderId="0" xfId="0" applyNumberFormat="1"/>
    <xf numFmtId="0" fontId="10" fillId="22" borderId="4" xfId="0" applyFont="1" applyFill="1" applyBorder="1" applyAlignment="1">
      <alignment horizontal="left" vertical="center" wrapText="1"/>
    </xf>
    <xf numFmtId="0" fontId="10" fillId="21" borderId="18" xfId="0" applyFont="1" applyFill="1" applyBorder="1" applyAlignment="1">
      <alignment horizontal="center" vertical="center" wrapText="1"/>
    </xf>
    <xf numFmtId="0" fontId="10" fillId="21" borderId="19" xfId="0" applyFont="1" applyFill="1" applyBorder="1" applyAlignment="1">
      <alignment horizontal="center" vertical="center" wrapText="1"/>
    </xf>
    <xf numFmtId="0" fontId="10" fillId="21" borderId="20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/>
    </xf>
    <xf numFmtId="0" fontId="10" fillId="0" borderId="0" xfId="0" applyFont="1" applyAlignment="1">
      <alignment vertical="top"/>
    </xf>
    <xf numFmtId="166" fontId="10" fillId="22" borderId="2" xfId="0" applyNumberFormat="1" applyFont="1" applyFill="1" applyBorder="1" applyAlignment="1">
      <alignment horizontal="center" vertical="center"/>
    </xf>
    <xf numFmtId="166" fontId="10" fillId="0" borderId="2" xfId="0" applyNumberFormat="1" applyFont="1" applyFill="1" applyBorder="1" applyAlignment="1">
      <alignment horizontal="center" vertical="center"/>
    </xf>
    <xf numFmtId="166" fontId="9" fillId="55" borderId="21" xfId="0" applyNumberFormat="1" applyFont="1" applyFill="1" applyBorder="1" applyAlignment="1">
      <alignment horizontal="right" vertical="center"/>
    </xf>
    <xf numFmtId="166" fontId="9" fillId="0" borderId="21" xfId="0" applyNumberFormat="1" applyFont="1" applyFill="1" applyBorder="1" applyAlignment="1">
      <alignment horizontal="right" vertical="center"/>
    </xf>
    <xf numFmtId="166" fontId="10" fillId="0" borderId="7" xfId="0" applyNumberFormat="1" applyFont="1" applyFill="1" applyBorder="1" applyAlignment="1">
      <alignment horizontal="center" vertical="center"/>
    </xf>
    <xf numFmtId="166" fontId="9" fillId="55" borderId="8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 vertical="top" wrapText="1"/>
    </xf>
    <xf numFmtId="1" fontId="10" fillId="21" borderId="16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10" fillId="0" borderId="0" xfId="0" applyFont="1" applyBorder="1" applyAlignment="1">
      <alignment vertical="top"/>
    </xf>
    <xf numFmtId="9" fontId="12" fillId="0" borderId="0" xfId="0" quotePrefix="1" applyNumberFormat="1" applyFont="1" applyBorder="1" applyAlignment="1">
      <alignment horizontal="right" vertical="top"/>
    </xf>
    <xf numFmtId="0" fontId="10" fillId="0" borderId="0" xfId="0" applyFont="1" applyBorder="1" applyAlignment="1">
      <alignment horizontal="left" vertical="top"/>
    </xf>
    <xf numFmtId="0" fontId="10" fillId="21" borderId="0" xfId="0" applyFont="1" applyFill="1" applyBorder="1" applyAlignment="1">
      <alignment horizontal="center" vertical="top"/>
    </xf>
    <xf numFmtId="0" fontId="10" fillId="21" borderId="8" xfId="0" applyFont="1" applyFill="1" applyBorder="1" applyAlignment="1">
      <alignment horizontal="center" vertical="top"/>
    </xf>
    <xf numFmtId="3" fontId="9" fillId="0" borderId="0" xfId="0" applyNumberFormat="1" applyFont="1"/>
    <xf numFmtId="0" fontId="36" fillId="0" borderId="0" xfId="75"/>
    <xf numFmtId="0" fontId="6" fillId="0" borderId="0" xfId="75" applyNumberFormat="1" applyFont="1" applyFill="1" applyBorder="1" applyAlignment="1"/>
    <xf numFmtId="166" fontId="9" fillId="55" borderId="22" xfId="0" applyNumberFormat="1" applyFont="1" applyFill="1" applyBorder="1" applyAlignment="1">
      <alignment horizontal="right" vertical="center"/>
    </xf>
    <xf numFmtId="174" fontId="9" fillId="0" borderId="0" xfId="0" applyNumberFormat="1" applyFont="1" applyBorder="1"/>
    <xf numFmtId="0" fontId="9" fillId="0" borderId="0" xfId="0" applyFont="1" applyFill="1" applyAlignment="1">
      <alignment horizontal="center"/>
    </xf>
    <xf numFmtId="166" fontId="16" fillId="0" borderId="0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 wrapText="1"/>
    </xf>
    <xf numFmtId="166" fontId="10" fillId="55" borderId="2" xfId="0" applyNumberFormat="1" applyFont="1" applyFill="1" applyBorder="1" applyAlignment="1">
      <alignment horizontal="center" vertical="center"/>
    </xf>
    <xf numFmtId="166" fontId="16" fillId="55" borderId="21" xfId="0" applyNumberFormat="1" applyFont="1" applyFill="1" applyBorder="1" applyAlignment="1">
      <alignment horizontal="right" vertical="center"/>
    </xf>
    <xf numFmtId="3" fontId="9" fillId="0" borderId="0" xfId="0" applyNumberFormat="1" applyFont="1" applyBorder="1"/>
    <xf numFmtId="0" fontId="10" fillId="55" borderId="14" xfId="0" applyFont="1" applyFill="1" applyBorder="1" applyAlignment="1">
      <alignment horizontal="center" vertical="center"/>
    </xf>
    <xf numFmtId="0" fontId="10" fillId="55" borderId="10" xfId="0" applyFont="1" applyFill="1" applyBorder="1" applyAlignment="1">
      <alignment horizontal="center" vertical="center"/>
    </xf>
    <xf numFmtId="0" fontId="32" fillId="55" borderId="2" xfId="0" applyFont="1" applyFill="1" applyBorder="1" applyAlignment="1">
      <alignment horizontal="center" vertical="center"/>
    </xf>
    <xf numFmtId="166" fontId="9" fillId="55" borderId="17" xfId="0" applyNumberFormat="1" applyFont="1" applyFill="1" applyBorder="1" applyAlignment="1">
      <alignment horizontal="right" vertical="center"/>
    </xf>
    <xf numFmtId="165" fontId="9" fillId="55" borderId="17" xfId="0" applyNumberFormat="1" applyFont="1" applyFill="1" applyBorder="1" applyAlignment="1">
      <alignment horizontal="right" vertical="center"/>
    </xf>
    <xf numFmtId="165" fontId="9" fillId="55" borderId="9" xfId="0" applyNumberFormat="1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center"/>
    </xf>
    <xf numFmtId="168" fontId="9" fillId="22" borderId="22" xfId="0" applyNumberFormat="1" applyFont="1" applyFill="1" applyBorder="1" applyAlignment="1">
      <alignment vertical="center"/>
    </xf>
    <xf numFmtId="169" fontId="9" fillId="0" borderId="23" xfId="0" applyNumberFormat="1" applyFont="1" applyFill="1" applyBorder="1" applyAlignment="1">
      <alignment horizontal="right" vertical="center"/>
    </xf>
    <xf numFmtId="174" fontId="9" fillId="55" borderId="14" xfId="0" applyNumberFormat="1" applyFont="1" applyFill="1" applyBorder="1" applyAlignment="1">
      <alignment horizontal="right" vertical="center"/>
    </xf>
    <xf numFmtId="0" fontId="15" fillId="0" borderId="0" xfId="0" applyFont="1" applyBorder="1" applyAlignment="1">
      <alignment horizontal="left" vertical="center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171" fontId="9" fillId="55" borderId="17" xfId="0" applyNumberFormat="1" applyFont="1" applyFill="1" applyBorder="1" applyAlignment="1">
      <alignment vertical="center"/>
    </xf>
    <xf numFmtId="171" fontId="9" fillId="55" borderId="0" xfId="0" applyNumberFormat="1" applyFont="1" applyFill="1" applyBorder="1" applyAlignment="1">
      <alignment vertical="center"/>
    </xf>
    <xf numFmtId="171" fontId="9" fillId="55" borderId="17" xfId="0" quotePrefix="1" applyNumberFormat="1" applyFont="1" applyFill="1" applyBorder="1" applyAlignment="1">
      <alignment horizontal="right" vertical="center"/>
    </xf>
    <xf numFmtId="171" fontId="9" fillId="55" borderId="0" xfId="0" quotePrefix="1" applyNumberFormat="1" applyFont="1" applyFill="1" applyBorder="1" applyAlignment="1">
      <alignment horizontal="right" vertical="center"/>
    </xf>
    <xf numFmtId="167" fontId="9" fillId="0" borderId="7" xfId="0" applyNumberFormat="1" applyFont="1" applyFill="1" applyBorder="1" applyAlignment="1">
      <alignment horizontal="right" vertical="center"/>
    </xf>
    <xf numFmtId="167" fontId="9" fillId="55" borderId="6" xfId="0" applyNumberFormat="1" applyFont="1" applyFill="1" applyBorder="1" applyAlignment="1">
      <alignment horizontal="right" vertical="center"/>
    </xf>
    <xf numFmtId="166" fontId="9" fillId="0" borderId="14" xfId="0" applyNumberFormat="1" applyFont="1" applyFill="1" applyBorder="1" applyAlignment="1">
      <alignment horizontal="right" vertical="center" wrapText="1"/>
    </xf>
    <xf numFmtId="2" fontId="9" fillId="55" borderId="6" xfId="0" applyNumberFormat="1" applyFont="1" applyFill="1" applyBorder="1" applyAlignment="1">
      <alignment horizontal="right" vertical="center"/>
    </xf>
    <xf numFmtId="166" fontId="9" fillId="55" borderId="16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left" wrapText="1"/>
    </xf>
    <xf numFmtId="0" fontId="10" fillId="55" borderId="13" xfId="0" applyFont="1" applyFill="1" applyBorder="1" applyAlignment="1">
      <alignment horizontal="center" vertical="center"/>
    </xf>
    <xf numFmtId="166" fontId="9" fillId="0" borderId="23" xfId="0" applyNumberFormat="1" applyFont="1" applyFill="1" applyBorder="1" applyAlignment="1">
      <alignment horizontal="right" vertical="center"/>
    </xf>
    <xf numFmtId="167" fontId="9" fillId="0" borderId="0" xfId="0" applyNumberFormat="1" applyFont="1" applyFill="1" applyBorder="1" applyAlignment="1">
      <alignment horizontal="right" vertical="center"/>
    </xf>
    <xf numFmtId="167" fontId="9" fillId="55" borderId="0" xfId="0" applyNumberFormat="1" applyFont="1" applyFill="1" applyBorder="1" applyAlignment="1">
      <alignment horizontal="right" vertical="center"/>
    </xf>
    <xf numFmtId="167" fontId="9" fillId="55" borderId="21" xfId="0" applyNumberFormat="1" applyFont="1" applyFill="1" applyBorder="1" applyAlignment="1">
      <alignment horizontal="right" vertical="center"/>
    </xf>
    <xf numFmtId="167" fontId="9" fillId="0" borderId="21" xfId="0" applyNumberFormat="1" applyFont="1" applyFill="1" applyBorder="1" applyAlignment="1">
      <alignment horizontal="right" vertical="center"/>
    </xf>
    <xf numFmtId="167" fontId="16" fillId="0" borderId="0" xfId="0" applyNumberFormat="1" applyFont="1" applyFill="1" applyBorder="1" applyAlignment="1">
      <alignment horizontal="right" vertical="center"/>
    </xf>
    <xf numFmtId="167" fontId="9" fillId="55" borderId="22" xfId="0" applyNumberFormat="1" applyFont="1" applyFill="1" applyBorder="1" applyAlignment="1">
      <alignment horizontal="right" vertical="center"/>
    </xf>
    <xf numFmtId="167" fontId="16" fillId="55" borderId="0" xfId="0" applyNumberFormat="1" applyFont="1" applyFill="1" applyBorder="1" applyAlignment="1">
      <alignment horizontal="right" vertical="center"/>
    </xf>
    <xf numFmtId="167" fontId="9" fillId="55" borderId="14" xfId="0" applyNumberFormat="1" applyFont="1" applyFill="1" applyBorder="1" applyAlignment="1">
      <alignment horizontal="right" vertical="center"/>
    </xf>
    <xf numFmtId="167" fontId="9" fillId="0" borderId="14" xfId="0" applyNumberFormat="1" applyFont="1" applyFill="1" applyBorder="1" applyAlignment="1">
      <alignment horizontal="right" vertical="center"/>
    </xf>
    <xf numFmtId="167" fontId="9" fillId="0" borderId="0" xfId="0" applyNumberFormat="1" applyFont="1" applyFill="1" applyBorder="1" applyAlignment="1">
      <alignment horizontal="right" vertical="center" wrapText="1"/>
    </xf>
    <xf numFmtId="167" fontId="9" fillId="55" borderId="8" xfId="0" applyNumberFormat="1" applyFont="1" applyFill="1" applyBorder="1" applyAlignment="1">
      <alignment horizontal="right" vertical="center"/>
    </xf>
    <xf numFmtId="167" fontId="9" fillId="0" borderId="16" xfId="0" applyNumberFormat="1" applyFont="1" applyFill="1" applyBorder="1" applyAlignment="1">
      <alignment horizontal="right" vertical="center"/>
    </xf>
    <xf numFmtId="167" fontId="9" fillId="0" borderId="8" xfId="0" applyNumberFormat="1" applyFont="1" applyFill="1" applyBorder="1" applyAlignment="1">
      <alignment horizontal="right" vertical="center"/>
    </xf>
    <xf numFmtId="167" fontId="9" fillId="55" borderId="16" xfId="0" applyNumberFormat="1" applyFont="1" applyFill="1" applyBorder="1" applyAlignment="1">
      <alignment horizontal="right" vertical="center"/>
    </xf>
    <xf numFmtId="176" fontId="10" fillId="22" borderId="16" xfId="0" applyNumberFormat="1" applyFont="1" applyFill="1" applyBorder="1" applyAlignment="1">
      <alignment horizontal="right" vertical="center"/>
    </xf>
    <xf numFmtId="176" fontId="17" fillId="22" borderId="16" xfId="0" applyNumberFormat="1" applyFont="1" applyFill="1" applyBorder="1" applyAlignment="1">
      <alignment horizontal="right" vertical="center"/>
    </xf>
    <xf numFmtId="176" fontId="9" fillId="0" borderId="16" xfId="0" applyNumberFormat="1" applyFont="1" applyFill="1" applyBorder="1" applyAlignment="1">
      <alignment horizontal="right" vertical="center"/>
    </xf>
    <xf numFmtId="176" fontId="9" fillId="22" borderId="17" xfId="0" applyNumberFormat="1" applyFont="1" applyFill="1" applyBorder="1" applyAlignment="1">
      <alignment horizontal="right" vertical="center"/>
    </xf>
    <xf numFmtId="176" fontId="9" fillId="22" borderId="0" xfId="0" applyNumberFormat="1" applyFont="1" applyFill="1" applyBorder="1" applyAlignment="1">
      <alignment horizontal="right" vertical="center"/>
    </xf>
    <xf numFmtId="176" fontId="9" fillId="22" borderId="21" xfId="0" applyNumberFormat="1" applyFont="1" applyFill="1" applyBorder="1" applyAlignment="1">
      <alignment horizontal="right" vertical="center"/>
    </xf>
    <xf numFmtId="176" fontId="9" fillId="0" borderId="0" xfId="0" applyNumberFormat="1" applyFont="1" applyFill="1" applyBorder="1" applyAlignment="1">
      <alignment horizontal="right" vertical="center"/>
    </xf>
    <xf numFmtId="176" fontId="9" fillId="0" borderId="17" xfId="0" applyNumberFormat="1" applyFont="1" applyFill="1" applyBorder="1" applyAlignment="1">
      <alignment horizontal="right" vertical="center"/>
    </xf>
    <xf numFmtId="176" fontId="9" fillId="0" borderId="21" xfId="0" applyNumberFormat="1" applyFont="1" applyFill="1" applyBorder="1" applyAlignment="1">
      <alignment horizontal="right" vertical="center"/>
    </xf>
    <xf numFmtId="176" fontId="9" fillId="22" borderId="22" xfId="0" applyNumberFormat="1" applyFont="1" applyFill="1" applyBorder="1" applyAlignment="1">
      <alignment horizontal="right" vertical="center"/>
    </xf>
    <xf numFmtId="176" fontId="9" fillId="55" borderId="17" xfId="0" applyNumberFormat="1" applyFont="1" applyFill="1" applyBorder="1" applyAlignment="1">
      <alignment horizontal="right" vertical="center"/>
    </xf>
    <xf numFmtId="176" fontId="9" fillId="55" borderId="0" xfId="0" applyNumberFormat="1" applyFont="1" applyFill="1" applyBorder="1" applyAlignment="1">
      <alignment horizontal="right" vertical="center"/>
    </xf>
    <xf numFmtId="176" fontId="9" fillId="55" borderId="22" xfId="0" applyNumberFormat="1" applyFont="1" applyFill="1" applyBorder="1" applyAlignment="1">
      <alignment horizontal="right" vertical="center"/>
    </xf>
    <xf numFmtId="176" fontId="9" fillId="55" borderId="21" xfId="0" applyNumberFormat="1" applyFont="1" applyFill="1" applyBorder="1" applyAlignment="1">
      <alignment horizontal="right" vertical="center"/>
    </xf>
    <xf numFmtId="176" fontId="16" fillId="55" borderId="0" xfId="0" applyNumberFormat="1" applyFont="1" applyFill="1" applyBorder="1" applyAlignment="1">
      <alignment horizontal="right" vertical="center"/>
    </xf>
    <xf numFmtId="176" fontId="9" fillId="55" borderId="9" xfId="0" applyNumberFormat="1" applyFont="1" applyFill="1" applyBorder="1" applyAlignment="1">
      <alignment horizontal="right" vertical="center"/>
    </xf>
    <xf numFmtId="176" fontId="9" fillId="55" borderId="8" xfId="0" applyNumberFormat="1" applyFont="1" applyFill="1" applyBorder="1" applyAlignment="1">
      <alignment horizontal="right" vertical="center"/>
    </xf>
    <xf numFmtId="176" fontId="9" fillId="0" borderId="9" xfId="0" applyNumberFormat="1" applyFont="1" applyFill="1" applyBorder="1" applyAlignment="1">
      <alignment horizontal="right" vertical="center"/>
    </xf>
    <xf numFmtId="176" fontId="9" fillId="0" borderId="8" xfId="0" applyNumberFormat="1" applyFont="1" applyFill="1" applyBorder="1" applyAlignment="1">
      <alignment horizontal="right" vertical="center"/>
    </xf>
    <xf numFmtId="176" fontId="9" fillId="22" borderId="14" xfId="0" applyNumberFormat="1" applyFont="1" applyFill="1" applyBorder="1" applyAlignment="1">
      <alignment horizontal="right" vertical="center"/>
    </xf>
    <xf numFmtId="176" fontId="9" fillId="55" borderId="14" xfId="0" applyNumberFormat="1" applyFont="1" applyFill="1" applyBorder="1" applyAlignment="1">
      <alignment horizontal="right" vertical="center"/>
    </xf>
    <xf numFmtId="176" fontId="33" fillId="0" borderId="0" xfId="0" applyNumberFormat="1" applyFont="1" applyFill="1" applyAlignment="1">
      <alignment horizontal="center" vertical="center"/>
    </xf>
    <xf numFmtId="176" fontId="9" fillId="55" borderId="10" xfId="0" applyNumberFormat="1" applyFont="1" applyFill="1" applyBorder="1" applyAlignment="1">
      <alignment horizontal="right" vertical="center"/>
    </xf>
    <xf numFmtId="176" fontId="9" fillId="0" borderId="10" xfId="0" applyNumberFormat="1" applyFont="1" applyFill="1" applyBorder="1" applyAlignment="1">
      <alignment horizontal="right" vertical="center"/>
    </xf>
    <xf numFmtId="165" fontId="9" fillId="55" borderId="15" xfId="0" applyNumberFormat="1" applyFont="1" applyFill="1" applyBorder="1" applyAlignment="1">
      <alignment horizontal="right" vertical="center"/>
    </xf>
    <xf numFmtId="167" fontId="17" fillId="22" borderId="16" xfId="0" applyNumberFormat="1" applyFont="1" applyFill="1" applyBorder="1" applyAlignment="1">
      <alignment horizontal="right" vertical="center"/>
    </xf>
    <xf numFmtId="167" fontId="10" fillId="22" borderId="16" xfId="0" applyNumberFormat="1" applyFont="1" applyFill="1" applyBorder="1" applyAlignment="1">
      <alignment horizontal="right" vertical="center"/>
    </xf>
    <xf numFmtId="167" fontId="10" fillId="22" borderId="15" xfId="0" applyNumberFormat="1" applyFont="1" applyFill="1" applyBorder="1" applyAlignment="1">
      <alignment horizontal="right" vertical="center"/>
    </xf>
    <xf numFmtId="167" fontId="9" fillId="55" borderId="9" xfId="0" applyNumberFormat="1" applyFont="1" applyFill="1" applyBorder="1" applyAlignment="1">
      <alignment horizontal="right" vertical="center"/>
    </xf>
    <xf numFmtId="167" fontId="9" fillId="0" borderId="17" xfId="0" applyNumberFormat="1" applyFont="1" applyFill="1" applyBorder="1" applyAlignment="1">
      <alignment vertical="center"/>
    </xf>
    <xf numFmtId="167" fontId="9" fillId="0" borderId="0" xfId="0" applyNumberFormat="1" applyFont="1" applyFill="1" applyBorder="1" applyAlignment="1">
      <alignment vertical="center"/>
    </xf>
    <xf numFmtId="167" fontId="9" fillId="55" borderId="17" xfId="0" applyNumberFormat="1" applyFont="1" applyFill="1" applyBorder="1" applyAlignment="1">
      <alignment vertical="center"/>
    </xf>
    <xf numFmtId="167" fontId="9" fillId="55" borderId="0" xfId="0" applyNumberFormat="1" applyFont="1" applyFill="1" applyBorder="1" applyAlignment="1">
      <alignment vertical="center"/>
    </xf>
    <xf numFmtId="167" fontId="9" fillId="0" borderId="9" xfId="0" applyNumberFormat="1" applyFont="1" applyFill="1" applyBorder="1" applyAlignment="1">
      <alignment vertical="center"/>
    </xf>
    <xf numFmtId="167" fontId="9" fillId="0" borderId="8" xfId="0" applyNumberFormat="1" applyFont="1" applyFill="1" applyBorder="1" applyAlignment="1">
      <alignment vertical="center"/>
    </xf>
    <xf numFmtId="176" fontId="17" fillId="22" borderId="15" xfId="0" applyNumberFormat="1" applyFont="1" applyFill="1" applyBorder="1" applyAlignment="1">
      <alignment horizontal="right" vertical="center"/>
    </xf>
    <xf numFmtId="0" fontId="0" fillId="0" borderId="0" xfId="0" applyAlignment="1">
      <alignment wrapText="1"/>
    </xf>
    <xf numFmtId="167" fontId="16" fillId="0" borderId="0" xfId="0" applyNumberFormat="1" applyFont="1" applyFill="1" applyBorder="1" applyAlignment="1">
      <alignment vertical="center"/>
    </xf>
    <xf numFmtId="167" fontId="9" fillId="0" borderId="17" xfId="0" quotePrefix="1" applyNumberFormat="1" applyFont="1" applyFill="1" applyBorder="1" applyAlignment="1">
      <alignment horizontal="right" vertical="center"/>
    </xf>
    <xf numFmtId="167" fontId="9" fillId="0" borderId="0" xfId="0" quotePrefix="1" applyNumberFormat="1" applyFont="1" applyFill="1" applyBorder="1" applyAlignment="1">
      <alignment horizontal="right" vertical="center"/>
    </xf>
    <xf numFmtId="167" fontId="9" fillId="0" borderId="22" xfId="0" applyNumberFormat="1" applyFont="1" applyFill="1" applyBorder="1" applyAlignment="1">
      <alignment vertical="center"/>
    </xf>
    <xf numFmtId="167" fontId="16" fillId="0" borderId="17" xfId="0" applyNumberFormat="1" applyFont="1" applyFill="1" applyBorder="1" applyAlignment="1">
      <alignment vertical="center"/>
    </xf>
    <xf numFmtId="167" fontId="9" fillId="0" borderId="21" xfId="0" applyNumberFormat="1" applyFont="1" applyFill="1" applyBorder="1" applyAlignment="1">
      <alignment vertical="center"/>
    </xf>
    <xf numFmtId="167" fontId="16" fillId="22" borderId="0" xfId="0" applyNumberFormat="1" applyFont="1" applyFill="1" applyBorder="1" applyAlignment="1">
      <alignment vertical="center"/>
    </xf>
    <xf numFmtId="167" fontId="9" fillId="0" borderId="0" xfId="0" applyNumberFormat="1" applyFont="1" applyFill="1" applyBorder="1"/>
    <xf numFmtId="167" fontId="16" fillId="0" borderId="0" xfId="0" applyNumberFormat="1" applyFont="1" applyFill="1" applyBorder="1"/>
    <xf numFmtId="167" fontId="9" fillId="55" borderId="21" xfId="0" applyNumberFormat="1" applyFont="1" applyFill="1" applyBorder="1" applyAlignment="1">
      <alignment vertical="center"/>
    </xf>
    <xf numFmtId="167" fontId="16" fillId="55" borderId="0" xfId="0" applyNumberFormat="1" applyFont="1" applyFill="1" applyBorder="1" applyAlignment="1">
      <alignment vertical="center"/>
    </xf>
    <xf numFmtId="167" fontId="9" fillId="55" borderId="17" xfId="0" quotePrefix="1" applyNumberFormat="1" applyFont="1" applyFill="1" applyBorder="1" applyAlignment="1">
      <alignment horizontal="right" vertical="center"/>
    </xf>
    <xf numFmtId="167" fontId="9" fillId="55" borderId="0" xfId="0" quotePrefix="1" applyNumberFormat="1" applyFont="1" applyFill="1" applyBorder="1" applyAlignment="1">
      <alignment horizontal="right" vertical="center"/>
    </xf>
    <xf numFmtId="167" fontId="9" fillId="55" borderId="8" xfId="0" applyNumberFormat="1" applyFont="1" applyFill="1" applyBorder="1" applyAlignment="1">
      <alignment vertical="center"/>
    </xf>
    <xf numFmtId="167" fontId="17" fillId="22" borderId="13" xfId="0" applyNumberFormat="1" applyFont="1" applyFill="1" applyBorder="1" applyAlignment="1">
      <alignment horizontal="right" vertical="center"/>
    </xf>
    <xf numFmtId="167" fontId="16" fillId="0" borderId="14" xfId="0" applyNumberFormat="1" applyFont="1" applyFill="1" applyBorder="1" applyAlignment="1">
      <alignment vertical="center"/>
    </xf>
    <xf numFmtId="167" fontId="9" fillId="22" borderId="14" xfId="0" applyNumberFormat="1" applyFont="1" applyFill="1" applyBorder="1" applyAlignment="1">
      <alignment vertical="center"/>
    </xf>
    <xf numFmtId="167" fontId="9" fillId="0" borderId="14" xfId="0" applyNumberFormat="1" applyFont="1" applyFill="1" applyBorder="1" applyAlignment="1">
      <alignment vertical="center"/>
    </xf>
    <xf numFmtId="167" fontId="9" fillId="55" borderId="14" xfId="0" applyNumberFormat="1" applyFont="1" applyFill="1" applyBorder="1" applyAlignment="1">
      <alignment vertical="center"/>
    </xf>
    <xf numFmtId="167" fontId="9" fillId="55" borderId="10" xfId="0" applyNumberFormat="1" applyFont="1" applyFill="1" applyBorder="1" applyAlignment="1">
      <alignment vertical="center"/>
    </xf>
    <xf numFmtId="167" fontId="9" fillId="0" borderId="10" xfId="0" applyNumberFormat="1" applyFont="1" applyFill="1" applyBorder="1" applyAlignment="1">
      <alignment vertical="center"/>
    </xf>
    <xf numFmtId="167" fontId="9" fillId="0" borderId="15" xfId="0" applyNumberFormat="1" applyFont="1" applyFill="1" applyBorder="1" applyAlignment="1">
      <alignment vertical="center"/>
    </xf>
    <xf numFmtId="167" fontId="9" fillId="0" borderId="16" xfId="0" applyNumberFormat="1" applyFont="1" applyFill="1" applyBorder="1" applyAlignment="1">
      <alignment vertical="center"/>
    </xf>
    <xf numFmtId="167" fontId="16" fillId="0" borderId="16" xfId="0" applyNumberFormat="1" applyFont="1" applyFill="1" applyBorder="1" applyAlignment="1">
      <alignment vertical="center"/>
    </xf>
    <xf numFmtId="167" fontId="9" fillId="0" borderId="13" xfId="0" applyNumberFormat="1" applyFont="1" applyFill="1" applyBorder="1" applyAlignment="1">
      <alignment vertical="center"/>
    </xf>
    <xf numFmtId="167" fontId="9" fillId="0" borderId="14" xfId="0" quotePrefix="1" applyNumberFormat="1" applyFont="1" applyFill="1" applyBorder="1" applyAlignment="1">
      <alignment horizontal="right" vertical="center"/>
    </xf>
    <xf numFmtId="167" fontId="16" fillId="55" borderId="14" xfId="0" applyNumberFormat="1" applyFont="1" applyFill="1" applyBorder="1" applyAlignment="1">
      <alignment vertical="center"/>
    </xf>
    <xf numFmtId="167" fontId="9" fillId="55" borderId="14" xfId="0" quotePrefix="1" applyNumberFormat="1" applyFont="1" applyFill="1" applyBorder="1" applyAlignment="1">
      <alignment horizontal="right" vertical="center"/>
    </xf>
    <xf numFmtId="167" fontId="9" fillId="0" borderId="25" xfId="0" applyNumberFormat="1" applyFont="1" applyFill="1" applyBorder="1" applyAlignment="1">
      <alignment vertical="center"/>
    </xf>
    <xf numFmtId="167" fontId="16" fillId="55" borderId="8" xfId="0" applyNumberFormat="1" applyFont="1" applyFill="1" applyBorder="1" applyAlignment="1">
      <alignment vertical="center"/>
    </xf>
    <xf numFmtId="167" fontId="9" fillId="0" borderId="28" xfId="0" applyNumberFormat="1" applyFont="1" applyFill="1" applyBorder="1" applyAlignment="1">
      <alignment horizontal="right" vertical="center"/>
    </xf>
    <xf numFmtId="171" fontId="9" fillId="55" borderId="15" xfId="0" quotePrefix="1" applyNumberFormat="1" applyFont="1" applyFill="1" applyBorder="1" applyAlignment="1">
      <alignment horizontal="right" vertical="center"/>
    </xf>
    <xf numFmtId="171" fontId="9" fillId="55" borderId="16" xfId="0" quotePrefix="1" applyNumberFormat="1" applyFont="1" applyFill="1" applyBorder="1" applyAlignment="1">
      <alignment horizontal="right" vertical="center"/>
    </xf>
    <xf numFmtId="167" fontId="9" fillId="22" borderId="25" xfId="0" applyNumberFormat="1" applyFont="1" applyFill="1" applyBorder="1" applyAlignment="1">
      <alignment vertical="center"/>
    </xf>
    <xf numFmtId="167" fontId="16" fillId="22" borderId="14" xfId="0" applyNumberFormat="1" applyFont="1" applyFill="1" applyBorder="1" applyAlignment="1">
      <alignment horizontal="right" vertical="center"/>
    </xf>
    <xf numFmtId="167" fontId="9" fillId="55" borderId="25" xfId="0" applyNumberFormat="1" applyFont="1" applyFill="1" applyBorder="1" applyAlignment="1">
      <alignment vertical="center"/>
    </xf>
    <xf numFmtId="167" fontId="9" fillId="55" borderId="16" xfId="0" quotePrefix="1" applyNumberFormat="1" applyFont="1" applyFill="1" applyBorder="1" applyAlignment="1">
      <alignment horizontal="right" vertical="center"/>
    </xf>
    <xf numFmtId="167" fontId="9" fillId="55" borderId="13" xfId="0" quotePrefix="1" applyNumberFormat="1" applyFont="1" applyFill="1" applyBorder="1" applyAlignment="1">
      <alignment horizontal="right" vertical="center"/>
    </xf>
    <xf numFmtId="167" fontId="9" fillId="55" borderId="16" xfId="0" quotePrefix="1" applyNumberFormat="1" applyFont="1" applyFill="1" applyBorder="1" applyAlignment="1">
      <alignment horizontal="right" vertical="center"/>
    </xf>
    <xf numFmtId="178" fontId="10" fillId="22" borderId="11" xfId="0" applyNumberFormat="1" applyFont="1" applyFill="1" applyBorder="1" applyAlignment="1">
      <alignment horizontal="right" vertical="center"/>
    </xf>
    <xf numFmtId="178" fontId="10" fillId="22" borderId="5" xfId="0" applyNumberFormat="1" applyFont="1" applyFill="1" applyBorder="1" applyAlignment="1">
      <alignment horizontal="right" vertical="center"/>
    </xf>
    <xf numFmtId="167" fontId="9" fillId="55" borderId="16" xfId="0" applyNumberFormat="1" applyFont="1" applyFill="1" applyBorder="1" applyAlignment="1">
      <alignment horizontal="right" vertical="center"/>
    </xf>
    <xf numFmtId="166" fontId="9" fillId="55" borderId="16" xfId="0" applyNumberFormat="1" applyFont="1" applyFill="1" applyBorder="1" applyAlignment="1">
      <alignment horizontal="right" vertical="center"/>
    </xf>
    <xf numFmtId="167" fontId="9" fillId="0" borderId="22" xfId="0" applyNumberFormat="1" applyFont="1" applyFill="1" applyBorder="1" applyAlignment="1">
      <alignment horizontal="right" vertical="center"/>
    </xf>
    <xf numFmtId="164" fontId="9" fillId="55" borderId="2" xfId="0" applyNumberFormat="1" applyFont="1" applyFill="1" applyBorder="1" applyAlignment="1">
      <alignment horizontal="right" vertical="center"/>
    </xf>
    <xf numFmtId="164" fontId="9" fillId="0" borderId="2" xfId="0" applyNumberFormat="1" applyFont="1" applyFill="1" applyBorder="1" applyAlignment="1">
      <alignment horizontal="right" vertical="center"/>
    </xf>
    <xf numFmtId="1" fontId="10" fillId="21" borderId="4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 wrapText="1"/>
    </xf>
    <xf numFmtId="167" fontId="9" fillId="22" borderId="22" xfId="0" applyNumberFormat="1" applyFont="1" applyFill="1" applyBorder="1" applyAlignment="1">
      <alignment vertical="center"/>
    </xf>
    <xf numFmtId="167" fontId="16" fillId="55" borderId="0" xfId="0" quotePrefix="1" applyNumberFormat="1" applyFont="1" applyFill="1" applyBorder="1" applyAlignment="1">
      <alignment horizontal="right" vertical="center"/>
    </xf>
    <xf numFmtId="167" fontId="16" fillId="55" borderId="14" xfId="0" quotePrefix="1" applyNumberFormat="1" applyFont="1" applyFill="1" applyBorder="1" applyAlignment="1">
      <alignment horizontal="right" vertical="center"/>
    </xf>
    <xf numFmtId="167" fontId="9" fillId="0" borderId="0" xfId="0" applyNumberFormat="1" applyFont="1"/>
    <xf numFmtId="0" fontId="76" fillId="0" borderId="0" xfId="59"/>
    <xf numFmtId="166" fontId="9" fillId="0" borderId="22" xfId="0" applyNumberFormat="1" applyFont="1" applyFill="1" applyBorder="1" applyAlignment="1">
      <alignment horizontal="right" vertical="center"/>
    </xf>
    <xf numFmtId="166" fontId="9" fillId="55" borderId="14" xfId="0" applyNumberFormat="1" applyFont="1" applyFill="1" applyBorder="1" applyAlignment="1">
      <alignment horizontal="right" vertical="center" wrapText="1"/>
    </xf>
    <xf numFmtId="167" fontId="9" fillId="55" borderId="22" xfId="0" applyNumberFormat="1" applyFont="1" applyFill="1" applyBorder="1" applyAlignment="1">
      <alignment vertical="center"/>
    </xf>
    <xf numFmtId="1" fontId="10" fillId="21" borderId="13" xfId="0" applyNumberFormat="1" applyFont="1" applyFill="1" applyBorder="1" applyAlignment="1">
      <alignment horizontal="center"/>
    </xf>
    <xf numFmtId="166" fontId="9" fillId="55" borderId="0" xfId="0" applyNumberFormat="1" applyFont="1" applyFill="1" applyBorder="1" applyAlignment="1">
      <alignment horizontal="right" vertical="center" wrapText="1"/>
    </xf>
    <xf numFmtId="0" fontId="10" fillId="55" borderId="4" xfId="0" applyFont="1" applyFill="1" applyBorder="1" applyAlignment="1">
      <alignment horizontal="center" vertical="center"/>
    </xf>
    <xf numFmtId="167" fontId="10" fillId="55" borderId="4" xfId="0" applyNumberFormat="1" applyFont="1" applyFill="1" applyBorder="1" applyAlignment="1">
      <alignment horizontal="right"/>
    </xf>
    <xf numFmtId="166" fontId="10" fillId="55" borderId="4" xfId="0" applyNumberFormat="1" applyFont="1" applyFill="1" applyBorder="1" applyAlignment="1">
      <alignment horizontal="right"/>
    </xf>
    <xf numFmtId="166" fontId="10" fillId="22" borderId="4" xfId="0" applyNumberFormat="1" applyFont="1" applyFill="1" applyBorder="1" applyAlignment="1">
      <alignment horizontal="center" vertical="center"/>
    </xf>
    <xf numFmtId="166" fontId="10" fillId="55" borderId="11" xfId="0" applyNumberFormat="1" applyFont="1" applyFill="1" applyBorder="1" applyAlignment="1">
      <alignment horizontal="right"/>
    </xf>
    <xf numFmtId="166" fontId="17" fillId="55" borderId="5" xfId="0" applyNumberFormat="1" applyFont="1" applyFill="1" applyBorder="1" applyAlignment="1">
      <alignment horizontal="right"/>
    </xf>
    <xf numFmtId="176" fontId="9" fillId="55" borderId="16" xfId="0" applyNumberFormat="1" applyFont="1" applyFill="1" applyBorder="1" applyAlignment="1">
      <alignment horizontal="right" vertical="center"/>
    </xf>
    <xf numFmtId="167" fontId="10" fillId="22" borderId="11" xfId="0" applyNumberFormat="1" applyFont="1" applyFill="1" applyBorder="1" applyAlignment="1">
      <alignment horizontal="right" vertical="center"/>
    </xf>
    <xf numFmtId="167" fontId="10" fillId="22" borderId="5" xfId="0" applyNumberFormat="1" applyFont="1" applyFill="1" applyBorder="1" applyAlignment="1">
      <alignment horizontal="right" vertical="center"/>
    </xf>
    <xf numFmtId="167" fontId="17" fillId="22" borderId="5" xfId="0" applyNumberFormat="1" applyFont="1" applyFill="1" applyBorder="1" applyAlignment="1">
      <alignment horizontal="right" vertical="center"/>
    </xf>
    <xf numFmtId="0" fontId="10" fillId="22" borderId="12" xfId="0" applyFont="1" applyFill="1" applyBorder="1" applyAlignment="1">
      <alignment horizontal="center" vertical="center"/>
    </xf>
    <xf numFmtId="0" fontId="88" fillId="0" borderId="0" xfId="0" applyFont="1" applyAlignment="1">
      <alignment vertical="center" wrapText="1"/>
    </xf>
    <xf numFmtId="167" fontId="9" fillId="0" borderId="22" xfId="0" applyNumberFormat="1" applyFont="1" applyFill="1" applyBorder="1"/>
    <xf numFmtId="177" fontId="10" fillId="22" borderId="5" xfId="0" applyNumberFormat="1" applyFont="1" applyFill="1" applyBorder="1" applyAlignment="1">
      <alignment horizontal="right" vertical="center"/>
    </xf>
    <xf numFmtId="169" fontId="9" fillId="0" borderId="37" xfId="0" applyNumberFormat="1" applyFont="1" applyFill="1" applyBorder="1" applyAlignment="1">
      <alignment horizontal="center" vertical="center"/>
    </xf>
    <xf numFmtId="169" fontId="9" fillId="0" borderId="37" xfId="0" applyNumberFormat="1" applyFont="1" applyFill="1" applyBorder="1" applyAlignment="1">
      <alignment horizontal="right" vertical="center"/>
    </xf>
    <xf numFmtId="169" fontId="9" fillId="0" borderId="38" xfId="0" applyNumberFormat="1" applyFont="1" applyFill="1" applyBorder="1" applyAlignment="1">
      <alignment horizontal="right" vertical="center"/>
    </xf>
    <xf numFmtId="169" fontId="9" fillId="0" borderId="39" xfId="0" applyNumberFormat="1" applyFont="1" applyFill="1" applyBorder="1" applyAlignment="1">
      <alignment horizontal="center" vertical="center"/>
    </xf>
    <xf numFmtId="0" fontId="10" fillId="56" borderId="2" xfId="0" applyFont="1" applyFill="1" applyBorder="1" applyAlignment="1">
      <alignment horizontal="center" vertical="center"/>
    </xf>
    <xf numFmtId="166" fontId="10" fillId="55" borderId="4" xfId="0" applyNumberFormat="1" applyFont="1" applyFill="1" applyBorder="1" applyAlignment="1">
      <alignment horizontal="center"/>
    </xf>
    <xf numFmtId="0" fontId="20" fillId="21" borderId="4" xfId="0" applyFont="1" applyFill="1" applyBorder="1" applyAlignment="1">
      <alignment horizontal="center" vertical="center" wrapText="1"/>
    </xf>
    <xf numFmtId="1" fontId="32" fillId="21" borderId="0" xfId="0" applyNumberFormat="1" applyFont="1" applyFill="1" applyBorder="1" applyAlignment="1">
      <alignment horizontal="center" vertical="center"/>
    </xf>
    <xf numFmtId="0" fontId="0" fillId="0" borderId="2" xfId="0" applyBorder="1"/>
    <xf numFmtId="0" fontId="0" fillId="0" borderId="2" xfId="0" applyFill="1" applyBorder="1"/>
    <xf numFmtId="0" fontId="9" fillId="0" borderId="2" xfId="0" applyFont="1" applyBorder="1" applyAlignment="1"/>
    <xf numFmtId="1" fontId="32" fillId="21" borderId="16" xfId="0" applyNumberFormat="1" applyFont="1" applyFill="1" applyBorder="1" applyAlignment="1">
      <alignment horizontal="center" vertical="center"/>
    </xf>
    <xf numFmtId="166" fontId="10" fillId="55" borderId="4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6" fontId="10" fillId="0" borderId="0" xfId="0" applyNumberFormat="1" applyFont="1" applyAlignment="1">
      <alignment horizontal="center"/>
    </xf>
    <xf numFmtId="164" fontId="9" fillId="55" borderId="4" xfId="0" applyNumberFormat="1" applyFont="1" applyFill="1" applyBorder="1" applyAlignment="1">
      <alignment horizontal="right" vertical="center"/>
    </xf>
    <xf numFmtId="166" fontId="16" fillId="55" borderId="5" xfId="0" applyNumberFormat="1" applyFont="1" applyFill="1" applyBorder="1" applyAlignment="1">
      <alignment horizontal="right" vertical="center"/>
    </xf>
    <xf numFmtId="166" fontId="16" fillId="55" borderId="35" xfId="0" applyNumberFormat="1" applyFont="1" applyFill="1" applyBorder="1" applyAlignment="1">
      <alignment horizontal="right" vertical="center"/>
    </xf>
    <xf numFmtId="166" fontId="9" fillId="55" borderId="5" xfId="0" applyNumberFormat="1" applyFont="1" applyFill="1" applyBorder="1" applyAlignment="1">
      <alignment horizontal="right" vertical="center"/>
    </xf>
    <xf numFmtId="166" fontId="9" fillId="55" borderId="12" xfId="0" applyNumberFormat="1" applyFont="1" applyFill="1" applyBorder="1" applyAlignment="1">
      <alignment horizontal="right" vertical="center"/>
    </xf>
    <xf numFmtId="166" fontId="10" fillId="21" borderId="6" xfId="0" applyNumberFormat="1" applyFont="1" applyFill="1" applyBorder="1" applyAlignment="1">
      <alignment horizontal="center" vertical="center" wrapText="1"/>
    </xf>
    <xf numFmtId="176" fontId="17" fillId="22" borderId="5" xfId="0" applyNumberFormat="1" applyFont="1" applyFill="1" applyBorder="1" applyAlignment="1">
      <alignment horizontal="right" vertical="center"/>
    </xf>
    <xf numFmtId="0" fontId="0" fillId="0" borderId="14" xfId="0" applyBorder="1"/>
    <xf numFmtId="166" fontId="9" fillId="0" borderId="9" xfId="0" applyNumberFormat="1" applyFont="1" applyFill="1" applyBorder="1" applyAlignment="1">
      <alignment horizontal="right" vertical="center"/>
    </xf>
    <xf numFmtId="0" fontId="9" fillId="0" borderId="14" xfId="0" applyFont="1" applyBorder="1"/>
    <xf numFmtId="0" fontId="9" fillId="0" borderId="14" xfId="0" applyFont="1" applyBorder="1" applyAlignment="1">
      <alignment horizontal="center"/>
    </xf>
    <xf numFmtId="167" fontId="10" fillId="55" borderId="5" xfId="0" applyNumberFormat="1" applyFont="1" applyFill="1" applyBorder="1" applyAlignment="1">
      <alignment horizontal="right"/>
    </xf>
    <xf numFmtId="1" fontId="10" fillId="0" borderId="2" xfId="0" applyNumberFormat="1" applyFont="1" applyFill="1" applyBorder="1" applyAlignment="1">
      <alignment horizontal="center" vertical="center"/>
    </xf>
    <xf numFmtId="166" fontId="16" fillId="0" borderId="14" xfId="0" applyNumberFormat="1" applyFont="1" applyFill="1" applyBorder="1" applyAlignment="1">
      <alignment horizontal="right" vertical="center"/>
    </xf>
    <xf numFmtId="166" fontId="17" fillId="55" borderId="5" xfId="0" applyNumberFormat="1" applyFont="1" applyFill="1" applyBorder="1" applyAlignment="1">
      <alignment horizontal="right"/>
    </xf>
    <xf numFmtId="166" fontId="9" fillId="55" borderId="5" xfId="0" applyNumberFormat="1" applyFont="1" applyFill="1" applyBorder="1" applyAlignment="1">
      <alignment horizontal="right" vertical="center"/>
    </xf>
    <xf numFmtId="166" fontId="10" fillId="0" borderId="6" xfId="0" applyNumberFormat="1" applyFont="1" applyFill="1" applyBorder="1" applyAlignment="1">
      <alignment horizontal="center" vertical="center"/>
    </xf>
    <xf numFmtId="167" fontId="16" fillId="0" borderId="8" xfId="0" applyNumberFormat="1" applyFont="1" applyFill="1" applyBorder="1" applyAlignment="1">
      <alignment vertical="center"/>
    </xf>
    <xf numFmtId="0" fontId="10" fillId="55" borderId="12" xfId="0" applyFont="1" applyFill="1" applyBorder="1" applyAlignment="1">
      <alignment horizontal="center" vertical="center"/>
    </xf>
    <xf numFmtId="167" fontId="89" fillId="22" borderId="15" xfId="0" applyNumberFormat="1" applyFont="1" applyFill="1" applyBorder="1" applyAlignment="1">
      <alignment horizontal="right" vertical="center"/>
    </xf>
    <xf numFmtId="167" fontId="90" fillId="22" borderId="16" xfId="0" applyNumberFormat="1" applyFont="1" applyFill="1" applyBorder="1" applyAlignment="1">
      <alignment horizontal="right" vertical="center"/>
    </xf>
    <xf numFmtId="167" fontId="89" fillId="22" borderId="16" xfId="0" applyNumberFormat="1" applyFont="1" applyFill="1" applyBorder="1" applyAlignment="1">
      <alignment horizontal="right" vertical="center"/>
    </xf>
    <xf numFmtId="0" fontId="90" fillId="22" borderId="16" xfId="0" applyFont="1" applyFill="1" applyBorder="1" applyAlignment="1">
      <alignment horizontal="right" vertical="center"/>
    </xf>
    <xf numFmtId="9" fontId="90" fillId="22" borderId="13" xfId="0" applyNumberFormat="1" applyFont="1" applyFill="1" applyBorder="1" applyAlignment="1">
      <alignment horizontal="right" vertical="center"/>
    </xf>
    <xf numFmtId="176" fontId="10" fillId="22" borderId="5" xfId="0" applyNumberFormat="1" applyFont="1" applyFill="1" applyBorder="1" applyAlignment="1">
      <alignment horizontal="right" vertical="center"/>
    </xf>
    <xf numFmtId="166" fontId="10" fillId="22" borderId="16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11" fillId="0" borderId="17" xfId="0" applyFont="1" applyFill="1" applyBorder="1" applyAlignment="1">
      <alignment horizontal="right" vertical="center"/>
    </xf>
    <xf numFmtId="0" fontId="10" fillId="56" borderId="7" xfId="0" applyFont="1" applyFill="1" applyBorder="1" applyAlignment="1">
      <alignment horizontal="center" vertical="center"/>
    </xf>
    <xf numFmtId="0" fontId="10" fillId="56" borderId="14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166" fontId="10" fillId="22" borderId="6" xfId="0" applyNumberFormat="1" applyFont="1" applyFill="1" applyBorder="1" applyAlignment="1">
      <alignment horizontal="center" vertical="center"/>
    </xf>
    <xf numFmtId="0" fontId="0" fillId="0" borderId="0" xfId="0" applyFill="1"/>
    <xf numFmtId="1" fontId="9" fillId="0" borderId="0" xfId="0" applyNumberFormat="1" applyFont="1" applyFill="1" applyBorder="1" applyAlignment="1">
      <alignment horizontal="right" vertical="center" wrapText="1"/>
    </xf>
    <xf numFmtId="1" fontId="9" fillId="55" borderId="0" xfId="0" applyNumberFormat="1" applyFont="1" applyFill="1" applyBorder="1" applyAlignment="1">
      <alignment horizontal="right" vertical="center"/>
    </xf>
    <xf numFmtId="1" fontId="9" fillId="0" borderId="0" xfId="0" applyNumberFormat="1" applyFont="1" applyFill="1" applyBorder="1" applyAlignment="1">
      <alignment horizontal="right" vertical="center"/>
    </xf>
    <xf numFmtId="1" fontId="9" fillId="0" borderId="8" xfId="0" applyNumberFormat="1" applyFont="1" applyFill="1" applyBorder="1" applyAlignment="1">
      <alignment horizontal="right" vertical="center"/>
    </xf>
    <xf numFmtId="166" fontId="9" fillId="0" borderId="40" xfId="0" applyNumberFormat="1" applyFont="1" applyFill="1" applyBorder="1" applyAlignment="1">
      <alignment horizontal="right" vertical="center"/>
    </xf>
    <xf numFmtId="1" fontId="13" fillId="0" borderId="0" xfId="0" applyNumberFormat="1" applyFont="1" applyBorder="1" applyAlignment="1">
      <alignment vertical="top" wrapText="1"/>
    </xf>
    <xf numFmtId="1" fontId="13" fillId="0" borderId="0" xfId="0" applyNumberFormat="1" applyFont="1" applyBorder="1"/>
    <xf numFmtId="1" fontId="13" fillId="0" borderId="0" xfId="0" applyNumberFormat="1" applyFont="1"/>
    <xf numFmtId="1" fontId="9" fillId="0" borderId="0" xfId="0" applyNumberFormat="1" applyFont="1"/>
    <xf numFmtId="1" fontId="9" fillId="0" borderId="0" xfId="0" applyNumberFormat="1" applyFont="1" applyBorder="1"/>
    <xf numFmtId="1" fontId="10" fillId="0" borderId="0" xfId="0" applyNumberFormat="1" applyFont="1" applyAlignment="1">
      <alignment horizontal="center"/>
    </xf>
    <xf numFmtId="1" fontId="12" fillId="0" borderId="0" xfId="0" quotePrefix="1" applyNumberFormat="1" applyFont="1" applyBorder="1" applyAlignment="1">
      <alignment horizontal="right" vertical="top"/>
    </xf>
    <xf numFmtId="1" fontId="0" fillId="0" borderId="0" xfId="0" applyNumberFormat="1" applyFill="1" applyBorder="1"/>
    <xf numFmtId="1" fontId="10" fillId="0" borderId="0" xfId="0" applyNumberFormat="1" applyFont="1" applyBorder="1"/>
    <xf numFmtId="1" fontId="9" fillId="0" borderId="0" xfId="0" applyNumberFormat="1" applyFont="1" applyFill="1" applyBorder="1"/>
    <xf numFmtId="1" fontId="9" fillId="0" borderId="8" xfId="0" applyNumberFormat="1" applyFont="1" applyBorder="1" applyAlignment="1">
      <alignment horizontal="right" vertical="center"/>
    </xf>
    <xf numFmtId="1" fontId="9" fillId="0" borderId="0" xfId="0" applyNumberFormat="1" applyFont="1" applyBorder="1" applyAlignment="1">
      <alignment horizontal="right" vertical="center"/>
    </xf>
    <xf numFmtId="1" fontId="0" fillId="0" borderId="14" xfId="0" applyNumberFormat="1" applyFill="1" applyBorder="1"/>
    <xf numFmtId="1" fontId="0" fillId="0" borderId="10" xfId="0" applyNumberFormat="1" applyFill="1" applyBorder="1"/>
    <xf numFmtId="1" fontId="10" fillId="21" borderId="7" xfId="0" applyNumberFormat="1" applyFont="1" applyFill="1" applyBorder="1" applyAlignment="1">
      <alignment horizontal="center" vertical="center"/>
    </xf>
    <xf numFmtId="1" fontId="10" fillId="22" borderId="6" xfId="0" applyNumberFormat="1" applyFont="1" applyFill="1" applyBorder="1" applyAlignment="1">
      <alignment horizontal="center" vertical="center"/>
    </xf>
    <xf numFmtId="1" fontId="10" fillId="0" borderId="6" xfId="0" applyNumberFormat="1" applyFont="1" applyFill="1" applyBorder="1" applyAlignment="1">
      <alignment horizontal="center" vertical="center"/>
    </xf>
    <xf numFmtId="1" fontId="9" fillId="0" borderId="16" xfId="0" applyNumberFormat="1" applyFont="1" applyFill="1" applyBorder="1" applyAlignment="1">
      <alignment horizontal="right" vertical="center"/>
    </xf>
    <xf numFmtId="1" fontId="10" fillId="22" borderId="2" xfId="0" applyNumberFormat="1" applyFont="1" applyFill="1" applyBorder="1" applyAlignment="1">
      <alignment horizontal="center" vertical="center"/>
    </xf>
    <xf numFmtId="1" fontId="10" fillId="55" borderId="2" xfId="0" applyNumberFormat="1" applyFont="1" applyFill="1" applyBorder="1" applyAlignment="1">
      <alignment horizontal="center" vertical="center"/>
    </xf>
    <xf numFmtId="1" fontId="10" fillId="0" borderId="7" xfId="0" applyNumberFormat="1" applyFont="1" applyFill="1" applyBorder="1" applyAlignment="1">
      <alignment horizontal="center" vertical="center"/>
    </xf>
    <xf numFmtId="1" fontId="10" fillId="55" borderId="6" xfId="0" applyNumberFormat="1" applyFont="1" applyFill="1" applyBorder="1" applyAlignment="1">
      <alignment horizontal="center" vertical="center"/>
    </xf>
    <xf numFmtId="166" fontId="9" fillId="55" borderId="10" xfId="0" applyNumberFormat="1" applyFont="1" applyFill="1" applyBorder="1" applyAlignment="1">
      <alignment horizontal="right" vertical="center"/>
    </xf>
    <xf numFmtId="0" fontId="0" fillId="0" borderId="0" xfId="0" applyAlignment="1">
      <alignment horizontal="center" vertical="center"/>
    </xf>
    <xf numFmtId="174" fontId="10" fillId="22" borderId="12" xfId="0" applyNumberFormat="1" applyFont="1" applyFill="1" applyBorder="1" applyAlignment="1">
      <alignment horizontal="center"/>
    </xf>
    <xf numFmtId="174" fontId="9" fillId="22" borderId="14" xfId="0" applyNumberFormat="1" applyFont="1" applyFill="1" applyBorder="1" applyAlignment="1">
      <alignment horizontal="center"/>
    </xf>
    <xf numFmtId="174" fontId="9" fillId="55" borderId="14" xfId="0" applyNumberFormat="1" applyFont="1" applyFill="1" applyBorder="1" applyAlignment="1">
      <alignment horizontal="center"/>
    </xf>
    <xf numFmtId="167" fontId="10" fillId="22" borderId="15" xfId="0" applyNumberFormat="1" applyFont="1" applyFill="1" applyBorder="1" applyAlignment="1">
      <alignment horizontal="center"/>
    </xf>
    <xf numFmtId="167" fontId="9" fillId="22" borderId="17" xfId="0" applyNumberFormat="1" applyFont="1" applyFill="1" applyBorder="1" applyAlignment="1">
      <alignment horizontal="center"/>
    </xf>
    <xf numFmtId="167" fontId="9" fillId="55" borderId="0" xfId="0" applyNumberFormat="1" applyFont="1" applyFill="1" applyBorder="1" applyAlignment="1">
      <alignment horizontal="center"/>
    </xf>
    <xf numFmtId="167" fontId="9" fillId="55" borderId="14" xfId="0" applyNumberFormat="1" applyFont="1" applyFill="1" applyBorder="1" applyAlignment="1">
      <alignment horizontal="center"/>
    </xf>
    <xf numFmtId="167" fontId="9" fillId="55" borderId="17" xfId="0" applyNumberFormat="1" applyFont="1" applyFill="1" applyBorder="1" applyAlignment="1">
      <alignment horizontal="center"/>
    </xf>
    <xf numFmtId="167" fontId="10" fillId="22" borderId="16" xfId="0" applyNumberFormat="1" applyFont="1" applyFill="1" applyBorder="1" applyAlignment="1">
      <alignment horizontal="center" vertical="center"/>
    </xf>
    <xf numFmtId="167" fontId="9" fillId="22" borderId="17" xfId="0" applyNumberFormat="1" applyFont="1" applyFill="1" applyBorder="1" applyAlignment="1">
      <alignment horizontal="center" vertical="center"/>
    </xf>
    <xf numFmtId="167" fontId="9" fillId="55" borderId="17" xfId="0" applyNumberFormat="1" applyFont="1" applyFill="1" applyBorder="1" applyAlignment="1">
      <alignment horizontal="center" vertical="center"/>
    </xf>
    <xf numFmtId="166" fontId="10" fillId="0" borderId="14" xfId="0" applyNumberFormat="1" applyFont="1" applyFill="1" applyBorder="1" applyAlignment="1">
      <alignment horizontal="center" vertical="center"/>
    </xf>
    <xf numFmtId="166" fontId="10" fillId="22" borderId="14" xfId="0" applyNumberFormat="1" applyFont="1" applyFill="1" applyBorder="1" applyAlignment="1">
      <alignment horizontal="center" vertical="center"/>
    </xf>
    <xf numFmtId="1" fontId="32" fillId="21" borderId="13" xfId="0" applyNumberFormat="1" applyFont="1" applyFill="1" applyBorder="1" applyAlignment="1">
      <alignment horizontal="center" vertical="center"/>
    </xf>
    <xf numFmtId="1" fontId="10" fillId="0" borderId="9" xfId="0" applyNumberFormat="1" applyFont="1" applyFill="1" applyBorder="1" applyAlignment="1">
      <alignment horizontal="center" vertical="center"/>
    </xf>
    <xf numFmtId="1" fontId="9" fillId="22" borderId="22" xfId="0" applyNumberFormat="1" applyFont="1" applyFill="1" applyBorder="1" applyAlignment="1">
      <alignment vertical="center"/>
    </xf>
    <xf numFmtId="0" fontId="9" fillId="0" borderId="0" xfId="0" applyFont="1" applyAlignment="1">
      <alignment horizontal="center" vertical="center"/>
    </xf>
    <xf numFmtId="166" fontId="10" fillId="55" borderId="6" xfId="0" applyNumberFormat="1" applyFont="1" applyFill="1" applyBorder="1" applyAlignment="1">
      <alignment horizontal="center" vertical="center"/>
    </xf>
    <xf numFmtId="176" fontId="10" fillId="22" borderId="12" xfId="0" applyNumberFormat="1" applyFont="1" applyFill="1" applyBorder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167" fontId="9" fillId="22" borderId="0" xfId="0" applyNumberFormat="1" applyFont="1" applyFill="1" applyBorder="1" applyAlignment="1">
      <alignment vertical="center"/>
    </xf>
    <xf numFmtId="166" fontId="10" fillId="22" borderId="13" xfId="0" applyNumberFormat="1" applyFont="1" applyFill="1" applyBorder="1" applyAlignment="1">
      <alignment horizontal="center" vertical="center"/>
    </xf>
    <xf numFmtId="166" fontId="10" fillId="0" borderId="10" xfId="0" applyNumberFormat="1" applyFont="1" applyFill="1" applyBorder="1" applyAlignment="1">
      <alignment horizontal="center" vertical="center"/>
    </xf>
    <xf numFmtId="166" fontId="10" fillId="55" borderId="10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wrapText="1"/>
    </xf>
    <xf numFmtId="0" fontId="10" fillId="21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/>
    </xf>
    <xf numFmtId="167" fontId="16" fillId="55" borderId="16" xfId="0" quotePrefix="1" applyNumberFormat="1" applyFont="1" applyFill="1" applyBorder="1" applyAlignment="1">
      <alignment horizontal="right" vertical="center"/>
    </xf>
    <xf numFmtId="169" fontId="9" fillId="0" borderId="52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left" vertical="top"/>
    </xf>
    <xf numFmtId="0" fontId="0" fillId="0" borderId="0" xfId="0" applyAlignment="1">
      <alignment vertical="top"/>
    </xf>
    <xf numFmtId="167" fontId="16" fillId="0" borderId="14" xfId="0" applyNumberFormat="1" applyFont="1" applyFill="1" applyBorder="1" applyAlignment="1">
      <alignment horizontal="right" vertical="center"/>
    </xf>
    <xf numFmtId="166" fontId="9" fillId="0" borderId="0" xfId="0" applyNumberFormat="1" applyFont="1" applyAlignment="1">
      <alignment horizontal="center" vertical="center"/>
    </xf>
    <xf numFmtId="166" fontId="10" fillId="0" borderId="0" xfId="0" applyNumberFormat="1" applyFont="1" applyAlignment="1">
      <alignment horizontal="center" vertical="center" wrapText="1"/>
    </xf>
    <xf numFmtId="167" fontId="16" fillId="22" borderId="0" xfId="0" applyNumberFormat="1" applyFont="1" applyFill="1" applyBorder="1" applyAlignment="1">
      <alignment horizontal="right" vertical="center"/>
    </xf>
    <xf numFmtId="167" fontId="16" fillId="55" borderId="36" xfId="0" applyNumberFormat="1" applyFont="1" applyFill="1" applyBorder="1" applyAlignment="1">
      <alignment vertical="center"/>
    </xf>
    <xf numFmtId="167" fontId="90" fillId="55" borderId="17" xfId="0" applyNumberFormat="1" applyFont="1" applyFill="1" applyBorder="1" applyAlignment="1">
      <alignment horizontal="center"/>
    </xf>
    <xf numFmtId="167" fontId="90" fillId="55" borderId="14" xfId="0" applyNumberFormat="1" applyFont="1" applyFill="1" applyBorder="1" applyAlignment="1">
      <alignment horizontal="center"/>
    </xf>
    <xf numFmtId="0" fontId="89" fillId="21" borderId="10" xfId="0" applyFont="1" applyFill="1" applyBorder="1" applyAlignment="1">
      <alignment horizontal="center" vertical="top" wrapText="1"/>
    </xf>
    <xf numFmtId="166" fontId="10" fillId="55" borderId="5" xfId="0" applyNumberFormat="1" applyFont="1" applyFill="1" applyBorder="1" applyAlignment="1">
      <alignment horizontal="right"/>
    </xf>
    <xf numFmtId="1" fontId="10" fillId="21" borderId="6" xfId="0" applyNumberFormat="1" applyFont="1" applyFill="1" applyBorder="1" applyAlignment="1">
      <alignment horizontal="center" vertical="center" wrapText="1"/>
    </xf>
    <xf numFmtId="1" fontId="9" fillId="0" borderId="14" xfId="0" applyNumberFormat="1" applyFont="1" applyFill="1" applyBorder="1" applyAlignment="1">
      <alignment horizontal="right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166" fontId="32" fillId="0" borderId="6" xfId="0" applyNumberFormat="1" applyFont="1" applyFill="1" applyBorder="1" applyAlignment="1">
      <alignment horizontal="center" vertical="center"/>
    </xf>
    <xf numFmtId="166" fontId="32" fillId="22" borderId="2" xfId="0" applyNumberFormat="1" applyFont="1" applyFill="1" applyBorder="1" applyAlignment="1">
      <alignment horizontal="center" vertical="center"/>
    </xf>
    <xf numFmtId="166" fontId="32" fillId="0" borderId="2" xfId="0" applyNumberFormat="1" applyFont="1" applyFill="1" applyBorder="1" applyAlignment="1">
      <alignment horizontal="center" vertical="center"/>
    </xf>
    <xf numFmtId="166" fontId="32" fillId="55" borderId="2" xfId="0" applyNumberFormat="1" applyFont="1" applyFill="1" applyBorder="1" applyAlignment="1">
      <alignment horizontal="center" vertical="center"/>
    </xf>
    <xf numFmtId="166" fontId="32" fillId="0" borderId="7" xfId="0" applyNumberFormat="1" applyFont="1" applyFill="1" applyBorder="1" applyAlignment="1">
      <alignment horizontal="center" vertical="center"/>
    </xf>
    <xf numFmtId="167" fontId="90" fillId="22" borderId="14" xfId="0" applyNumberFormat="1" applyFont="1" applyFill="1" applyBorder="1" applyAlignment="1">
      <alignment vertical="center"/>
    </xf>
    <xf numFmtId="167" fontId="90" fillId="0" borderId="14" xfId="0" applyNumberFormat="1" applyFont="1" applyFill="1" applyBorder="1" applyAlignment="1">
      <alignment vertical="center"/>
    </xf>
    <xf numFmtId="0" fontId="12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wrapText="1"/>
    </xf>
    <xf numFmtId="0" fontId="10" fillId="21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/>
    </xf>
    <xf numFmtId="1" fontId="9" fillId="55" borderId="14" xfId="0" applyNumberFormat="1" applyFont="1" applyFill="1" applyBorder="1" applyAlignment="1">
      <alignment horizontal="right" vertical="center"/>
    </xf>
    <xf numFmtId="179" fontId="89" fillId="22" borderId="11" xfId="0" applyNumberFormat="1" applyFont="1" applyFill="1" applyBorder="1" applyAlignment="1">
      <alignment horizontal="right" vertical="center"/>
    </xf>
    <xf numFmtId="179" fontId="89" fillId="22" borderId="29" xfId="0" applyNumberFormat="1" applyFont="1" applyFill="1" applyBorder="1" applyAlignment="1">
      <alignment horizontal="right" vertical="center"/>
    </xf>
    <xf numFmtId="179" fontId="89" fillId="22" borderId="5" xfId="0" applyNumberFormat="1" applyFont="1" applyFill="1" applyBorder="1" applyAlignment="1">
      <alignment horizontal="right" vertical="center"/>
    </xf>
    <xf numFmtId="179" fontId="89" fillId="22" borderId="29" xfId="0" applyNumberFormat="1" applyFont="1" applyFill="1" applyBorder="1" applyAlignment="1">
      <alignment horizontal="center" vertical="center"/>
    </xf>
    <xf numFmtId="179" fontId="89" fillId="22" borderId="15" xfId="0" applyNumberFormat="1" applyFont="1" applyFill="1" applyBorder="1" applyAlignment="1">
      <alignment horizontal="right" vertical="center"/>
    </xf>
    <xf numFmtId="179" fontId="90" fillId="22" borderId="32" xfId="0" applyNumberFormat="1" applyFont="1" applyFill="1" applyBorder="1" applyAlignment="1">
      <alignment horizontal="right" vertical="center"/>
    </xf>
    <xf numFmtId="179" fontId="89" fillId="22" borderId="41" xfId="0" applyNumberFormat="1" applyFont="1" applyFill="1" applyBorder="1" applyAlignment="1">
      <alignment horizontal="right" vertical="center"/>
    </xf>
    <xf numFmtId="179" fontId="89" fillId="22" borderId="16" xfId="0" applyNumberFormat="1" applyFont="1" applyFill="1" applyBorder="1" applyAlignment="1">
      <alignment horizontal="right" vertical="center"/>
    </xf>
    <xf numFmtId="179" fontId="90" fillId="22" borderId="29" xfId="0" applyNumberFormat="1" applyFont="1" applyFill="1" applyBorder="1" applyAlignment="1">
      <alignment horizontal="right" vertical="center"/>
    </xf>
    <xf numFmtId="179" fontId="89" fillId="22" borderId="42" xfId="0" applyNumberFormat="1" applyFont="1" applyFill="1" applyBorder="1" applyAlignment="1">
      <alignment horizontal="right" vertical="center"/>
    </xf>
    <xf numFmtId="179" fontId="89" fillId="22" borderId="17" xfId="0" applyNumberFormat="1" applyFont="1" applyFill="1" applyBorder="1" applyAlignment="1">
      <alignment horizontal="right" vertical="center"/>
    </xf>
    <xf numFmtId="179" fontId="90" fillId="22" borderId="30" xfId="0" applyNumberFormat="1" applyFont="1" applyFill="1" applyBorder="1" applyAlignment="1">
      <alignment horizontal="right" vertical="center"/>
    </xf>
    <xf numFmtId="9" fontId="89" fillId="22" borderId="5" xfId="0" applyNumberFormat="1" applyFont="1" applyFill="1" applyBorder="1" applyAlignment="1">
      <alignment horizontal="right" vertical="center"/>
    </xf>
    <xf numFmtId="3" fontId="89" fillId="22" borderId="29" xfId="0" applyNumberFormat="1" applyFont="1" applyFill="1" applyBorder="1" applyAlignment="1">
      <alignment horizontal="right" vertical="center"/>
    </xf>
    <xf numFmtId="179" fontId="89" fillId="22" borderId="30" xfId="0" applyNumberFormat="1" applyFont="1" applyFill="1" applyBorder="1" applyAlignment="1">
      <alignment horizontal="right" vertical="center"/>
    </xf>
    <xf numFmtId="3" fontId="90" fillId="22" borderId="32" xfId="0" applyNumberFormat="1" applyFont="1" applyFill="1" applyBorder="1" applyAlignment="1">
      <alignment horizontal="right" vertical="center"/>
    </xf>
    <xf numFmtId="3" fontId="90" fillId="22" borderId="29" xfId="0" applyNumberFormat="1" applyFont="1" applyFill="1" applyBorder="1" applyAlignment="1">
      <alignment horizontal="right" vertical="center"/>
    </xf>
    <xf numFmtId="3" fontId="90" fillId="22" borderId="30" xfId="0" applyNumberFormat="1" applyFont="1" applyFill="1" applyBorder="1" applyAlignment="1">
      <alignment horizontal="right" vertical="center"/>
    </xf>
    <xf numFmtId="9" fontId="89" fillId="22" borderId="12" xfId="0" applyNumberFormat="1" applyFont="1" applyFill="1" applyBorder="1" applyAlignment="1">
      <alignment horizontal="right" vertical="center"/>
    </xf>
    <xf numFmtId="9" fontId="89" fillId="22" borderId="14" xfId="0" applyNumberFormat="1" applyFont="1" applyFill="1" applyBorder="1" applyAlignment="1">
      <alignment horizontal="right" vertical="center"/>
    </xf>
    <xf numFmtId="9" fontId="89" fillId="22" borderId="13" xfId="0" applyNumberFormat="1" applyFont="1" applyFill="1" applyBorder="1" applyAlignment="1">
      <alignment horizontal="right" vertical="center"/>
    </xf>
    <xf numFmtId="9" fontId="89" fillId="22" borderId="54" xfId="0" applyNumberFormat="1" applyFont="1" applyFill="1" applyBorder="1" applyAlignment="1">
      <alignment horizontal="right" vertical="center"/>
    </xf>
    <xf numFmtId="9" fontId="89" fillId="22" borderId="55" xfId="0" applyNumberFormat="1" applyFont="1" applyFill="1" applyBorder="1" applyAlignment="1">
      <alignment horizontal="right" vertical="center"/>
    </xf>
    <xf numFmtId="9" fontId="89" fillId="22" borderId="53" xfId="0" applyNumberFormat="1" applyFont="1" applyFill="1" applyBorder="1" applyAlignment="1">
      <alignment horizontal="right" vertical="center"/>
    </xf>
    <xf numFmtId="0" fontId="89" fillId="22" borderId="6" xfId="0" applyFont="1" applyFill="1" applyBorder="1" applyAlignment="1">
      <alignment horizontal="left" vertical="center" wrapText="1"/>
    </xf>
    <xf numFmtId="0" fontId="90" fillId="21" borderId="6" xfId="0" applyFont="1" applyFill="1" applyBorder="1" applyAlignment="1">
      <alignment horizontal="left" vertical="top" wrapText="1"/>
    </xf>
    <xf numFmtId="0" fontId="89" fillId="21" borderId="7" xfId="0" applyFont="1" applyFill="1" applyBorder="1" applyAlignment="1">
      <alignment horizontal="center" vertical="top" wrapText="1"/>
    </xf>
    <xf numFmtId="0" fontId="10" fillId="0" borderId="0" xfId="0" applyFont="1" applyBorder="1" applyAlignment="1"/>
    <xf numFmtId="0" fontId="10" fillId="0" borderId="0" xfId="0" applyFont="1" applyBorder="1" applyAlignment="1"/>
    <xf numFmtId="1" fontId="10" fillId="21" borderId="16" xfId="0" applyNumberFormat="1" applyFont="1" applyFill="1" applyBorder="1" applyAlignment="1">
      <alignment horizontal="center" wrapText="1"/>
    </xf>
    <xf numFmtId="166" fontId="10" fillId="55" borderId="14" xfId="0" applyNumberFormat="1" applyFont="1" applyFill="1" applyBorder="1" applyAlignment="1">
      <alignment horizontal="center" vertical="center"/>
    </xf>
    <xf numFmtId="167" fontId="9" fillId="56" borderId="7" xfId="0" applyNumberFormat="1" applyFont="1" applyFill="1" applyBorder="1" applyAlignment="1">
      <alignment horizontal="right" vertical="center"/>
    </xf>
    <xf numFmtId="167" fontId="9" fillId="56" borderId="8" xfId="0" applyNumberFormat="1" applyFont="1" applyFill="1" applyBorder="1" applyAlignment="1">
      <alignment horizontal="right" vertical="center"/>
    </xf>
    <xf numFmtId="167" fontId="16" fillId="0" borderId="14" xfId="0" applyNumberFormat="1" applyFont="1" applyFill="1" applyBorder="1"/>
    <xf numFmtId="167" fontId="90" fillId="55" borderId="0" xfId="0" applyNumberFormat="1" applyFont="1" applyFill="1" applyBorder="1" applyAlignment="1">
      <alignment vertical="center"/>
    </xf>
    <xf numFmtId="167" fontId="90" fillId="55" borderId="14" xfId="0" applyNumberFormat="1" applyFont="1" applyFill="1" applyBorder="1" applyAlignment="1">
      <alignment vertical="center"/>
    </xf>
    <xf numFmtId="166" fontId="10" fillId="22" borderId="12" xfId="0" applyNumberFormat="1" applyFont="1" applyFill="1" applyBorder="1" applyAlignment="1">
      <alignment horizontal="center" vertical="center"/>
    </xf>
    <xf numFmtId="166" fontId="10" fillId="55" borderId="7" xfId="0" applyNumberFormat="1" applyFont="1" applyFill="1" applyBorder="1" applyAlignment="1">
      <alignment horizontal="center" vertical="center"/>
    </xf>
    <xf numFmtId="0" fontId="94" fillId="0" borderId="0" xfId="0" applyFont="1" applyBorder="1" applyAlignment="1">
      <alignment horizontal="left" vertical="top"/>
    </xf>
    <xf numFmtId="0" fontId="90" fillId="0" borderId="0" xfId="0" applyFont="1"/>
    <xf numFmtId="0" fontId="95" fillId="0" borderId="0" xfId="0" quotePrefix="1" applyFont="1" applyAlignment="1">
      <alignment horizontal="right" vertical="top"/>
    </xf>
    <xf numFmtId="0" fontId="89" fillId="0" borderId="0" xfId="0" applyFont="1" applyAlignment="1">
      <alignment horizontal="left" vertical="top"/>
    </xf>
    <xf numFmtId="0" fontId="90" fillId="0" borderId="0" xfId="0" applyFont="1" applyAlignment="1">
      <alignment vertical="top"/>
    </xf>
    <xf numFmtId="0" fontId="90" fillId="0" borderId="0" xfId="0" applyFont="1" applyBorder="1" applyAlignment="1"/>
    <xf numFmtId="0" fontId="90" fillId="0" borderId="0" xfId="0" applyFont="1" applyAlignment="1"/>
    <xf numFmtId="0" fontId="89" fillId="0" borderId="0" xfId="0" applyFont="1" applyAlignment="1">
      <alignment horizontal="left"/>
    </xf>
    <xf numFmtId="0" fontId="89" fillId="0" borderId="0" xfId="0" applyFont="1" applyFill="1" applyBorder="1" applyAlignment="1">
      <alignment horizontal="center" vertical="center" wrapText="1"/>
    </xf>
    <xf numFmtId="0" fontId="90" fillId="21" borderId="8" xfId="0" applyFont="1" applyFill="1" applyBorder="1" applyAlignment="1">
      <alignment horizontal="center" vertical="center"/>
    </xf>
    <xf numFmtId="0" fontId="90" fillId="0" borderId="14" xfId="0" applyFont="1" applyBorder="1"/>
    <xf numFmtId="0" fontId="90" fillId="0" borderId="14" xfId="0" applyFont="1" applyBorder="1" applyAlignment="1">
      <alignment horizontal="center"/>
    </xf>
    <xf numFmtId="0" fontId="90" fillId="0" borderId="0" xfId="0" applyFont="1" applyAlignment="1">
      <alignment horizontal="center"/>
    </xf>
    <xf numFmtId="0" fontId="91" fillId="0" borderId="0" xfId="0" applyFont="1"/>
    <xf numFmtId="0" fontId="91" fillId="0" borderId="0" xfId="0" applyFont="1" applyAlignment="1">
      <alignment vertical="top"/>
    </xf>
    <xf numFmtId="0" fontId="91" fillId="0" borderId="0" xfId="0" applyFont="1" applyAlignment="1">
      <alignment vertical="center"/>
    </xf>
    <xf numFmtId="164" fontId="9" fillId="0" borderId="7" xfId="0" applyNumberFormat="1" applyFont="1" applyFill="1" applyBorder="1" applyAlignment="1">
      <alignment horizontal="right" vertical="center"/>
    </xf>
    <xf numFmtId="166" fontId="9" fillId="0" borderId="24" xfId="0" applyNumberFormat="1" applyFont="1" applyFill="1" applyBorder="1" applyAlignment="1">
      <alignment horizontal="right" vertical="center"/>
    </xf>
    <xf numFmtId="166" fontId="9" fillId="0" borderId="8" xfId="0" applyNumberFormat="1" applyFont="1" applyFill="1" applyBorder="1" applyAlignment="1">
      <alignment horizontal="right" vertical="center" wrapText="1"/>
    </xf>
    <xf numFmtId="166" fontId="9" fillId="0" borderId="10" xfId="0" applyNumberFormat="1" applyFont="1" applyFill="1" applyBorder="1" applyAlignment="1">
      <alignment horizontal="right" vertical="center" wrapText="1"/>
    </xf>
    <xf numFmtId="1" fontId="9" fillId="0" borderId="8" xfId="0" quotePrefix="1" applyNumberFormat="1" applyFont="1" applyFill="1" applyBorder="1" applyAlignment="1">
      <alignment horizontal="right" vertical="center"/>
    </xf>
    <xf numFmtId="1" fontId="10" fillId="0" borderId="17" xfId="0" applyNumberFormat="1" applyFont="1" applyFill="1" applyBorder="1" applyAlignment="1">
      <alignment horizontal="center" vertical="center"/>
    </xf>
    <xf numFmtId="167" fontId="0" fillId="0" borderId="0" xfId="0" applyNumberFormat="1"/>
    <xf numFmtId="0" fontId="95" fillId="0" borderId="0" xfId="0" applyFont="1" applyBorder="1" applyAlignment="1">
      <alignment horizontal="center" vertical="top"/>
    </xf>
    <xf numFmtId="0" fontId="92" fillId="0" borderId="0" xfId="0" applyFont="1" applyBorder="1" applyAlignment="1">
      <alignment horizontal="center" vertical="top"/>
    </xf>
    <xf numFmtId="0" fontId="90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right" vertical="center"/>
    </xf>
    <xf numFmtId="171" fontId="9" fillId="55" borderId="9" xfId="0" applyNumberFormat="1" applyFont="1" applyFill="1" applyBorder="1" applyAlignment="1">
      <alignment horizontal="right" vertical="center"/>
    </xf>
    <xf numFmtId="171" fontId="9" fillId="55" borderId="8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/>
    </xf>
    <xf numFmtId="167" fontId="10" fillId="55" borderId="14" xfId="0" applyNumberFormat="1" applyFont="1" applyFill="1" applyBorder="1" applyAlignment="1">
      <alignment horizontal="center"/>
    </xf>
    <xf numFmtId="167" fontId="89" fillId="55" borderId="14" xfId="0" applyNumberFormat="1" applyFont="1" applyFill="1" applyBorder="1" applyAlignment="1">
      <alignment horizontal="center"/>
    </xf>
    <xf numFmtId="0" fontId="10" fillId="22" borderId="7" xfId="0" applyFont="1" applyFill="1" applyBorder="1" applyAlignment="1">
      <alignment horizontal="center" vertical="center"/>
    </xf>
    <xf numFmtId="0" fontId="10" fillId="22" borderId="10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166" fontId="10" fillId="0" borderId="12" xfId="0" applyNumberFormat="1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176" fontId="16" fillId="22" borderId="14" xfId="0" applyNumberFormat="1" applyFont="1" applyFill="1" applyBorder="1" applyAlignment="1">
      <alignment horizontal="right" vertical="center"/>
    </xf>
    <xf numFmtId="166" fontId="10" fillId="55" borderId="12" xfId="0" applyNumberFormat="1" applyFont="1" applyFill="1" applyBorder="1" applyAlignment="1">
      <alignment horizontal="center" vertical="center"/>
    </xf>
    <xf numFmtId="176" fontId="13" fillId="0" borderId="0" xfId="0" applyNumberFormat="1" applyFont="1"/>
    <xf numFmtId="176" fontId="9" fillId="0" borderId="0" xfId="0" applyNumberFormat="1" applyFont="1" applyFill="1" applyBorder="1"/>
    <xf numFmtId="0" fontId="10" fillId="0" borderId="0" xfId="0" applyFont="1" applyBorder="1" applyAlignment="1"/>
    <xf numFmtId="166" fontId="10" fillId="21" borderId="14" xfId="0" applyNumberFormat="1" applyFont="1" applyFill="1" applyBorder="1" applyAlignment="1">
      <alignment horizontal="center" vertical="top"/>
    </xf>
    <xf numFmtId="1" fontId="9" fillId="0" borderId="14" xfId="0" applyNumberFormat="1" applyFont="1" applyFill="1" applyBorder="1" applyAlignment="1">
      <alignment horizontal="right" vertical="center" wrapText="1"/>
    </xf>
    <xf numFmtId="1" fontId="9" fillId="0" borderId="10" xfId="0" applyNumberFormat="1" applyFont="1" applyFill="1" applyBorder="1" applyAlignment="1">
      <alignment horizontal="right" vertical="center"/>
    </xf>
    <xf numFmtId="1" fontId="9" fillId="56" borderId="14" xfId="0" applyNumberFormat="1" applyFont="1" applyFill="1" applyBorder="1" applyAlignment="1">
      <alignment horizontal="right" vertical="center"/>
    </xf>
    <xf numFmtId="1" fontId="9" fillId="55" borderId="10" xfId="0" applyNumberFormat="1" applyFont="1" applyFill="1" applyBorder="1" applyAlignment="1">
      <alignment horizontal="right" vertical="center"/>
    </xf>
    <xf numFmtId="1" fontId="10" fillId="0" borderId="0" xfId="0" applyNumberFormat="1" applyFont="1" applyAlignment="1">
      <alignment horizontal="center" vertical="center"/>
    </xf>
    <xf numFmtId="185" fontId="17" fillId="22" borderId="16" xfId="0" applyNumberFormat="1" applyFont="1" applyFill="1" applyBorder="1" applyAlignment="1">
      <alignment horizontal="right" vertical="center"/>
    </xf>
    <xf numFmtId="0" fontId="10" fillId="0" borderId="6" xfId="0" applyFont="1" applyBorder="1" applyAlignment="1">
      <alignment horizontal="center" vertical="center"/>
    </xf>
    <xf numFmtId="185" fontId="9" fillId="0" borderId="6" xfId="0" applyNumberFormat="1" applyFont="1" applyBorder="1" applyAlignment="1">
      <alignment horizontal="right" vertical="center"/>
    </xf>
    <xf numFmtId="1" fontId="9" fillId="0" borderId="0" xfId="0" applyNumberFormat="1" applyFont="1" applyAlignment="1">
      <alignment vertical="center"/>
    </xf>
    <xf numFmtId="0" fontId="10" fillId="0" borderId="2" xfId="0" applyFont="1" applyBorder="1" applyAlignment="1">
      <alignment horizontal="center" vertical="center"/>
    </xf>
    <xf numFmtId="185" fontId="9" fillId="22" borderId="2" xfId="0" applyNumberFormat="1" applyFont="1" applyFill="1" applyBorder="1" applyAlignment="1">
      <alignment horizontal="right" vertical="center"/>
    </xf>
    <xf numFmtId="1" fontId="9" fillId="22" borderId="0" xfId="0" applyNumberFormat="1" applyFont="1" applyFill="1" applyAlignment="1">
      <alignment vertical="center"/>
    </xf>
    <xf numFmtId="185" fontId="9" fillId="0" borderId="2" xfId="0" applyNumberFormat="1" applyFont="1" applyBorder="1" applyAlignment="1">
      <alignment horizontal="right" vertical="center"/>
    </xf>
    <xf numFmtId="1" fontId="9" fillId="22" borderId="21" xfId="0" applyNumberFormat="1" applyFont="1" applyFill="1" applyBorder="1" applyAlignment="1">
      <alignment vertical="center"/>
    </xf>
    <xf numFmtId="185" fontId="9" fillId="55" borderId="2" xfId="0" applyNumberFormat="1" applyFont="1" applyFill="1" applyBorder="1" applyAlignment="1">
      <alignment horizontal="right" vertical="center"/>
    </xf>
    <xf numFmtId="1" fontId="9" fillId="0" borderId="21" xfId="0" applyNumberFormat="1" applyFont="1" applyBorder="1" applyAlignment="1">
      <alignment vertical="center"/>
    </xf>
    <xf numFmtId="0" fontId="10" fillId="0" borderId="7" xfId="0" applyFont="1" applyBorder="1" applyAlignment="1">
      <alignment horizontal="center" vertical="center"/>
    </xf>
    <xf numFmtId="185" fontId="9" fillId="0" borderId="7" xfId="0" applyNumberFormat="1" applyFont="1" applyBorder="1" applyAlignment="1">
      <alignment horizontal="right" vertical="center"/>
    </xf>
    <xf numFmtId="1" fontId="9" fillId="0" borderId="8" xfId="0" applyNumberFormat="1" applyFont="1" applyBorder="1" applyAlignment="1">
      <alignment vertical="center"/>
    </xf>
    <xf numFmtId="1" fontId="9" fillId="0" borderId="10" xfId="0" applyNumberFormat="1" applyFont="1" applyBorder="1" applyAlignment="1">
      <alignment horizontal="center" vertical="center"/>
    </xf>
    <xf numFmtId="166" fontId="10" fillId="0" borderId="2" xfId="0" applyNumberFormat="1" applyFont="1" applyBorder="1" applyAlignment="1">
      <alignment horizontal="center" vertical="center"/>
    </xf>
    <xf numFmtId="166" fontId="10" fillId="0" borderId="7" xfId="0" applyNumberFormat="1" applyFont="1" applyBorder="1" applyAlignment="1">
      <alignment horizontal="center" vertical="center"/>
    </xf>
    <xf numFmtId="0" fontId="0" fillId="0" borderId="10" xfId="0" applyBorder="1"/>
    <xf numFmtId="0" fontId="14" fillId="0" borderId="0" xfId="0" applyFont="1"/>
    <xf numFmtId="0" fontId="9" fillId="0" borderId="0" xfId="0" applyFont="1" applyAlignment="1">
      <alignment horizontal="right"/>
    </xf>
    <xf numFmtId="3" fontId="22" fillId="0" borderId="0" xfId="0" applyNumberFormat="1" applyFont="1" applyAlignment="1">
      <alignment horizontal="right" vertical="center" shrinkToFit="1"/>
    </xf>
    <xf numFmtId="0" fontId="12" fillId="0" borderId="0" xfId="0" applyFont="1" applyBorder="1" applyAlignment="1">
      <alignment horizontal="center" vertical="top"/>
    </xf>
    <xf numFmtId="0" fontId="10" fillId="0" borderId="16" xfId="0" applyFont="1" applyBorder="1" applyAlignment="1">
      <alignment wrapText="1"/>
    </xf>
    <xf numFmtId="0" fontId="10" fillId="0" borderId="0" xfId="0" applyFont="1" applyAlignment="1">
      <alignment wrapText="1"/>
    </xf>
    <xf numFmtId="0" fontId="14" fillId="0" borderId="0" xfId="0" applyFont="1" applyAlignment="1">
      <alignment horizontal="center" vertical="center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Border="1" applyAlignment="1">
      <alignment horizontal="left" wrapText="1"/>
    </xf>
    <xf numFmtId="0" fontId="10" fillId="21" borderId="0" xfId="0" applyFont="1" applyFill="1" applyBorder="1" applyAlignment="1">
      <alignment horizontal="center" vertical="center" wrapText="1"/>
    </xf>
    <xf numFmtId="0" fontId="21" fillId="0" borderId="0" xfId="0" quotePrefix="1" applyFont="1" applyAlignment="1">
      <alignment horizontal="left"/>
    </xf>
    <xf numFmtId="0" fontId="10" fillId="21" borderId="7" xfId="0" applyFont="1" applyFill="1" applyBorder="1" applyAlignment="1">
      <alignment horizontal="center" vertical="top" wrapText="1"/>
    </xf>
    <xf numFmtId="0" fontId="12" fillId="0" borderId="0" xfId="0" quotePrefix="1" applyFont="1" applyAlignment="1">
      <alignment horizontal="right" vertical="top"/>
    </xf>
    <xf numFmtId="0" fontId="10" fillId="0" borderId="16" xfId="0" applyFont="1" applyBorder="1" applyAlignment="1">
      <alignment horizontal="left" wrapText="1"/>
    </xf>
    <xf numFmtId="0" fontId="10" fillId="21" borderId="10" xfId="0" applyFont="1" applyFill="1" applyBorder="1" applyAlignment="1">
      <alignment horizontal="center" vertical="top" wrapText="1"/>
    </xf>
    <xf numFmtId="0" fontId="10" fillId="0" borderId="0" xfId="0" applyFont="1" applyAlignment="1">
      <alignment horizontal="left" wrapText="1"/>
    </xf>
    <xf numFmtId="0" fontId="0" fillId="0" borderId="0" xfId="0" applyAlignment="1">
      <alignment vertical="top"/>
    </xf>
    <xf numFmtId="0" fontId="0" fillId="0" borderId="0" xfId="0" applyAlignment="1">
      <alignment vertical="top"/>
    </xf>
    <xf numFmtId="0" fontId="9" fillId="0" borderId="0" xfId="0" applyFont="1" applyAlignment="1">
      <alignment horizontal="right" vertical="top"/>
    </xf>
    <xf numFmtId="0" fontId="31" fillId="0" borderId="0" xfId="0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76" fontId="9" fillId="0" borderId="15" xfId="0" applyNumberFormat="1" applyFont="1" applyBorder="1" applyAlignment="1">
      <alignment horizontal="right" vertical="center"/>
    </xf>
    <xf numFmtId="176" fontId="9" fillId="0" borderId="16" xfId="0" applyNumberFormat="1" applyFont="1" applyBorder="1" applyAlignment="1">
      <alignment horizontal="right" vertical="center"/>
    </xf>
    <xf numFmtId="176" fontId="9" fillId="0" borderId="13" xfId="0" applyNumberFormat="1" applyFont="1" applyBorder="1" applyAlignment="1">
      <alignment horizontal="right" vertical="center"/>
    </xf>
    <xf numFmtId="176" fontId="9" fillId="22" borderId="0" xfId="0" applyNumberFormat="1" applyFont="1" applyFill="1" applyAlignment="1">
      <alignment horizontal="right" vertical="center"/>
    </xf>
    <xf numFmtId="176" fontId="16" fillId="55" borderId="0" xfId="0" applyNumberFormat="1" applyFont="1" applyFill="1" applyAlignment="1">
      <alignment horizontal="right" vertical="center"/>
    </xf>
    <xf numFmtId="176" fontId="9" fillId="0" borderId="17" xfId="0" applyNumberFormat="1" applyFont="1" applyBorder="1" applyAlignment="1">
      <alignment horizontal="right" vertical="center"/>
    </xf>
    <xf numFmtId="176" fontId="9" fillId="0" borderId="0" xfId="0" applyNumberFormat="1" applyFont="1" applyAlignment="1">
      <alignment horizontal="right" vertical="center"/>
    </xf>
    <xf numFmtId="176" fontId="16" fillId="0" borderId="14" xfId="0" applyNumberFormat="1" applyFont="1" applyBorder="1" applyAlignment="1">
      <alignment horizontal="right" vertical="center"/>
    </xf>
    <xf numFmtId="176" fontId="9" fillId="55" borderId="0" xfId="0" applyNumberFormat="1" applyFont="1" applyFill="1" applyAlignment="1">
      <alignment horizontal="right" vertical="center"/>
    </xf>
    <xf numFmtId="176" fontId="9" fillId="0" borderId="14" xfId="0" applyNumberFormat="1" applyFont="1" applyBorder="1" applyAlignment="1">
      <alignment horizontal="right" vertical="center"/>
    </xf>
    <xf numFmtId="176" fontId="9" fillId="0" borderId="22" xfId="0" applyNumberFormat="1" applyFont="1" applyBorder="1" applyAlignment="1">
      <alignment horizontal="right" vertical="center"/>
    </xf>
    <xf numFmtId="176" fontId="16" fillId="0" borderId="0" xfId="0" applyNumberFormat="1" applyFont="1" applyAlignment="1">
      <alignment horizontal="right" vertical="center"/>
    </xf>
    <xf numFmtId="176" fontId="9" fillId="0" borderId="9" xfId="0" applyNumberFormat="1" applyFont="1" applyBorder="1" applyAlignment="1">
      <alignment horizontal="right" vertical="center"/>
    </xf>
    <xf numFmtId="176" fontId="9" fillId="0" borderId="8" xfId="0" applyNumberFormat="1" applyFont="1" applyBorder="1" applyAlignment="1">
      <alignment horizontal="right" vertical="center"/>
    </xf>
    <xf numFmtId="176" fontId="9" fillId="0" borderId="36" xfId="0" applyNumberFormat="1" applyFont="1" applyBorder="1" applyAlignment="1">
      <alignment horizontal="right" vertical="center"/>
    </xf>
    <xf numFmtId="1" fontId="9" fillId="0" borderId="0" xfId="0" applyNumberFormat="1" applyFont="1" applyAlignment="1">
      <alignment horizontal="center" vertical="center"/>
    </xf>
    <xf numFmtId="165" fontId="9" fillId="0" borderId="15" xfId="0" applyNumberFormat="1" applyFont="1" applyBorder="1" applyAlignment="1">
      <alignment horizontal="right" vertical="center"/>
    </xf>
    <xf numFmtId="166" fontId="10" fillId="0" borderId="13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165" fontId="9" fillId="0" borderId="17" xfId="0" applyNumberFormat="1" applyFont="1" applyBorder="1" applyAlignment="1">
      <alignment horizontal="right" vertical="center"/>
    </xf>
    <xf numFmtId="166" fontId="10" fillId="0" borderId="14" xfId="0" applyNumberFormat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184" fontId="9" fillId="55" borderId="0" xfId="0" applyNumberFormat="1" applyFont="1" applyFill="1" applyAlignment="1">
      <alignment horizontal="right" vertical="center"/>
    </xf>
    <xf numFmtId="182" fontId="9" fillId="55" borderId="0" xfId="0" applyNumberFormat="1" applyFont="1" applyFill="1" applyAlignment="1">
      <alignment horizontal="right" vertical="center"/>
    </xf>
    <xf numFmtId="165" fontId="9" fillId="0" borderId="9" xfId="0" applyNumberFormat="1" applyFont="1" applyBorder="1" applyAlignment="1">
      <alignment horizontal="right" vertical="center"/>
    </xf>
    <xf numFmtId="176" fontId="9" fillId="0" borderId="10" xfId="0" applyNumberFormat="1" applyFont="1" applyBorder="1" applyAlignment="1">
      <alignment horizontal="right" vertical="center"/>
    </xf>
    <xf numFmtId="166" fontId="10" fillId="0" borderId="10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3" fillId="0" borderId="0" xfId="0" applyFont="1" applyAlignment="1">
      <alignment vertical="top"/>
    </xf>
    <xf numFmtId="0" fontId="10" fillId="0" borderId="0" xfId="0" applyFont="1" applyAlignment="1">
      <alignment horizontal="center" vertical="center" wrapText="1"/>
    </xf>
    <xf numFmtId="3" fontId="9" fillId="21" borderId="7" xfId="0" applyNumberFormat="1" applyFont="1" applyFill="1" applyBorder="1" applyAlignment="1">
      <alignment horizontal="center" vertical="center"/>
    </xf>
    <xf numFmtId="0" fontId="9" fillId="21" borderId="8" xfId="0" applyFont="1" applyFill="1" applyBorder="1" applyAlignment="1">
      <alignment horizontal="center" vertical="center"/>
    </xf>
    <xf numFmtId="3" fontId="9" fillId="21" borderId="9" xfId="0" applyNumberFormat="1" applyFont="1" applyFill="1" applyBorder="1" applyAlignment="1">
      <alignment horizontal="center" vertical="center"/>
    </xf>
    <xf numFmtId="0" fontId="9" fillId="21" borderId="9" xfId="0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 textRotation="90"/>
    </xf>
    <xf numFmtId="0" fontId="10" fillId="22" borderId="4" xfId="0" applyFont="1" applyFill="1" applyBorder="1" applyAlignment="1">
      <alignment horizontal="center"/>
    </xf>
    <xf numFmtId="167" fontId="10" fillId="55" borderId="11" xfId="0" applyNumberFormat="1" applyFont="1" applyFill="1" applyBorder="1" applyAlignment="1">
      <alignment horizontal="right" vertical="center"/>
    </xf>
    <xf numFmtId="0" fontId="10" fillId="56" borderId="2" xfId="0" applyFont="1" applyFill="1" applyBorder="1" applyAlignment="1">
      <alignment horizontal="center"/>
    </xf>
    <xf numFmtId="1" fontId="9" fillId="56" borderId="0" xfId="0" applyNumberFormat="1" applyFont="1" applyFill="1" applyAlignment="1">
      <alignment horizontal="right" vertical="center"/>
    </xf>
    <xf numFmtId="0" fontId="10" fillId="55" borderId="2" xfId="0" applyFont="1" applyFill="1" applyBorder="1" applyAlignment="1">
      <alignment horizontal="center"/>
    </xf>
    <xf numFmtId="1" fontId="9" fillId="55" borderId="0" xfId="0" applyNumberFormat="1" applyFont="1" applyFill="1" applyAlignment="1">
      <alignment horizontal="right" vertical="center"/>
    </xf>
    <xf numFmtId="0" fontId="10" fillId="0" borderId="2" xfId="0" applyFont="1" applyBorder="1" applyAlignment="1">
      <alignment horizontal="center"/>
    </xf>
    <xf numFmtId="1" fontId="9" fillId="0" borderId="14" xfId="0" applyNumberFormat="1" applyFont="1" applyBorder="1" applyAlignment="1">
      <alignment horizontal="right" vertical="center"/>
    </xf>
    <xf numFmtId="1" fontId="9" fillId="55" borderId="14" xfId="0" quotePrefix="1" applyNumberFormat="1" applyFont="1" applyFill="1" applyBorder="1" applyAlignment="1">
      <alignment horizontal="right" vertical="center"/>
    </xf>
    <xf numFmtId="1" fontId="9" fillId="55" borderId="0" xfId="0" quotePrefix="1" applyNumberFormat="1" applyFont="1" applyFill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167" fontId="9" fillId="55" borderId="17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horizontal="center"/>
    </xf>
    <xf numFmtId="169" fontId="9" fillId="55" borderId="0" xfId="0" applyNumberFormat="1" applyFont="1" applyFill="1" applyAlignment="1">
      <alignment horizontal="right" vertical="center"/>
    </xf>
    <xf numFmtId="1" fontId="9" fillId="0" borderId="10" xfId="0" applyNumberFormat="1" applyFont="1" applyBorder="1" applyAlignment="1">
      <alignment horizontal="right" vertical="center"/>
    </xf>
    <xf numFmtId="0" fontId="10" fillId="0" borderId="0" xfId="0" applyFont="1" applyAlignment="1">
      <alignment horizontal="left" vertical="center" wrapText="1"/>
    </xf>
    <xf numFmtId="1" fontId="9" fillId="0" borderId="14" xfId="0" quotePrefix="1" applyNumberFormat="1" applyFont="1" applyFill="1" applyBorder="1" applyAlignment="1">
      <alignment horizontal="right" vertical="center"/>
    </xf>
    <xf numFmtId="1" fontId="9" fillId="0" borderId="0" xfId="0" quotePrefix="1" applyNumberFormat="1" applyFont="1" applyFill="1" applyAlignment="1">
      <alignment horizontal="right" vertical="center"/>
    </xf>
    <xf numFmtId="1" fontId="9" fillId="55" borderId="0" xfId="0" quotePrefix="1" applyNumberFormat="1" applyFont="1" applyFill="1" applyBorder="1" applyAlignment="1">
      <alignment horizontal="right" vertical="center"/>
    </xf>
    <xf numFmtId="1" fontId="9" fillId="55" borderId="8" xfId="0" quotePrefix="1" applyNumberFormat="1" applyFont="1" applyFill="1" applyBorder="1" applyAlignment="1">
      <alignment horizontal="right" vertical="center"/>
    </xf>
    <xf numFmtId="0" fontId="90" fillId="0" borderId="14" xfId="0" applyFont="1" applyFill="1" applyBorder="1" applyAlignment="1">
      <alignment horizontal="center"/>
    </xf>
    <xf numFmtId="1" fontId="9" fillId="55" borderId="10" xfId="0" quotePrefix="1" applyNumberFormat="1" applyFont="1" applyFill="1" applyBorder="1" applyAlignment="1">
      <alignment horizontal="right" vertical="center"/>
    </xf>
    <xf numFmtId="1" fontId="10" fillId="55" borderId="2" xfId="0" quotePrefix="1" applyNumberFormat="1" applyFont="1" applyFill="1" applyBorder="1" applyAlignment="1">
      <alignment horizontal="right" vertical="center"/>
    </xf>
    <xf numFmtId="1" fontId="10" fillId="0" borderId="2" xfId="0" quotePrefix="1" applyNumberFormat="1" applyFont="1" applyFill="1" applyBorder="1" applyAlignment="1">
      <alignment horizontal="right" vertical="center"/>
    </xf>
    <xf numFmtId="1" fontId="10" fillId="55" borderId="7" xfId="0" quotePrefix="1" applyNumberFormat="1" applyFont="1" applyFill="1" applyBorder="1" applyAlignment="1">
      <alignment horizontal="right" vertical="center"/>
    </xf>
    <xf numFmtId="169" fontId="9" fillId="56" borderId="0" xfId="0" applyNumberFormat="1" applyFont="1" applyFill="1" applyAlignment="1">
      <alignment horizontal="right" vertical="center"/>
    </xf>
    <xf numFmtId="169" fontId="9" fillId="0" borderId="0" xfId="0" applyNumberFormat="1" applyFont="1" applyFill="1" applyAlignment="1">
      <alignment horizontal="right" vertical="center"/>
    </xf>
    <xf numFmtId="167" fontId="9" fillId="55" borderId="0" xfId="0" quotePrefix="1" applyNumberFormat="1" applyFont="1" applyFill="1" applyAlignment="1">
      <alignment horizontal="right" vertical="center"/>
    </xf>
    <xf numFmtId="0" fontId="9" fillId="0" borderId="14" xfId="0" applyFont="1" applyBorder="1" applyAlignment="1">
      <alignment horizontal="right"/>
    </xf>
    <xf numFmtId="0" fontId="10" fillId="22" borderId="4" xfId="0" applyFont="1" applyFill="1" applyBorder="1" applyAlignment="1">
      <alignment horizontal="right"/>
    </xf>
    <xf numFmtId="1" fontId="10" fillId="22" borderId="12" xfId="0" applyNumberFormat="1" applyFont="1" applyFill="1" applyBorder="1" applyAlignment="1">
      <alignment horizontal="right"/>
    </xf>
    <xf numFmtId="1" fontId="10" fillId="22" borderId="11" xfId="0" applyNumberFormat="1" applyFont="1" applyFill="1" applyBorder="1" applyAlignment="1">
      <alignment horizontal="right"/>
    </xf>
    <xf numFmtId="169" fontId="10" fillId="22" borderId="11" xfId="0" applyNumberFormat="1" applyFont="1" applyFill="1" applyBorder="1" applyAlignment="1">
      <alignment horizontal="right"/>
    </xf>
    <xf numFmtId="169" fontId="10" fillId="22" borderId="12" xfId="0" applyNumberFormat="1" applyFont="1" applyFill="1" applyBorder="1" applyAlignment="1">
      <alignment horizontal="right"/>
    </xf>
    <xf numFmtId="0" fontId="10" fillId="56" borderId="2" xfId="0" applyFont="1" applyFill="1" applyBorder="1" applyAlignment="1">
      <alignment horizontal="right"/>
    </xf>
    <xf numFmtId="169" fontId="9" fillId="56" borderId="17" xfId="0" applyNumberFormat="1" applyFont="1" applyFill="1" applyBorder="1" applyAlignment="1">
      <alignment horizontal="right" vertical="center"/>
    </xf>
    <xf numFmtId="0" fontId="10" fillId="55" borderId="2" xfId="0" applyFont="1" applyFill="1" applyBorder="1" applyAlignment="1">
      <alignment horizontal="right"/>
    </xf>
    <xf numFmtId="0" fontId="10" fillId="0" borderId="2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169" fontId="9" fillId="56" borderId="9" xfId="0" applyNumberFormat="1" applyFont="1" applyFill="1" applyBorder="1" applyAlignment="1">
      <alignment horizontal="right" vertical="center"/>
    </xf>
    <xf numFmtId="169" fontId="9" fillId="56" borderId="8" xfId="0" applyNumberFormat="1" applyFont="1" applyFill="1" applyBorder="1" applyAlignment="1">
      <alignment horizontal="right" vertical="center"/>
    </xf>
    <xf numFmtId="0" fontId="10" fillId="55" borderId="7" xfId="0" applyFont="1" applyFill="1" applyBorder="1" applyAlignment="1">
      <alignment horizontal="right"/>
    </xf>
    <xf numFmtId="169" fontId="9" fillId="55" borderId="8" xfId="0" applyNumberFormat="1" applyFont="1" applyFill="1" applyBorder="1" applyAlignment="1">
      <alignment horizontal="right" vertical="center"/>
    </xf>
    <xf numFmtId="169" fontId="9" fillId="55" borderId="10" xfId="0" applyNumberFormat="1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right" vertical="center"/>
    </xf>
    <xf numFmtId="0" fontId="9" fillId="0" borderId="14" xfId="0" applyFont="1" applyFill="1" applyBorder="1" applyAlignment="1">
      <alignment horizontal="right"/>
    </xf>
    <xf numFmtId="0" fontId="10" fillId="55" borderId="2" xfId="0" applyFont="1" applyFill="1" applyBorder="1" applyAlignment="1">
      <alignment horizontal="right" vertical="center"/>
    </xf>
    <xf numFmtId="0" fontId="9" fillId="55" borderId="14" xfId="0" applyFont="1" applyFill="1" applyBorder="1" applyAlignment="1">
      <alignment horizontal="right"/>
    </xf>
    <xf numFmtId="179" fontId="10" fillId="22" borderId="29" xfId="0" applyNumberFormat="1" applyFont="1" applyFill="1" applyBorder="1" applyAlignment="1">
      <alignment horizontal="right" vertical="center"/>
    </xf>
    <xf numFmtId="0" fontId="10" fillId="22" borderId="2" xfId="0" applyFont="1" applyFill="1" applyBorder="1" applyAlignment="1">
      <alignment horizontal="left" vertical="center" wrapText="1"/>
    </xf>
    <xf numFmtId="179" fontId="89" fillId="22" borderId="0" xfId="0" applyNumberFormat="1" applyFont="1" applyFill="1" applyAlignment="1">
      <alignment horizontal="right" vertical="center"/>
    </xf>
    <xf numFmtId="179" fontId="10" fillId="22" borderId="3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horizontal="left" vertical="center" wrapText="1"/>
    </xf>
    <xf numFmtId="179" fontId="90" fillId="0" borderId="17" xfId="0" applyNumberFormat="1" applyFont="1" applyBorder="1" applyAlignment="1">
      <alignment horizontal="right" vertical="center"/>
    </xf>
    <xf numFmtId="179" fontId="90" fillId="0" borderId="30" xfId="0" applyNumberFormat="1" applyFont="1" applyBorder="1" applyAlignment="1">
      <alignment horizontal="right" vertical="center"/>
    </xf>
    <xf numFmtId="179" fontId="90" fillId="0" borderId="31" xfId="0" applyNumberFormat="1" applyFont="1" applyBorder="1" applyAlignment="1">
      <alignment horizontal="right" vertical="center"/>
    </xf>
    <xf numFmtId="3" fontId="90" fillId="0" borderId="30" xfId="0" applyNumberFormat="1" applyFont="1" applyBorder="1" applyAlignment="1">
      <alignment horizontal="right" vertical="center"/>
    </xf>
    <xf numFmtId="9" fontId="90" fillId="0" borderId="55" xfId="0" applyNumberFormat="1" applyFont="1" applyBorder="1" applyAlignment="1">
      <alignment horizontal="right" vertical="center"/>
    </xf>
    <xf numFmtId="179" fontId="90" fillId="0" borderId="0" xfId="0" applyNumberFormat="1" applyFont="1" applyAlignment="1">
      <alignment horizontal="right" vertical="center"/>
    </xf>
    <xf numFmtId="179" fontId="9" fillId="0" borderId="30" xfId="0" applyNumberFormat="1" applyFont="1" applyBorder="1" applyAlignment="1">
      <alignment horizontal="right" vertical="center"/>
    </xf>
    <xf numFmtId="9" fontId="90" fillId="0" borderId="14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horizontal="right" vertical="center" wrapText="1"/>
    </xf>
    <xf numFmtId="179" fontId="16" fillId="0" borderId="30" xfId="0" applyNumberFormat="1" applyFont="1" applyBorder="1" applyAlignment="1">
      <alignment horizontal="right" vertical="center"/>
    </xf>
    <xf numFmtId="0" fontId="10" fillId="22" borderId="6" xfId="0" applyFont="1" applyFill="1" applyBorder="1" applyAlignment="1">
      <alignment horizontal="left" vertical="center" wrapText="1"/>
    </xf>
    <xf numFmtId="179" fontId="9" fillId="22" borderId="32" xfId="0" applyNumberFormat="1" applyFont="1" applyFill="1" applyBorder="1" applyAlignment="1">
      <alignment horizontal="right" vertical="center"/>
    </xf>
    <xf numFmtId="9" fontId="90" fillId="0" borderId="0" xfId="0" applyNumberFormat="1" applyFont="1" applyAlignment="1">
      <alignment horizontal="right" vertical="center"/>
    </xf>
    <xf numFmtId="179" fontId="90" fillId="0" borderId="9" xfId="0" applyNumberFormat="1" applyFont="1" applyBorder="1" applyAlignment="1">
      <alignment horizontal="right" vertical="center"/>
    </xf>
    <xf numFmtId="179" fontId="90" fillId="0" borderId="33" xfId="0" applyNumberFormat="1" applyFont="1" applyBorder="1" applyAlignment="1">
      <alignment horizontal="right" vertical="center"/>
    </xf>
    <xf numFmtId="179" fontId="90" fillId="0" borderId="34" xfId="0" applyNumberFormat="1" applyFont="1" applyBorder="1" applyAlignment="1">
      <alignment horizontal="right" vertical="center"/>
    </xf>
    <xf numFmtId="3" fontId="90" fillId="0" borderId="33" xfId="0" applyNumberFormat="1" applyFont="1" applyBorder="1" applyAlignment="1">
      <alignment horizontal="right" vertical="center"/>
    </xf>
    <xf numFmtId="179" fontId="90" fillId="0" borderId="8" xfId="0" applyNumberFormat="1" applyFont="1" applyBorder="1" applyAlignment="1">
      <alignment horizontal="right" vertical="center"/>
    </xf>
    <xf numFmtId="179" fontId="9" fillId="0" borderId="33" xfId="0" applyNumberFormat="1" applyFont="1" applyBorder="1" applyAlignment="1">
      <alignment horizontal="right" vertical="center"/>
    </xf>
    <xf numFmtId="9" fontId="90" fillId="0" borderId="10" xfId="0" applyNumberFormat="1" applyFont="1" applyBorder="1" applyAlignment="1">
      <alignment horizontal="right" vertical="center"/>
    </xf>
    <xf numFmtId="179" fontId="9" fillId="22" borderId="29" xfId="0" applyNumberFormat="1" applyFont="1" applyFill="1" applyBorder="1" applyAlignment="1">
      <alignment horizontal="right" vertical="center"/>
    </xf>
    <xf numFmtId="9" fontId="89" fillId="22" borderId="0" xfId="0" applyNumberFormat="1" applyFont="1" applyFill="1" applyAlignment="1">
      <alignment horizontal="right" vertical="center"/>
    </xf>
    <xf numFmtId="179" fontId="9" fillId="22" borderId="30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horizontal="right" vertical="center" wrapText="1"/>
    </xf>
    <xf numFmtId="3" fontId="10" fillId="0" borderId="0" xfId="0" applyNumberFormat="1" applyFont="1" applyAlignment="1">
      <alignment horizontal="right" vertical="center"/>
    </xf>
    <xf numFmtId="3" fontId="9" fillId="0" borderId="0" xfId="0" applyNumberFormat="1" applyFont="1" applyAlignment="1">
      <alignment horizontal="right" vertical="center"/>
    </xf>
    <xf numFmtId="165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3" fontId="90" fillId="22" borderId="0" xfId="0" applyNumberFormat="1" applyFont="1" applyFill="1" applyAlignment="1">
      <alignment horizontal="right" vertical="center"/>
    </xf>
    <xf numFmtId="0" fontId="89" fillId="0" borderId="2" xfId="0" applyFont="1" applyBorder="1" applyAlignment="1">
      <alignment horizontal="left" vertical="center" wrapText="1"/>
    </xf>
    <xf numFmtId="167" fontId="90" fillId="0" borderId="17" xfId="0" applyNumberFormat="1" applyFont="1" applyBorder="1" applyAlignment="1">
      <alignment horizontal="right" vertical="center"/>
    </xf>
    <xf numFmtId="167" fontId="90" fillId="0" borderId="30" xfId="0" applyNumberFormat="1" applyFont="1" applyBorder="1" applyAlignment="1">
      <alignment horizontal="right" vertical="center"/>
    </xf>
    <xf numFmtId="167" fontId="90" fillId="0" borderId="31" xfId="0" applyNumberFormat="1" applyFont="1" applyBorder="1" applyAlignment="1">
      <alignment horizontal="right" vertical="center"/>
    </xf>
    <xf numFmtId="3" fontId="90" fillId="0" borderId="0" xfId="0" applyNumberFormat="1" applyFont="1" applyAlignment="1">
      <alignment horizontal="right" vertical="center"/>
    </xf>
    <xf numFmtId="167" fontId="90" fillId="0" borderId="0" xfId="0" applyNumberFormat="1" applyFont="1" applyAlignment="1">
      <alignment horizontal="right" vertical="center"/>
    </xf>
    <xf numFmtId="0" fontId="90" fillId="0" borderId="0" xfId="0" applyFont="1" applyAlignment="1">
      <alignment horizontal="right" vertical="center"/>
    </xf>
    <xf numFmtId="0" fontId="89" fillId="0" borderId="7" xfId="0" applyFont="1" applyBorder="1" applyAlignment="1">
      <alignment horizontal="left" vertical="center" wrapText="1"/>
    </xf>
    <xf numFmtId="167" fontId="90" fillId="0" borderId="9" xfId="0" applyNumberFormat="1" applyFont="1" applyBorder="1" applyAlignment="1">
      <alignment horizontal="right" vertical="center"/>
    </xf>
    <xf numFmtId="167" fontId="90" fillId="0" borderId="33" xfId="0" applyNumberFormat="1" applyFont="1" applyBorder="1" applyAlignment="1">
      <alignment horizontal="right" vertical="center"/>
    </xf>
    <xf numFmtId="167" fontId="90" fillId="0" borderId="34" xfId="0" applyNumberFormat="1" applyFont="1" applyBorder="1" applyAlignment="1">
      <alignment horizontal="right" vertical="center"/>
    </xf>
    <xf numFmtId="3" fontId="90" fillId="0" borderId="8" xfId="0" applyNumberFormat="1" applyFont="1" applyBorder="1" applyAlignment="1">
      <alignment horizontal="right" vertical="center"/>
    </xf>
    <xf numFmtId="167" fontId="90" fillId="0" borderId="8" xfId="0" applyNumberFormat="1" applyFont="1" applyBorder="1" applyAlignment="1">
      <alignment horizontal="right" vertical="center"/>
    </xf>
    <xf numFmtId="0" fontId="90" fillId="0" borderId="8" xfId="0" applyFont="1" applyBorder="1" applyAlignment="1">
      <alignment horizontal="right" vertical="center"/>
    </xf>
    <xf numFmtId="0" fontId="90" fillId="0" borderId="16" xfId="0" applyFont="1" applyBorder="1" applyAlignment="1">
      <alignment horizontal="left" vertical="center" wrapText="1"/>
    </xf>
    <xf numFmtId="3" fontId="90" fillId="0" borderId="16" xfId="0" applyNumberFormat="1" applyFont="1" applyBorder="1" applyAlignment="1">
      <alignment horizontal="right" vertical="center"/>
    </xf>
    <xf numFmtId="9" fontId="90" fillId="0" borderId="16" xfId="0" applyNumberFormat="1" applyFont="1" applyBorder="1" applyAlignment="1">
      <alignment horizontal="right" vertical="center" wrapText="1"/>
    </xf>
    <xf numFmtId="0" fontId="90" fillId="0" borderId="16" xfId="0" applyFont="1" applyBorder="1" applyAlignment="1">
      <alignment horizontal="right" vertical="center"/>
    </xf>
    <xf numFmtId="9" fontId="90" fillId="0" borderId="16" xfId="0" applyNumberFormat="1" applyFont="1" applyBorder="1" applyAlignment="1">
      <alignment horizontal="right" vertical="center"/>
    </xf>
    <xf numFmtId="0" fontId="89" fillId="0" borderId="7" xfId="0" applyFont="1" applyBorder="1" applyAlignment="1">
      <alignment horizontal="right" vertical="center" wrapText="1"/>
    </xf>
    <xf numFmtId="3" fontId="89" fillId="0" borderId="9" xfId="0" applyNumberFormat="1" applyFont="1" applyBorder="1" applyAlignment="1">
      <alignment horizontal="right" vertical="center"/>
    </xf>
    <xf numFmtId="3" fontId="89" fillId="0" borderId="33" xfId="0" applyNumberFormat="1" applyFont="1" applyBorder="1" applyAlignment="1">
      <alignment horizontal="right" vertical="center"/>
    </xf>
    <xf numFmtId="3" fontId="89" fillId="0" borderId="34" xfId="0" applyNumberFormat="1" applyFont="1" applyBorder="1" applyAlignment="1">
      <alignment horizontal="right" vertical="center"/>
    </xf>
    <xf numFmtId="9" fontId="90" fillId="0" borderId="10" xfId="0" applyNumberFormat="1" applyFont="1" applyBorder="1" applyAlignment="1">
      <alignment horizontal="right" vertical="center" wrapText="1"/>
    </xf>
    <xf numFmtId="167" fontId="89" fillId="0" borderId="9" xfId="0" applyNumberFormat="1" applyFont="1" applyBorder="1" applyAlignment="1">
      <alignment horizontal="right" vertical="center"/>
    </xf>
    <xf numFmtId="0" fontId="89" fillId="0" borderId="8" xfId="0" applyFont="1" applyBorder="1" applyAlignment="1">
      <alignment horizontal="right" vertical="center"/>
    </xf>
    <xf numFmtId="167" fontId="89" fillId="0" borderId="42" xfId="0" applyNumberFormat="1" applyFont="1" applyBorder="1" applyAlignment="1">
      <alignment horizontal="right" vertical="center"/>
    </xf>
    <xf numFmtId="167" fontId="9" fillId="0" borderId="17" xfId="0" applyNumberFormat="1" applyFont="1" applyFill="1" applyBorder="1" applyAlignment="1">
      <alignment horizontal="right" vertical="center"/>
    </xf>
    <xf numFmtId="171" fontId="9" fillId="55" borderId="17" xfId="0" applyNumberFormat="1" applyFont="1" applyFill="1" applyBorder="1" applyAlignment="1">
      <alignment horizontal="right" vertical="center"/>
    </xf>
    <xf numFmtId="171" fontId="9" fillId="55" borderId="0" xfId="0" applyNumberFormat="1" applyFont="1" applyFill="1" applyBorder="1" applyAlignment="1">
      <alignment horizontal="right" vertical="center"/>
    </xf>
    <xf numFmtId="167" fontId="9" fillId="0" borderId="40" xfId="0" applyNumberFormat="1" applyFont="1" applyFill="1" applyBorder="1" applyAlignment="1">
      <alignment vertical="center"/>
    </xf>
    <xf numFmtId="167" fontId="16" fillId="55" borderId="14" xfId="0" applyNumberFormat="1" applyFont="1" applyFill="1" applyBorder="1" applyAlignment="1">
      <alignment horizontal="right" vertical="center"/>
    </xf>
    <xf numFmtId="0" fontId="99" fillId="0" borderId="0" xfId="0" applyFont="1" applyAlignment="1">
      <alignment horizontal="center"/>
    </xf>
    <xf numFmtId="0" fontId="99" fillId="0" borderId="0" xfId="0" applyFont="1"/>
    <xf numFmtId="176" fontId="16" fillId="55" borderId="14" xfId="0" applyNumberFormat="1" applyFont="1" applyFill="1" applyBorder="1" applyAlignment="1">
      <alignment horizontal="right" vertical="center"/>
    </xf>
    <xf numFmtId="176" fontId="9" fillId="0" borderId="0" xfId="0" applyNumberFormat="1" applyFont="1" applyBorder="1" applyAlignment="1">
      <alignment horizontal="right" vertical="center"/>
    </xf>
    <xf numFmtId="176" fontId="9" fillId="0" borderId="14" xfId="0" applyNumberFormat="1" applyFont="1" applyFill="1" applyBorder="1" applyAlignment="1">
      <alignment horizontal="right" vertical="center"/>
    </xf>
    <xf numFmtId="176" fontId="9" fillId="0" borderId="0" xfId="0" applyNumberFormat="1" applyFont="1" applyFill="1" applyAlignment="1">
      <alignment horizontal="right" vertical="center"/>
    </xf>
    <xf numFmtId="176" fontId="9" fillId="0" borderId="12" xfId="0" applyNumberFormat="1" applyFont="1" applyFill="1" applyBorder="1" applyAlignment="1">
      <alignment horizontal="right" vertical="center"/>
    </xf>
    <xf numFmtId="176" fontId="16" fillId="0" borderId="0" xfId="0" applyNumberFormat="1" applyFont="1" applyBorder="1" applyAlignment="1">
      <alignment horizontal="right" vertical="center"/>
    </xf>
    <xf numFmtId="176" fontId="16" fillId="22" borderId="0" xfId="0" applyNumberFormat="1" applyFont="1" applyFill="1" applyBorder="1" applyAlignment="1">
      <alignment horizontal="right" vertical="center"/>
    </xf>
    <xf numFmtId="176" fontId="9" fillId="0" borderId="5" xfId="0" applyNumberFormat="1" applyFont="1" applyFill="1" applyBorder="1" applyAlignment="1">
      <alignment horizontal="right" vertical="center"/>
    </xf>
    <xf numFmtId="165" fontId="9" fillId="0" borderId="17" xfId="0" applyNumberFormat="1" applyFont="1" applyFill="1" applyBorder="1" applyAlignment="1">
      <alignment horizontal="right" vertical="center"/>
    </xf>
    <xf numFmtId="165" fontId="9" fillId="0" borderId="9" xfId="0" applyNumberFormat="1" applyFont="1" applyFill="1" applyBorder="1" applyAlignment="1">
      <alignment horizontal="right" vertical="center"/>
    </xf>
    <xf numFmtId="0" fontId="10" fillId="21" borderId="10" xfId="0" applyFont="1" applyFill="1" applyBorder="1" applyAlignment="1">
      <alignment horizontal="center" vertical="center"/>
    </xf>
    <xf numFmtId="185" fontId="17" fillId="22" borderId="5" xfId="0" applyNumberFormat="1" applyFont="1" applyFill="1" applyBorder="1" applyAlignment="1">
      <alignment horizontal="right" vertical="center"/>
    </xf>
    <xf numFmtId="167" fontId="9" fillId="55" borderId="0" xfId="0" applyNumberFormat="1" applyFont="1" applyFill="1" applyBorder="1" applyAlignment="1">
      <alignment horizontal="right" vertical="center" wrapText="1"/>
    </xf>
    <xf numFmtId="1" fontId="9" fillId="55" borderId="0" xfId="0" applyNumberFormat="1" applyFont="1" applyFill="1" applyBorder="1" applyAlignment="1">
      <alignment horizontal="right" vertical="center" wrapText="1"/>
    </xf>
    <xf numFmtId="1" fontId="9" fillId="55" borderId="14" xfId="0" applyNumberFormat="1" applyFont="1" applyFill="1" applyBorder="1" applyAlignment="1">
      <alignment horizontal="right" vertical="center" wrapText="1"/>
    </xf>
    <xf numFmtId="166" fontId="10" fillId="56" borderId="14" xfId="0" applyNumberFormat="1" applyFont="1" applyFill="1" applyBorder="1" applyAlignment="1">
      <alignment horizontal="center" vertical="center"/>
    </xf>
    <xf numFmtId="166" fontId="10" fillId="55" borderId="13" xfId="0" applyNumberFormat="1" applyFont="1" applyFill="1" applyBorder="1" applyAlignment="1">
      <alignment horizontal="center" vertical="center"/>
    </xf>
    <xf numFmtId="166" fontId="10" fillId="56" borderId="10" xfId="0" applyNumberFormat="1" applyFont="1" applyFill="1" applyBorder="1" applyAlignment="1">
      <alignment horizontal="center" vertical="center"/>
    </xf>
    <xf numFmtId="1" fontId="89" fillId="22" borderId="2" xfId="0" applyNumberFormat="1" applyFont="1" applyFill="1" applyBorder="1" applyAlignment="1">
      <alignment horizontal="center" vertical="center"/>
    </xf>
    <xf numFmtId="166" fontId="89" fillId="55" borderId="2" xfId="0" applyNumberFormat="1" applyFont="1" applyFill="1" applyBorder="1" applyAlignment="1">
      <alignment horizontal="center" vertical="center"/>
    </xf>
    <xf numFmtId="1" fontId="89" fillId="55" borderId="2" xfId="0" applyNumberFormat="1" applyFont="1" applyFill="1" applyBorder="1" applyAlignment="1">
      <alignment horizontal="center" vertical="center"/>
    </xf>
    <xf numFmtId="166" fontId="9" fillId="0" borderId="8" xfId="0" applyNumberFormat="1" applyFont="1" applyBorder="1" applyAlignment="1">
      <alignment vertical="top"/>
    </xf>
    <xf numFmtId="176" fontId="16" fillId="0" borderId="5" xfId="0" applyNumberFormat="1" applyFont="1" applyFill="1" applyBorder="1" applyAlignment="1">
      <alignment horizontal="right" vertical="center"/>
    </xf>
    <xf numFmtId="1" fontId="10" fillId="0" borderId="7" xfId="0" quotePrefix="1" applyNumberFormat="1" applyFont="1" applyFill="1" applyBorder="1" applyAlignment="1">
      <alignment horizontal="right" vertical="center"/>
    </xf>
    <xf numFmtId="1" fontId="9" fillId="0" borderId="10" xfId="0" quotePrefix="1" applyNumberFormat="1" applyFont="1" applyFill="1" applyBorder="1" applyAlignment="1">
      <alignment horizontal="right" vertical="center"/>
    </xf>
    <xf numFmtId="167" fontId="90" fillId="22" borderId="0" xfId="0" applyNumberFormat="1" applyFont="1" applyFill="1" applyBorder="1" applyAlignment="1">
      <alignment vertical="center"/>
    </xf>
    <xf numFmtId="167" fontId="90" fillId="0" borderId="0" xfId="0" applyNumberFormat="1" applyFont="1" applyFill="1" applyBorder="1" applyAlignment="1">
      <alignment vertical="center"/>
    </xf>
    <xf numFmtId="0" fontId="9" fillId="0" borderId="14" xfId="0" applyFont="1" applyFill="1" applyBorder="1"/>
    <xf numFmtId="0" fontId="13" fillId="0" borderId="0" xfId="0" applyFont="1" applyAlignment="1">
      <alignment vertical="top" wrapText="1"/>
    </xf>
    <xf numFmtId="0" fontId="0" fillId="0" borderId="0" xfId="0" applyAlignment="1">
      <alignment vertical="top"/>
    </xf>
    <xf numFmtId="166" fontId="90" fillId="0" borderId="0" xfId="0" applyNumberFormat="1" applyFont="1" applyFill="1" applyBorder="1" applyAlignment="1">
      <alignment horizontal="right" vertical="center"/>
    </xf>
    <xf numFmtId="166" fontId="90" fillId="0" borderId="14" xfId="0" applyNumberFormat="1" applyFont="1" applyFill="1" applyBorder="1" applyAlignment="1">
      <alignment horizontal="right" vertical="center"/>
    </xf>
    <xf numFmtId="176" fontId="90" fillId="55" borderId="0" xfId="0" applyNumberFormat="1" applyFont="1" applyFill="1" applyBorder="1" applyAlignment="1">
      <alignment horizontal="right" vertical="center"/>
    </xf>
    <xf numFmtId="166" fontId="90" fillId="55" borderId="0" xfId="0" applyNumberFormat="1" applyFont="1" applyFill="1" applyBorder="1" applyAlignment="1">
      <alignment horizontal="right" vertical="center"/>
    </xf>
    <xf numFmtId="166" fontId="90" fillId="55" borderId="14" xfId="0" applyNumberFormat="1" applyFont="1" applyFill="1" applyBorder="1" applyAlignment="1">
      <alignment horizontal="right" vertical="center"/>
    </xf>
    <xf numFmtId="176" fontId="90" fillId="0" borderId="0" xfId="0" applyNumberFormat="1" applyFont="1" applyFill="1" applyBorder="1" applyAlignment="1">
      <alignment horizontal="right" vertical="center"/>
    </xf>
    <xf numFmtId="176" fontId="90" fillId="0" borderId="8" xfId="0" applyNumberFormat="1" applyFont="1" applyFill="1" applyBorder="1" applyAlignment="1">
      <alignment horizontal="right" vertical="center"/>
    </xf>
    <xf numFmtId="166" fontId="90" fillId="0" borderId="8" xfId="0" applyNumberFormat="1" applyFont="1" applyFill="1" applyBorder="1" applyAlignment="1">
      <alignment horizontal="right" vertical="center"/>
    </xf>
    <xf numFmtId="166" fontId="90" fillId="0" borderId="10" xfId="0" applyNumberFormat="1" applyFont="1" applyFill="1" applyBorder="1" applyAlignment="1">
      <alignment horizontal="right" vertical="center"/>
    </xf>
    <xf numFmtId="166" fontId="90" fillId="55" borderId="16" xfId="0" applyNumberFormat="1" applyFont="1" applyFill="1" applyBorder="1" applyAlignment="1">
      <alignment horizontal="right" vertical="center"/>
    </xf>
    <xf numFmtId="176" fontId="90" fillId="55" borderId="8" xfId="0" applyNumberFormat="1" applyFont="1" applyFill="1" applyBorder="1" applyAlignment="1">
      <alignment horizontal="right" vertical="center"/>
    </xf>
    <xf numFmtId="166" fontId="90" fillId="55" borderId="8" xfId="0" applyNumberFormat="1" applyFont="1" applyFill="1" applyBorder="1" applyAlignment="1">
      <alignment horizontal="right" vertical="center"/>
    </xf>
    <xf numFmtId="166" fontId="90" fillId="55" borderId="10" xfId="0" applyNumberFormat="1" applyFont="1" applyFill="1" applyBorder="1" applyAlignment="1">
      <alignment horizontal="right" vertical="center"/>
    </xf>
    <xf numFmtId="181" fontId="90" fillId="0" borderId="0" xfId="0" applyNumberFormat="1" applyFont="1" applyFill="1" applyBorder="1" applyAlignment="1">
      <alignment horizontal="right" vertical="center"/>
    </xf>
    <xf numFmtId="1" fontId="10" fillId="21" borderId="0" xfId="0" applyNumberFormat="1" applyFont="1" applyFill="1" applyAlignment="1">
      <alignment horizontal="center" vertical="center"/>
    </xf>
    <xf numFmtId="0" fontId="10" fillId="21" borderId="0" xfId="0" applyFont="1" applyFill="1" applyAlignment="1">
      <alignment horizontal="center" vertical="center" wrapText="1"/>
    </xf>
    <xf numFmtId="166" fontId="9" fillId="22" borderId="5" xfId="0" applyNumberFormat="1" applyFont="1" applyFill="1" applyBorder="1" applyAlignment="1">
      <alignment horizontal="center"/>
    </xf>
    <xf numFmtId="166" fontId="9" fillId="0" borderId="16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166" fontId="9" fillId="22" borderId="17" xfId="0" applyNumberFormat="1" applyFont="1" applyFill="1" applyBorder="1" applyAlignment="1">
      <alignment horizontal="center" vertical="center"/>
    </xf>
    <xf numFmtId="166" fontId="9" fillId="22" borderId="0" xfId="0" applyNumberFormat="1" applyFont="1" applyFill="1" applyAlignment="1">
      <alignment horizontal="center" vertical="center"/>
    </xf>
    <xf numFmtId="166" fontId="9" fillId="22" borderId="14" xfId="0" applyNumberFormat="1" applyFont="1" applyFill="1" applyBorder="1" applyAlignment="1">
      <alignment horizontal="center" vertical="center"/>
    </xf>
    <xf numFmtId="166" fontId="9" fillId="0" borderId="17" xfId="0" applyNumberFormat="1" applyFont="1" applyBorder="1" applyAlignment="1">
      <alignment horizontal="center" vertical="center"/>
    </xf>
    <xf numFmtId="166" fontId="9" fillId="55" borderId="17" xfId="0" applyNumberFormat="1" applyFont="1" applyFill="1" applyBorder="1" applyAlignment="1">
      <alignment horizontal="center" vertical="center"/>
    </xf>
    <xf numFmtId="166" fontId="9" fillId="55" borderId="0" xfId="0" applyNumberFormat="1" applyFont="1" applyFill="1" applyAlignment="1">
      <alignment horizontal="center" vertical="center"/>
    </xf>
    <xf numFmtId="166" fontId="9" fillId="55" borderId="14" xfId="0" applyNumberFormat="1" applyFont="1" applyFill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/>
    </xf>
    <xf numFmtId="166" fontId="9" fillId="0" borderId="8" xfId="0" applyNumberFormat="1" applyFont="1" applyBorder="1" applyAlignment="1">
      <alignment horizontal="center" vertical="center"/>
    </xf>
    <xf numFmtId="166" fontId="9" fillId="0" borderId="10" xfId="0" applyNumberFormat="1" applyFont="1" applyBorder="1" applyAlignment="1">
      <alignment horizontal="center" vertical="center"/>
    </xf>
    <xf numFmtId="167" fontId="9" fillId="0" borderId="17" xfId="124" applyNumberFormat="1" applyFont="1" applyFill="1" applyBorder="1" applyAlignment="1">
      <alignment horizontal="right" vertical="center"/>
      <protection locked="0"/>
    </xf>
    <xf numFmtId="167" fontId="9" fillId="0" borderId="0" xfId="124" applyNumberFormat="1" applyFont="1" applyFill="1" applyBorder="1" applyAlignment="1">
      <alignment horizontal="right" vertical="center"/>
      <protection locked="0"/>
    </xf>
    <xf numFmtId="167" fontId="9" fillId="55" borderId="17" xfId="124" applyNumberFormat="1" applyFont="1" applyFill="1" applyBorder="1" applyAlignment="1">
      <alignment horizontal="right" vertical="center"/>
      <protection locked="0"/>
    </xf>
    <xf numFmtId="167" fontId="9" fillId="55" borderId="0" xfId="124" applyNumberFormat="1" applyFont="1" applyFill="1" applyBorder="1" applyAlignment="1">
      <alignment horizontal="right" vertical="center"/>
      <protection locked="0"/>
    </xf>
    <xf numFmtId="167" fontId="16" fillId="22" borderId="0" xfId="124" applyNumberFormat="1" applyFont="1" applyFill="1" applyBorder="1" applyAlignment="1">
      <alignment horizontal="right" vertical="center"/>
      <protection locked="0"/>
    </xf>
    <xf numFmtId="167" fontId="9" fillId="0" borderId="21" xfId="124" applyNumberFormat="1" applyFont="1" applyFill="1" applyBorder="1" applyAlignment="1">
      <alignment horizontal="right" vertical="center"/>
      <protection locked="0"/>
    </xf>
    <xf numFmtId="167" fontId="9" fillId="55" borderId="21" xfId="124" applyNumberFormat="1" applyFont="1" applyFill="1" applyBorder="1" applyAlignment="1">
      <alignment horizontal="right" vertical="center"/>
      <protection locked="0"/>
    </xf>
    <xf numFmtId="167" fontId="9" fillId="55" borderId="17" xfId="124" quotePrefix="1" applyNumberFormat="1" applyFont="1" applyFill="1" applyBorder="1" applyAlignment="1">
      <alignment horizontal="right" vertical="center"/>
      <protection locked="0"/>
    </xf>
    <xf numFmtId="167" fontId="9" fillId="55" borderId="0" xfId="124" quotePrefix="1" applyNumberFormat="1" applyFont="1" applyFill="1" applyBorder="1" applyAlignment="1">
      <alignment horizontal="right" vertical="center"/>
      <protection locked="0"/>
    </xf>
    <xf numFmtId="167" fontId="9" fillId="55" borderId="21" xfId="124" quotePrefix="1" applyNumberFormat="1" applyFont="1" applyFill="1" applyBorder="1" applyAlignment="1">
      <alignment horizontal="right" vertical="center"/>
      <protection locked="0"/>
    </xf>
    <xf numFmtId="167" fontId="9" fillId="0" borderId="9" xfId="124" applyNumberFormat="1" applyFont="1" applyFill="1" applyBorder="1" applyAlignment="1">
      <alignment horizontal="right" vertical="center"/>
      <protection locked="0"/>
    </xf>
    <xf numFmtId="167" fontId="9" fillId="0" borderId="8" xfId="124" applyNumberFormat="1" applyFont="1" applyFill="1" applyBorder="1" applyAlignment="1">
      <alignment horizontal="right" vertical="center"/>
      <protection locked="0"/>
    </xf>
    <xf numFmtId="167" fontId="9" fillId="0" borderId="24" xfId="124" applyNumberFormat="1" applyFont="1" applyFill="1" applyBorder="1" applyAlignment="1">
      <alignment horizontal="right" vertical="center"/>
      <protection locked="0"/>
    </xf>
    <xf numFmtId="167" fontId="9" fillId="55" borderId="40" xfId="124" applyNumberFormat="1" applyFont="1" applyFill="1" applyBorder="1" applyAlignment="1">
      <alignment horizontal="right" vertical="center"/>
      <protection locked="0"/>
    </xf>
    <xf numFmtId="167" fontId="9" fillId="55" borderId="9" xfId="124" applyNumberFormat="1" applyFont="1" applyFill="1" applyBorder="1" applyAlignment="1">
      <alignment horizontal="right" vertical="center"/>
      <protection locked="0"/>
    </xf>
    <xf numFmtId="167" fontId="9" fillId="55" borderId="8" xfId="124" applyNumberFormat="1" applyFont="1" applyFill="1" applyBorder="1" applyAlignment="1">
      <alignment horizontal="right" vertical="center"/>
      <protection locked="0"/>
    </xf>
    <xf numFmtId="167" fontId="9" fillId="0" borderId="16" xfId="124" applyNumberFormat="1" applyFont="1" applyFill="1" applyBorder="1" applyAlignment="1">
      <alignment horizontal="right" vertical="center"/>
      <protection locked="0"/>
    </xf>
    <xf numFmtId="177" fontId="10" fillId="22" borderId="35" xfId="0" applyNumberFormat="1" applyFont="1" applyFill="1" applyBorder="1" applyAlignment="1">
      <alignment horizontal="right" vertical="center"/>
    </xf>
    <xf numFmtId="167" fontId="9" fillId="0" borderId="40" xfId="124" applyNumberFormat="1" applyFont="1" applyFill="1" applyBorder="1" applyAlignment="1">
      <alignment horizontal="right" vertical="center"/>
      <protection locked="0"/>
    </xf>
    <xf numFmtId="0" fontId="9" fillId="0" borderId="0" xfId="0" quotePrefix="1" applyFont="1" applyAlignment="1">
      <alignment vertical="top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67" fontId="9" fillId="22" borderId="0" xfId="124" applyNumberFormat="1" applyFont="1" applyFill="1" applyBorder="1" applyAlignment="1">
      <alignment horizontal="right" vertical="center"/>
      <protection locked="0"/>
    </xf>
    <xf numFmtId="167" fontId="9" fillId="22" borderId="8" xfId="124" applyNumberFormat="1" applyFont="1" applyFill="1" applyBorder="1" applyAlignment="1">
      <alignment horizontal="right" vertical="center"/>
      <protection locked="0"/>
    </xf>
    <xf numFmtId="167" fontId="9" fillId="55" borderId="22" xfId="124" quotePrefix="1" applyNumberFormat="1" applyFont="1" applyFill="1" applyBorder="1" applyAlignment="1">
      <alignment horizontal="right" vertical="center"/>
      <protection locked="0"/>
    </xf>
    <xf numFmtId="0" fontId="0" fillId="0" borderId="0" xfId="0" applyAlignment="1">
      <alignment horizontal="left"/>
    </xf>
    <xf numFmtId="1" fontId="32" fillId="0" borderId="9" xfId="0" applyNumberFormat="1" applyFont="1" applyFill="1" applyBorder="1" applyAlignment="1">
      <alignment horizontal="center" vertical="center"/>
    </xf>
    <xf numFmtId="167" fontId="9" fillId="55" borderId="24" xfId="124" applyNumberFormat="1" applyFont="1" applyFill="1" applyBorder="1" applyAlignment="1">
      <alignment horizontal="right" vertical="center"/>
      <protection locked="0"/>
    </xf>
    <xf numFmtId="0" fontId="10" fillId="0" borderId="16" xfId="0" applyFont="1" applyBorder="1" applyAlignment="1"/>
    <xf numFmtId="176" fontId="9" fillId="0" borderId="40" xfId="0" applyNumberFormat="1" applyFont="1" applyFill="1" applyBorder="1" applyAlignment="1">
      <alignment horizontal="right" vertical="center"/>
    </xf>
    <xf numFmtId="176" fontId="9" fillId="0" borderId="24" xfId="0" applyNumberFormat="1" applyFont="1" applyFill="1" applyBorder="1" applyAlignment="1">
      <alignment horizontal="right" vertical="center"/>
    </xf>
    <xf numFmtId="176" fontId="9" fillId="55" borderId="40" xfId="0" applyNumberFormat="1" applyFont="1" applyFill="1" applyBorder="1" applyAlignment="1">
      <alignment horizontal="right" vertical="center"/>
    </xf>
    <xf numFmtId="176" fontId="9" fillId="55" borderId="24" xfId="0" applyNumberFormat="1" applyFont="1" applyFill="1" applyBorder="1" applyAlignment="1">
      <alignment horizontal="right" vertical="center"/>
    </xf>
    <xf numFmtId="0" fontId="100" fillId="0" borderId="58" xfId="0" applyFont="1" applyBorder="1"/>
    <xf numFmtId="166" fontId="9" fillId="22" borderId="0" xfId="0" applyNumberFormat="1" applyFont="1" applyFill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67" fontId="9" fillId="55" borderId="9" xfId="0" applyNumberFormat="1" applyFont="1" applyFill="1" applyBorder="1" applyAlignment="1">
      <alignment horizontal="center"/>
    </xf>
    <xf numFmtId="167" fontId="9" fillId="55" borderId="8" xfId="0" applyNumberFormat="1" applyFont="1" applyFill="1" applyBorder="1" applyAlignment="1">
      <alignment horizontal="center"/>
    </xf>
    <xf numFmtId="167" fontId="9" fillId="55" borderId="10" xfId="0" applyNumberFormat="1" applyFont="1" applyFill="1" applyBorder="1" applyAlignment="1">
      <alignment horizontal="center"/>
    </xf>
    <xf numFmtId="167" fontId="10" fillId="55" borderId="10" xfId="0" applyNumberFormat="1" applyFont="1" applyFill="1" applyBorder="1" applyAlignment="1">
      <alignment horizontal="center"/>
    </xf>
    <xf numFmtId="174" fontId="9" fillId="55" borderId="10" xfId="0" applyNumberFormat="1" applyFont="1" applyFill="1" applyBorder="1" applyAlignment="1">
      <alignment horizontal="center"/>
    </xf>
    <xf numFmtId="0" fontId="10" fillId="56" borderId="10" xfId="0" applyFont="1" applyFill="1" applyBorder="1" applyAlignment="1">
      <alignment horizontal="center" vertical="center"/>
    </xf>
    <xf numFmtId="166" fontId="9" fillId="0" borderId="59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top"/>
    </xf>
    <xf numFmtId="1" fontId="15" fillId="0" borderId="0" xfId="0" applyNumberFormat="1" applyFont="1" applyBorder="1" applyAlignment="1">
      <alignment horizontal="left" vertical="center"/>
    </xf>
    <xf numFmtId="1" fontId="9" fillId="55" borderId="14" xfId="0" applyNumberFormat="1" applyFont="1" applyFill="1" applyBorder="1" applyAlignment="1">
      <alignment vertical="center"/>
    </xf>
    <xf numFmtId="1" fontId="9" fillId="55" borderId="21" xfId="0" applyNumberFormat="1" applyFont="1" applyFill="1" applyBorder="1" applyAlignment="1">
      <alignment vertical="center"/>
    </xf>
    <xf numFmtId="1" fontId="9" fillId="55" borderId="22" xfId="0" applyNumberFormat="1" applyFont="1" applyFill="1" applyBorder="1" applyAlignment="1">
      <alignment vertical="center"/>
    </xf>
    <xf numFmtId="1" fontId="9" fillId="55" borderId="8" xfId="0" applyNumberFormat="1" applyFont="1" applyFill="1" applyBorder="1" applyAlignment="1">
      <alignment vertical="center"/>
    </xf>
    <xf numFmtId="1" fontId="9" fillId="0" borderId="14" xfId="0" applyNumberFormat="1" applyFont="1" applyBorder="1" applyAlignment="1">
      <alignment vertical="center"/>
    </xf>
    <xf numFmtId="1" fontId="9" fillId="55" borderId="0" xfId="0" applyNumberFormat="1" applyFont="1" applyFill="1" applyAlignment="1">
      <alignment vertical="center"/>
    </xf>
    <xf numFmtId="1" fontId="9" fillId="0" borderId="22" xfId="0" applyNumberFormat="1" applyFont="1" applyBorder="1" applyAlignment="1">
      <alignment vertical="center"/>
    </xf>
    <xf numFmtId="1" fontId="16" fillId="0" borderId="0" xfId="0" applyNumberFormat="1" applyFont="1" applyAlignment="1">
      <alignment vertical="center"/>
    </xf>
    <xf numFmtId="1" fontId="16" fillId="55" borderId="0" xfId="0" applyNumberFormat="1" applyFont="1" applyFill="1" applyAlignment="1">
      <alignment vertical="center"/>
    </xf>
    <xf numFmtId="167" fontId="17" fillId="22" borderId="12" xfId="0" applyNumberFormat="1" applyFont="1" applyFill="1" applyBorder="1" applyAlignment="1">
      <alignment horizontal="right" vertical="center"/>
    </xf>
    <xf numFmtId="167" fontId="16" fillId="55" borderId="2" xfId="0" quotePrefix="1" applyNumberFormat="1" applyFont="1" applyFill="1" applyBorder="1" applyAlignment="1">
      <alignment horizontal="center" vertical="center"/>
    </xf>
    <xf numFmtId="167" fontId="9" fillId="0" borderId="2" xfId="0" quotePrefix="1" applyNumberFormat="1" applyFont="1" applyFill="1" applyBorder="1" applyAlignment="1">
      <alignment horizontal="center" vertical="center"/>
    </xf>
    <xf numFmtId="166" fontId="10" fillId="0" borderId="2" xfId="0" quotePrefix="1" applyNumberFormat="1" applyFont="1" applyFill="1" applyBorder="1" applyAlignment="1">
      <alignment horizontal="center" vertical="center"/>
    </xf>
    <xf numFmtId="166" fontId="10" fillId="55" borderId="14" xfId="0" quotePrefix="1" applyNumberFormat="1" applyFont="1" applyFill="1" applyBorder="1" applyAlignment="1">
      <alignment horizontal="center" vertical="center"/>
    </xf>
    <xf numFmtId="167" fontId="16" fillId="0" borderId="13" xfId="0" applyNumberFormat="1" applyFont="1" applyFill="1" applyBorder="1" applyAlignment="1">
      <alignment vertical="center"/>
    </xf>
    <xf numFmtId="167" fontId="16" fillId="22" borderId="22" xfId="0" applyNumberFormat="1" applyFont="1" applyFill="1" applyBorder="1" applyAlignment="1">
      <alignment vertical="center"/>
    </xf>
    <xf numFmtId="167" fontId="9" fillId="55" borderId="9" xfId="0" applyNumberFormat="1" applyFont="1" applyFill="1" applyBorder="1" applyAlignment="1">
      <alignment vertical="center"/>
    </xf>
    <xf numFmtId="167" fontId="9" fillId="55" borderId="24" xfId="0" applyNumberFormat="1" applyFont="1" applyFill="1" applyBorder="1" applyAlignment="1">
      <alignment vertical="center"/>
    </xf>
    <xf numFmtId="167" fontId="16" fillId="55" borderId="10" xfId="0" applyNumberFormat="1" applyFont="1" applyFill="1" applyBorder="1" applyAlignment="1">
      <alignment vertical="center"/>
    </xf>
    <xf numFmtId="166" fontId="9" fillId="0" borderId="2" xfId="0" applyNumberFormat="1" applyFont="1" applyFill="1" applyBorder="1" applyAlignment="1">
      <alignment horizontal="center"/>
    </xf>
    <xf numFmtId="167" fontId="9" fillId="0" borderId="9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0" fillId="0" borderId="16" xfId="0" applyFont="1" applyBorder="1" applyAlignment="1">
      <alignment wrapText="1"/>
    </xf>
    <xf numFmtId="0" fontId="10" fillId="0" borderId="0" xfId="0" applyFont="1" applyAlignment="1">
      <alignment wrapText="1"/>
    </xf>
    <xf numFmtId="166" fontId="9" fillId="0" borderId="8" xfId="0" applyNumberFormat="1" applyFont="1" applyBorder="1" applyAlignment="1">
      <alignment horizontal="center" vertical="top"/>
    </xf>
    <xf numFmtId="0" fontId="9" fillId="21" borderId="13" xfId="0" applyFont="1" applyFill="1" applyBorder="1" applyAlignment="1">
      <alignment horizontal="center" vertical="center" wrapText="1"/>
    </xf>
    <xf numFmtId="0" fontId="9" fillId="21" borderId="14" xfId="0" applyFont="1" applyFill="1" applyBorder="1" applyAlignment="1">
      <alignment horizontal="center" vertical="center" wrapText="1"/>
    </xf>
    <xf numFmtId="0" fontId="10" fillId="22" borderId="11" xfId="0" applyFont="1" applyFill="1" applyBorder="1" applyAlignment="1">
      <alignment horizontal="center" vertical="center"/>
    </xf>
    <xf numFmtId="0" fontId="0" fillId="55" borderId="2" xfId="0" applyFill="1" applyBorder="1"/>
    <xf numFmtId="181" fontId="90" fillId="55" borderId="0" xfId="0" applyNumberFormat="1" applyFont="1" applyFill="1" applyBorder="1" applyAlignment="1">
      <alignment horizontal="right" vertical="center"/>
    </xf>
    <xf numFmtId="0" fontId="0" fillId="55" borderId="14" xfId="0" applyFill="1" applyBorder="1"/>
    <xf numFmtId="0" fontId="32" fillId="0" borderId="10" xfId="0" applyFont="1" applyFill="1" applyBorder="1" applyAlignment="1">
      <alignment horizontal="center" vertical="center"/>
    </xf>
    <xf numFmtId="166" fontId="32" fillId="0" borderId="10" xfId="0" applyNumberFormat="1" applyFont="1" applyFill="1" applyBorder="1" applyAlignment="1">
      <alignment horizontal="center" vertical="center"/>
    </xf>
    <xf numFmtId="166" fontId="9" fillId="55" borderId="0" xfId="0" applyNumberFormat="1" applyFont="1" applyFill="1" applyBorder="1" applyAlignment="1">
      <alignment horizontal="center" vertical="center"/>
    </xf>
    <xf numFmtId="167" fontId="90" fillId="0" borderId="0" xfId="124" applyNumberFormat="1" applyFont="1" applyFill="1" applyBorder="1" applyAlignment="1">
      <alignment horizontal="right"/>
      <protection locked="0"/>
    </xf>
    <xf numFmtId="167" fontId="90" fillId="0" borderId="16" xfId="124" applyNumberFormat="1" applyFont="1" applyFill="1" applyBorder="1" applyAlignment="1">
      <alignment horizontal="right"/>
      <protection locked="0"/>
    </xf>
    <xf numFmtId="167" fontId="90" fillId="0" borderId="14" xfId="124" applyNumberFormat="1" applyFont="1" applyFill="1" applyBorder="1" applyAlignment="1">
      <alignment horizontal="right"/>
      <protection locked="0"/>
    </xf>
    <xf numFmtId="49" fontId="90" fillId="22" borderId="0" xfId="124" applyNumberFormat="1" applyFont="1" applyFill="1" applyBorder="1" applyAlignment="1">
      <alignment horizontal="right"/>
      <protection locked="0"/>
    </xf>
    <xf numFmtId="49" fontId="90" fillId="55" borderId="0" xfId="124" quotePrefix="1" applyNumberFormat="1" applyFont="1" applyFill="1" applyBorder="1" applyAlignment="1">
      <alignment horizontal="right"/>
      <protection locked="0"/>
    </xf>
    <xf numFmtId="49" fontId="90" fillId="55" borderId="14" xfId="124" quotePrefix="1" applyNumberFormat="1" applyFont="1" applyFill="1" applyBorder="1" applyAlignment="1">
      <alignment horizontal="right"/>
      <protection locked="0"/>
    </xf>
    <xf numFmtId="167" fontId="90" fillId="22" borderId="0" xfId="124" applyNumberFormat="1" applyFont="1" applyFill="1" applyBorder="1" applyAlignment="1">
      <alignment horizontal="right"/>
      <protection locked="0"/>
    </xf>
    <xf numFmtId="167" fontId="90" fillId="22" borderId="14" xfId="124" applyNumberFormat="1" applyFont="1" applyFill="1" applyBorder="1" applyAlignment="1">
      <alignment horizontal="right"/>
      <protection locked="0"/>
    </xf>
    <xf numFmtId="167" fontId="90" fillId="55" borderId="0" xfId="124" quotePrefix="1" applyNumberFormat="1" applyFont="1" applyFill="1" applyBorder="1" applyAlignment="1">
      <alignment horizontal="right"/>
      <protection locked="0"/>
    </xf>
    <xf numFmtId="49" fontId="90" fillId="55" borderId="0" xfId="124" applyNumberFormat="1" applyFont="1" applyFill="1" applyBorder="1" applyAlignment="1">
      <alignment horizontal="right"/>
      <protection locked="0"/>
    </xf>
    <xf numFmtId="167" fontId="90" fillId="0" borderId="8" xfId="124" applyNumberFormat="1" applyFont="1" applyFill="1" applyBorder="1" applyAlignment="1">
      <alignment horizontal="right"/>
      <protection locked="0"/>
    </xf>
    <xf numFmtId="167" fontId="90" fillId="0" borderId="0" xfId="124" quotePrefix="1" applyNumberFormat="1" applyFont="1" applyFill="1" applyBorder="1" applyAlignment="1">
      <alignment horizontal="right"/>
      <protection locked="0"/>
    </xf>
    <xf numFmtId="167" fontId="90" fillId="0" borderId="14" xfId="124" quotePrefix="1" applyNumberFormat="1" applyFont="1" applyFill="1" applyBorder="1" applyAlignment="1">
      <alignment horizontal="right"/>
      <protection locked="0"/>
    </xf>
    <xf numFmtId="9" fontId="89" fillId="55" borderId="12" xfId="0" applyNumberFormat="1" applyFont="1" applyFill="1" applyBorder="1" applyAlignment="1">
      <alignment horizontal="right" vertical="center"/>
    </xf>
    <xf numFmtId="179" fontId="90" fillId="0" borderId="0" xfId="0" applyNumberFormat="1" applyFont="1" applyFill="1" applyAlignment="1">
      <alignment horizontal="right" vertical="center"/>
    </xf>
    <xf numFmtId="169" fontId="9" fillId="0" borderId="10" xfId="0" applyNumberFormat="1" applyFont="1" applyFill="1" applyBorder="1" applyAlignment="1">
      <alignment horizontal="right" vertical="center"/>
    </xf>
    <xf numFmtId="169" fontId="9" fillId="0" borderId="9" xfId="0" applyNumberFormat="1" applyFont="1" applyFill="1" applyBorder="1" applyAlignment="1">
      <alignment horizontal="right" vertical="center"/>
    </xf>
    <xf numFmtId="0" fontId="90" fillId="0" borderId="0" xfId="0" applyFont="1" applyFill="1"/>
    <xf numFmtId="0" fontId="90" fillId="0" borderId="0" xfId="0" applyFont="1" applyFill="1" applyAlignment="1">
      <alignment vertical="top"/>
    </xf>
    <xf numFmtId="169" fontId="9" fillId="0" borderId="0" xfId="0" applyNumberFormat="1" applyFont="1" applyFill="1" applyBorder="1" applyAlignment="1">
      <alignment horizontal="right" vertical="center"/>
    </xf>
    <xf numFmtId="167" fontId="9" fillId="0" borderId="0" xfId="0" quotePrefix="1" applyNumberFormat="1" applyFont="1" applyFill="1" applyAlignment="1">
      <alignment horizontal="right" vertical="center"/>
    </xf>
    <xf numFmtId="167" fontId="9" fillId="0" borderId="0" xfId="0" applyNumberFormat="1" applyFont="1" applyFill="1" applyAlignment="1">
      <alignment horizontal="right" vertical="center"/>
    </xf>
    <xf numFmtId="1" fontId="16" fillId="55" borderId="14" xfId="0" applyNumberFormat="1" applyFont="1" applyFill="1" applyBorder="1" applyAlignment="1">
      <alignment horizontal="right" vertical="center"/>
    </xf>
    <xf numFmtId="0" fontId="0" fillId="0" borderId="0" xfId="0"/>
    <xf numFmtId="0" fontId="9" fillId="0" borderId="0" xfId="0" applyFont="1"/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wrapText="1"/>
    </xf>
    <xf numFmtId="0" fontId="9" fillId="0" borderId="0" xfId="0" applyFont="1" applyAlignment="1">
      <alignment vertical="top"/>
    </xf>
    <xf numFmtId="0" fontId="12" fillId="0" borderId="0" xfId="0" applyFont="1" applyBorder="1" applyAlignment="1">
      <alignment horizontal="center" vertical="top"/>
    </xf>
    <xf numFmtId="0" fontId="10" fillId="55" borderId="2" xfId="0" applyFont="1" applyFill="1" applyBorder="1" applyAlignment="1">
      <alignment horizontal="center" vertical="center"/>
    </xf>
    <xf numFmtId="0" fontId="10" fillId="21" borderId="0" xfId="0" applyFont="1" applyFill="1" applyBorder="1" applyAlignment="1">
      <alignment horizontal="center" vertical="center" wrapText="1"/>
    </xf>
    <xf numFmtId="0" fontId="10" fillId="55" borderId="2" xfId="0" applyFont="1" applyFill="1" applyBorder="1" applyAlignment="1">
      <alignment horizontal="center"/>
    </xf>
    <xf numFmtId="0" fontId="10" fillId="55" borderId="7" xfId="0" applyFont="1" applyFill="1" applyBorder="1" applyAlignment="1">
      <alignment horizontal="center"/>
    </xf>
    <xf numFmtId="0" fontId="10" fillId="21" borderId="0" xfId="0" applyFont="1" applyFill="1" applyBorder="1" applyAlignment="1">
      <alignment horizontal="center" vertical="center"/>
    </xf>
    <xf numFmtId="168" fontId="9" fillId="0" borderId="16" xfId="0" applyNumberFormat="1" applyFont="1" applyBorder="1" applyAlignment="1">
      <alignment vertical="center"/>
    </xf>
    <xf numFmtId="168" fontId="9" fillId="22" borderId="0" xfId="0" applyNumberFormat="1" applyFont="1" applyFill="1" applyBorder="1" applyAlignment="1">
      <alignment vertical="center"/>
    </xf>
    <xf numFmtId="168" fontId="9" fillId="0" borderId="0" xfId="0" applyNumberFormat="1" applyFont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169" fontId="9" fillId="0" borderId="16" xfId="0" applyNumberFormat="1" applyFont="1" applyFill="1" applyBorder="1" applyAlignment="1">
      <alignment horizontal="right" vertical="center"/>
    </xf>
    <xf numFmtId="168" fontId="0" fillId="0" borderId="0" xfId="0" applyNumberFormat="1"/>
    <xf numFmtId="0" fontId="10" fillId="0" borderId="0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center"/>
    </xf>
    <xf numFmtId="167" fontId="9" fillId="55" borderId="17" xfId="0" applyNumberFormat="1" applyFont="1" applyFill="1" applyBorder="1" applyAlignment="1">
      <alignment horizontal="right" vertical="center"/>
    </xf>
    <xf numFmtId="167" fontId="9" fillId="0" borderId="17" xfId="0" quotePrefix="1" applyNumberFormat="1" applyFont="1" applyFill="1" applyBorder="1" applyAlignment="1">
      <alignment horizontal="right" vertical="center"/>
    </xf>
    <xf numFmtId="167" fontId="9" fillId="55" borderId="17" xfId="0" quotePrefix="1" applyNumberFormat="1" applyFont="1" applyFill="1" applyBorder="1" applyAlignment="1">
      <alignment horizontal="right" vertical="center"/>
    </xf>
    <xf numFmtId="0" fontId="10" fillId="0" borderId="7" xfId="0" applyFont="1" applyFill="1" applyBorder="1" applyAlignment="1">
      <alignment horizontal="center"/>
    </xf>
    <xf numFmtId="178" fontId="10" fillId="22" borderId="5" xfId="0" applyNumberFormat="1" applyFont="1" applyFill="1" applyBorder="1" applyAlignment="1">
      <alignment horizontal="right" vertical="center"/>
    </xf>
    <xf numFmtId="169" fontId="9" fillId="0" borderId="37" xfId="0" applyNumberFormat="1" applyFont="1" applyFill="1" applyBorder="1" applyAlignment="1">
      <alignment horizontal="right" vertical="center"/>
    </xf>
    <xf numFmtId="1" fontId="9" fillId="55" borderId="0" xfId="0" applyNumberFormat="1" applyFont="1" applyFill="1" applyBorder="1" applyAlignment="1">
      <alignment horizontal="right" vertical="center"/>
    </xf>
    <xf numFmtId="1" fontId="9" fillId="0" borderId="0" xfId="0" applyNumberFormat="1" applyFont="1" applyFill="1" applyBorder="1" applyAlignment="1">
      <alignment horizontal="right" vertical="center"/>
    </xf>
    <xf numFmtId="1" fontId="9" fillId="0" borderId="8" xfId="0" applyNumberFormat="1" applyFont="1" applyBorder="1" applyAlignment="1">
      <alignment horizontal="right" vertical="center"/>
    </xf>
    <xf numFmtId="1" fontId="9" fillId="0" borderId="0" xfId="0" quotePrefix="1" applyNumberFormat="1" applyFont="1" applyFill="1" applyBorder="1" applyAlignment="1">
      <alignment horizontal="right" vertical="center"/>
    </xf>
    <xf numFmtId="1" fontId="9" fillId="0" borderId="17" xfId="0" applyNumberFormat="1" applyFont="1" applyFill="1" applyBorder="1" applyAlignment="1">
      <alignment horizontal="right" vertical="center"/>
    </xf>
    <xf numFmtId="1" fontId="9" fillId="0" borderId="0" xfId="0" applyNumberFormat="1" applyFont="1" applyAlignment="1">
      <alignment horizontal="right" vertical="center"/>
    </xf>
    <xf numFmtId="1" fontId="9" fillId="55" borderId="17" xfId="0" applyNumberFormat="1" applyFont="1" applyFill="1" applyBorder="1" applyAlignment="1">
      <alignment horizontal="right" vertical="center"/>
    </xf>
    <xf numFmtId="1" fontId="9" fillId="0" borderId="9" xfId="0" applyNumberFormat="1" applyFont="1" applyFill="1" applyBorder="1" applyAlignment="1">
      <alignment horizontal="right" vertical="center"/>
    </xf>
    <xf numFmtId="1" fontId="9" fillId="55" borderId="9" xfId="0" applyNumberFormat="1" applyFont="1" applyFill="1" applyBorder="1" applyAlignment="1">
      <alignment horizontal="right" vertical="center"/>
    </xf>
    <xf numFmtId="1" fontId="9" fillId="55" borderId="8" xfId="0" applyNumberFormat="1" applyFont="1" applyFill="1" applyBorder="1" applyAlignment="1">
      <alignment horizontal="right" vertical="center"/>
    </xf>
    <xf numFmtId="169" fontId="9" fillId="56" borderId="0" xfId="0" applyNumberFormat="1" applyFont="1" applyFill="1" applyBorder="1" applyAlignment="1">
      <alignment horizontal="right" vertical="center"/>
    </xf>
    <xf numFmtId="1" fontId="9" fillId="56" borderId="17" xfId="0" applyNumberFormat="1" applyFont="1" applyFill="1" applyBorder="1" applyAlignment="1">
      <alignment horizontal="right" vertical="center"/>
    </xf>
    <xf numFmtId="169" fontId="9" fillId="55" borderId="0" xfId="0" applyNumberFormat="1" applyFont="1" applyFill="1" applyBorder="1" applyAlignment="1">
      <alignment horizontal="right" vertical="center"/>
    </xf>
    <xf numFmtId="169" fontId="9" fillId="56" borderId="14" xfId="0" applyNumberFormat="1" applyFont="1" applyFill="1" applyBorder="1" applyAlignment="1">
      <alignment horizontal="right" vertical="center"/>
    </xf>
    <xf numFmtId="167" fontId="9" fillId="55" borderId="0" xfId="0" applyNumberFormat="1" applyFont="1" applyFill="1" applyAlignment="1">
      <alignment horizontal="right" vertical="center"/>
    </xf>
    <xf numFmtId="1" fontId="9" fillId="56" borderId="9" xfId="0" applyNumberFormat="1" applyFont="1" applyFill="1" applyBorder="1" applyAlignment="1">
      <alignment horizontal="right" vertical="center"/>
    </xf>
    <xf numFmtId="0" fontId="10" fillId="0" borderId="0" xfId="0" applyFont="1" applyBorder="1" applyAlignment="1"/>
    <xf numFmtId="0" fontId="10" fillId="21" borderId="0" xfId="0" applyFont="1" applyFill="1" applyAlignment="1">
      <alignment horizontal="center" vertical="center" wrapText="1"/>
    </xf>
    <xf numFmtId="166" fontId="10" fillId="0" borderId="6" xfId="0" applyNumberFormat="1" applyFont="1" applyBorder="1" applyAlignment="1">
      <alignment horizontal="center"/>
    </xf>
    <xf numFmtId="166" fontId="10" fillId="22" borderId="2" xfId="0" applyNumberFormat="1" applyFont="1" applyFill="1" applyBorder="1" applyAlignment="1">
      <alignment horizontal="center"/>
    </xf>
    <xf numFmtId="166" fontId="10" fillId="0" borderId="2" xfId="0" applyNumberFormat="1" applyFont="1" applyBorder="1" applyAlignment="1">
      <alignment horizontal="center"/>
    </xf>
    <xf numFmtId="166" fontId="10" fillId="55" borderId="2" xfId="0" applyNumberFormat="1" applyFont="1" applyFill="1" applyBorder="1" applyAlignment="1">
      <alignment horizontal="center"/>
    </xf>
    <xf numFmtId="166" fontId="10" fillId="0" borderId="7" xfId="0" applyNumberFormat="1" applyFont="1" applyBorder="1" applyAlignment="1">
      <alignment horizontal="center"/>
    </xf>
    <xf numFmtId="166" fontId="10" fillId="0" borderId="14" xfId="0" applyNumberFormat="1" applyFont="1" applyBorder="1" applyAlignment="1">
      <alignment horizontal="center"/>
    </xf>
    <xf numFmtId="166" fontId="10" fillId="0" borderId="10" xfId="0" applyNumberFormat="1" applyFont="1" applyBorder="1" applyAlignment="1">
      <alignment horizontal="center"/>
    </xf>
    <xf numFmtId="1" fontId="9" fillId="0" borderId="16" xfId="0" applyNumberFormat="1" applyFont="1" applyBorder="1" applyAlignment="1">
      <alignment vertical="center"/>
    </xf>
    <xf numFmtId="1" fontId="9" fillId="0" borderId="36" xfId="0" applyNumberFormat="1" applyFont="1" applyBorder="1" applyAlignment="1">
      <alignment vertical="center"/>
    </xf>
    <xf numFmtId="1" fontId="16" fillId="0" borderId="62" xfId="0" applyNumberFormat="1" applyFont="1" applyBorder="1" applyAlignment="1">
      <alignment vertical="center"/>
    </xf>
    <xf numFmtId="1" fontId="9" fillId="55" borderId="56" xfId="0" applyNumberFormat="1" applyFont="1" applyFill="1" applyBorder="1" applyAlignment="1">
      <alignment vertical="center"/>
    </xf>
    <xf numFmtId="1" fontId="9" fillId="0" borderId="56" xfId="0" applyNumberFormat="1" applyFont="1" applyBorder="1" applyAlignment="1">
      <alignment vertical="center"/>
    </xf>
    <xf numFmtId="1" fontId="16" fillId="0" borderId="56" xfId="0" applyNumberFormat="1" applyFont="1" applyBorder="1" applyAlignment="1">
      <alignment vertical="center"/>
    </xf>
    <xf numFmtId="185" fontId="9" fillId="0" borderId="2" xfId="0" applyNumberFormat="1" applyFont="1" applyFill="1" applyBorder="1" applyAlignment="1">
      <alignment horizontal="right" vertical="center"/>
    </xf>
    <xf numFmtId="185" fontId="9" fillId="0" borderId="4" xfId="0" applyNumberFormat="1" applyFont="1" applyFill="1" applyBorder="1" applyAlignment="1">
      <alignment horizontal="right" vertical="center"/>
    </xf>
    <xf numFmtId="166" fontId="10" fillId="0" borderId="4" xfId="0" applyNumberFormat="1" applyFont="1" applyFill="1" applyBorder="1" applyAlignment="1">
      <alignment horizontal="center" vertical="center"/>
    </xf>
    <xf numFmtId="177" fontId="10" fillId="22" borderId="12" xfId="0" applyNumberFormat="1" applyFont="1" applyFill="1" applyBorder="1" applyAlignment="1">
      <alignment horizontal="right" vertical="center"/>
    </xf>
    <xf numFmtId="166" fontId="9" fillId="55" borderId="13" xfId="0" applyNumberFormat="1" applyFont="1" applyFill="1" applyBorder="1" applyAlignment="1">
      <alignment horizontal="right" vertical="center"/>
    </xf>
    <xf numFmtId="166" fontId="90" fillId="0" borderId="13" xfId="0" applyNumberFormat="1" applyFont="1" applyFill="1" applyBorder="1" applyAlignment="1">
      <alignment horizontal="right" vertical="center"/>
    </xf>
    <xf numFmtId="0" fontId="9" fillId="55" borderId="0" xfId="0" applyFont="1" applyFill="1"/>
    <xf numFmtId="164" fontId="9" fillId="55" borderId="7" xfId="0" applyNumberFormat="1" applyFont="1" applyFill="1" applyBorder="1" applyAlignment="1">
      <alignment horizontal="right" vertical="center"/>
    </xf>
    <xf numFmtId="166" fontId="16" fillId="55" borderId="8" xfId="0" applyNumberFormat="1" applyFont="1" applyFill="1" applyBorder="1" applyAlignment="1">
      <alignment horizontal="right" vertical="center"/>
    </xf>
    <xf numFmtId="1" fontId="10" fillId="0" borderId="4" xfId="0" applyNumberFormat="1" applyFont="1" applyFill="1" applyBorder="1" applyAlignment="1">
      <alignment horizontal="center" vertical="center"/>
    </xf>
    <xf numFmtId="166" fontId="10" fillId="56" borderId="2" xfId="0" applyNumberFormat="1" applyFont="1" applyFill="1" applyBorder="1" applyAlignment="1">
      <alignment horizontal="center" vertical="center"/>
    </xf>
    <xf numFmtId="167" fontId="9" fillId="55" borderId="7" xfId="0" applyNumberFormat="1" applyFont="1" applyFill="1" applyBorder="1" applyAlignment="1">
      <alignment horizontal="right" vertical="center"/>
    </xf>
    <xf numFmtId="1" fontId="9" fillId="0" borderId="8" xfId="0" applyNumberFormat="1" applyFont="1" applyFill="1" applyBorder="1" applyAlignment="1">
      <alignment horizontal="right" vertical="center" wrapText="1"/>
    </xf>
    <xf numFmtId="0" fontId="9" fillId="55" borderId="2" xfId="0" applyFont="1" applyFill="1" applyBorder="1" applyAlignment="1"/>
    <xf numFmtId="167" fontId="10" fillId="55" borderId="0" xfId="0" applyNumberFormat="1" applyFont="1" applyFill="1" applyBorder="1" applyAlignment="1">
      <alignment horizontal="center" vertical="center"/>
    </xf>
    <xf numFmtId="167" fontId="9" fillId="55" borderId="26" xfId="0" applyNumberFormat="1" applyFont="1" applyFill="1" applyBorder="1" applyAlignment="1">
      <alignment horizontal="center"/>
    </xf>
    <xf numFmtId="167" fontId="10" fillId="55" borderId="27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/>
    <xf numFmtId="171" fontId="9" fillId="55" borderId="11" xfId="0" applyNumberFormat="1" applyFont="1" applyFill="1" applyBorder="1" applyAlignment="1">
      <alignment vertical="center"/>
    </xf>
    <xf numFmtId="171" fontId="9" fillId="55" borderId="5" xfId="0" applyNumberFormat="1" applyFont="1" applyFill="1" applyBorder="1" applyAlignment="1">
      <alignment vertical="center"/>
    </xf>
    <xf numFmtId="167" fontId="9" fillId="55" borderId="5" xfId="0" applyNumberFormat="1" applyFont="1" applyFill="1" applyBorder="1" applyAlignment="1">
      <alignment vertical="center"/>
    </xf>
    <xf numFmtId="167" fontId="16" fillId="55" borderId="5" xfId="0" applyNumberFormat="1" applyFont="1" applyFill="1" applyBorder="1" applyAlignment="1">
      <alignment vertical="center"/>
    </xf>
    <xf numFmtId="167" fontId="9" fillId="55" borderId="5" xfId="0" applyNumberFormat="1" applyFont="1" applyFill="1" applyBorder="1" applyAlignment="1">
      <alignment horizontal="right" vertical="center"/>
    </xf>
    <xf numFmtId="167" fontId="9" fillId="55" borderId="12" xfId="0" applyNumberFormat="1" applyFont="1" applyFill="1" applyBorder="1" applyAlignment="1">
      <alignment horizontal="right" vertical="center"/>
    </xf>
    <xf numFmtId="0" fontId="9" fillId="0" borderId="14" xfId="0" applyFont="1" applyFill="1" applyBorder="1" applyAlignment="1">
      <alignment horizontal="center"/>
    </xf>
    <xf numFmtId="0" fontId="12" fillId="0" borderId="0" xfId="0" quotePrefix="1" applyFont="1" applyAlignment="1">
      <alignment horizontal="right" vertical="top"/>
    </xf>
    <xf numFmtId="0" fontId="9" fillId="0" borderId="0" xfId="0" applyFont="1" applyAlignment="1">
      <alignment horizontal="left" vertical="top" wrapText="1"/>
    </xf>
    <xf numFmtId="166" fontId="90" fillId="55" borderId="15" xfId="0" applyNumberFormat="1" applyFont="1" applyFill="1" applyBorder="1" applyAlignment="1">
      <alignment horizontal="right" vertical="center"/>
    </xf>
    <xf numFmtId="0" fontId="32" fillId="0" borderId="14" xfId="0" applyFont="1" applyFill="1" applyBorder="1" applyAlignment="1">
      <alignment horizontal="center" vertical="center"/>
    </xf>
    <xf numFmtId="166" fontId="90" fillId="55" borderId="13" xfId="0" applyNumberFormat="1" applyFont="1" applyFill="1" applyBorder="1" applyAlignment="1">
      <alignment horizontal="right" vertical="center"/>
    </xf>
    <xf numFmtId="166" fontId="31" fillId="55" borderId="9" xfId="0" applyNumberFormat="1" applyFont="1" applyFill="1" applyBorder="1" applyAlignment="1">
      <alignment horizontal="right" vertical="center"/>
    </xf>
    <xf numFmtId="166" fontId="31" fillId="55" borderId="8" xfId="0" applyNumberFormat="1" applyFont="1" applyFill="1" applyBorder="1" applyAlignment="1">
      <alignment horizontal="right" vertical="center"/>
    </xf>
    <xf numFmtId="176" fontId="31" fillId="55" borderId="8" xfId="0" applyNumberFormat="1" applyFont="1" applyFill="1" applyBorder="1" applyAlignment="1">
      <alignment horizontal="right" vertical="center"/>
    </xf>
    <xf numFmtId="166" fontId="90" fillId="0" borderId="5" xfId="0" applyNumberFormat="1" applyFont="1" applyFill="1" applyBorder="1" applyAlignment="1">
      <alignment horizontal="right" vertical="center"/>
    </xf>
    <xf numFmtId="166" fontId="9" fillId="0" borderId="5" xfId="0" applyNumberFormat="1" applyFont="1" applyFill="1" applyBorder="1" applyAlignment="1">
      <alignment horizontal="right" vertical="center"/>
    </xf>
    <xf numFmtId="166" fontId="32" fillId="0" borderId="4" xfId="0" applyNumberFormat="1" applyFont="1" applyFill="1" applyBorder="1" applyAlignment="1">
      <alignment horizontal="center" vertical="center"/>
    </xf>
    <xf numFmtId="166" fontId="31" fillId="0" borderId="17" xfId="0" applyNumberFormat="1" applyFont="1" applyFill="1" applyBorder="1" applyAlignment="1">
      <alignment horizontal="right" vertical="center"/>
    </xf>
    <xf numFmtId="166" fontId="31" fillId="0" borderId="0" xfId="0" applyNumberFormat="1" applyFont="1" applyFill="1" applyBorder="1" applyAlignment="1">
      <alignment horizontal="right" vertical="center"/>
    </xf>
    <xf numFmtId="176" fontId="31" fillId="0" borderId="0" xfId="0" applyNumberFormat="1" applyFont="1" applyFill="1" applyBorder="1" applyAlignment="1">
      <alignment horizontal="right" vertical="center"/>
    </xf>
    <xf numFmtId="177" fontId="90" fillId="0" borderId="0" xfId="124" applyNumberFormat="1" applyFont="1" applyFill="1" applyBorder="1" applyAlignment="1">
      <alignment vertical="center"/>
      <protection locked="0"/>
    </xf>
    <xf numFmtId="177" fontId="90" fillId="0" borderId="0" xfId="124" applyNumberFormat="1" applyFont="1" applyFill="1" applyBorder="1" applyAlignment="1">
      <alignment horizontal="right"/>
      <protection locked="0"/>
    </xf>
    <xf numFmtId="177" fontId="90" fillId="0" borderId="14" xfId="124" applyNumberFormat="1" applyFont="1" applyFill="1" applyBorder="1" applyAlignment="1">
      <alignment horizontal="right"/>
      <protection locked="0"/>
    </xf>
    <xf numFmtId="177" fontId="90" fillId="22" borderId="22" xfId="124" applyNumberFormat="1" applyFont="1" applyFill="1" applyBorder="1" applyAlignment="1">
      <alignment horizontal="right"/>
      <protection locked="0"/>
    </xf>
    <xf numFmtId="177" fontId="90" fillId="22" borderId="14" xfId="124" applyNumberFormat="1" applyFont="1" applyFill="1" applyBorder="1" applyAlignment="1">
      <alignment horizontal="right"/>
      <protection locked="0"/>
    </xf>
    <xf numFmtId="177" fontId="90" fillId="22" borderId="21" xfId="124" applyNumberFormat="1" applyFont="1" applyFill="1" applyBorder="1" applyAlignment="1">
      <alignment vertical="center"/>
      <protection locked="0"/>
    </xf>
    <xf numFmtId="177" fontId="90" fillId="22" borderId="22" xfId="124" applyNumberFormat="1" applyFont="1" applyFill="1" applyBorder="1" applyAlignment="1">
      <alignment vertical="center"/>
      <protection locked="0"/>
    </xf>
    <xf numFmtId="177" fontId="90" fillId="22" borderId="0" xfId="124" applyNumberFormat="1" applyFont="1" applyFill="1" applyBorder="1" applyAlignment="1">
      <alignment vertical="center"/>
      <protection locked="0"/>
    </xf>
    <xf numFmtId="177" fontId="90" fillId="22" borderId="14" xfId="124" applyNumberFormat="1" applyFont="1" applyFill="1" applyBorder="1" applyAlignment="1">
      <alignment vertical="center"/>
      <protection locked="0"/>
    </xf>
    <xf numFmtId="166" fontId="89" fillId="22" borderId="12" xfId="0" applyNumberFormat="1" applyFont="1" applyFill="1" applyBorder="1" applyAlignment="1">
      <alignment horizontal="center"/>
    </xf>
    <xf numFmtId="0" fontId="89" fillId="22" borderId="2" xfId="0" applyFont="1" applyFill="1" applyBorder="1" applyAlignment="1">
      <alignment horizontal="center" vertical="center"/>
    </xf>
    <xf numFmtId="0" fontId="89" fillId="0" borderId="2" xfId="0" applyFont="1" applyBorder="1" applyAlignment="1">
      <alignment horizontal="center" vertical="center"/>
    </xf>
    <xf numFmtId="167" fontId="90" fillId="55" borderId="0" xfId="124" applyNumberFormat="1" applyFont="1" applyFill="1" applyBorder="1" applyAlignment="1">
      <alignment horizontal="right"/>
      <protection locked="0"/>
    </xf>
    <xf numFmtId="166" fontId="9" fillId="22" borderId="9" xfId="0" applyNumberFormat="1" applyFont="1" applyFill="1" applyBorder="1" applyAlignment="1">
      <alignment horizontal="center" vertical="center"/>
    </xf>
    <xf numFmtId="166" fontId="9" fillId="22" borderId="8" xfId="0" applyNumberFormat="1" applyFont="1" applyFill="1" applyBorder="1" applyAlignment="1">
      <alignment horizontal="center" vertical="center"/>
    </xf>
    <xf numFmtId="166" fontId="9" fillId="22" borderId="10" xfId="0" applyNumberFormat="1" applyFont="1" applyFill="1" applyBorder="1" applyAlignment="1">
      <alignment horizontal="center" vertical="center"/>
    </xf>
    <xf numFmtId="167" fontId="10" fillId="55" borderId="12" xfId="0" applyNumberFormat="1" applyFont="1" applyFill="1" applyBorder="1" applyAlignment="1">
      <alignment horizontal="right"/>
    </xf>
    <xf numFmtId="0" fontId="9" fillId="0" borderId="8" xfId="0" applyFont="1" applyBorder="1" applyAlignment="1" applyProtection="1">
      <alignment vertical="center"/>
    </xf>
    <xf numFmtId="0" fontId="10" fillId="21" borderId="2" xfId="0" applyFont="1" applyFill="1" applyBorder="1" applyAlignment="1">
      <alignment horizontal="center" vertical="top"/>
    </xf>
    <xf numFmtId="167" fontId="10" fillId="22" borderId="12" xfId="0" applyNumberFormat="1" applyFont="1" applyFill="1" applyBorder="1" applyAlignment="1">
      <alignment horizontal="right" vertical="center"/>
    </xf>
    <xf numFmtId="167" fontId="9" fillId="0" borderId="40" xfId="0" applyNumberFormat="1" applyFont="1" applyFill="1" applyBorder="1" applyAlignment="1">
      <alignment horizontal="right" vertical="center"/>
    </xf>
    <xf numFmtId="167" fontId="9" fillId="0" borderId="13" xfId="0" applyNumberFormat="1" applyFont="1" applyFill="1" applyBorder="1" applyAlignment="1">
      <alignment horizontal="right" vertical="center"/>
    </xf>
    <xf numFmtId="167" fontId="9" fillId="22" borderId="21" xfId="0" applyNumberFormat="1" applyFont="1" applyFill="1" applyBorder="1" applyAlignment="1">
      <alignment horizontal="right" vertical="center"/>
    </xf>
    <xf numFmtId="167" fontId="9" fillId="0" borderId="0" xfId="0" applyNumberFormat="1" applyFont="1" applyBorder="1" applyAlignment="1">
      <alignment vertical="top" wrapText="1"/>
    </xf>
    <xf numFmtId="167" fontId="9" fillId="0" borderId="0" xfId="0" applyNumberFormat="1" applyFont="1" applyBorder="1" applyAlignment="1">
      <alignment horizontal="right" vertical="center"/>
    </xf>
    <xf numFmtId="167" fontId="90" fillId="55" borderId="0" xfId="0" applyNumberFormat="1" applyFont="1" applyFill="1" applyBorder="1" applyAlignment="1">
      <alignment horizontal="right" vertical="center"/>
    </xf>
    <xf numFmtId="167" fontId="90" fillId="22" borderId="22" xfId="0" applyNumberFormat="1" applyFont="1" applyFill="1" applyBorder="1" applyAlignment="1">
      <alignment horizontal="right" vertical="center"/>
    </xf>
    <xf numFmtId="167" fontId="96" fillId="22" borderId="22" xfId="0" applyNumberFormat="1" applyFont="1" applyFill="1" applyBorder="1" applyAlignment="1">
      <alignment horizontal="right" vertical="center"/>
    </xf>
    <xf numFmtId="167" fontId="9" fillId="22" borderId="0" xfId="0" applyNumberFormat="1" applyFont="1" applyFill="1" applyBorder="1" applyAlignment="1">
      <alignment horizontal="right" vertical="center"/>
    </xf>
    <xf numFmtId="167" fontId="9" fillId="0" borderId="0" xfId="0" applyNumberFormat="1" applyFont="1" applyBorder="1"/>
    <xf numFmtId="167" fontId="9" fillId="55" borderId="56" xfId="0" applyNumberFormat="1" applyFont="1" applyFill="1" applyBorder="1" applyAlignment="1">
      <alignment horizontal="right" vertical="center"/>
    </xf>
    <xf numFmtId="167" fontId="9" fillId="0" borderId="5" xfId="0" applyNumberFormat="1" applyFont="1" applyFill="1" applyBorder="1" applyAlignment="1">
      <alignment horizontal="right" vertical="center"/>
    </xf>
    <xf numFmtId="167" fontId="10" fillId="22" borderId="15" xfId="0" quotePrefix="1" applyNumberFormat="1" applyFont="1" applyFill="1" applyBorder="1" applyAlignment="1">
      <alignment horizontal="right" vertical="center"/>
    </xf>
    <xf numFmtId="167" fontId="10" fillId="22" borderId="6" xfId="0" quotePrefix="1" applyNumberFormat="1" applyFont="1" applyFill="1" applyBorder="1" applyAlignment="1">
      <alignment horizontal="right" vertical="center"/>
    </xf>
    <xf numFmtId="167" fontId="10" fillId="22" borderId="16" xfId="0" quotePrefix="1" applyNumberFormat="1" applyFont="1" applyFill="1" applyBorder="1" applyAlignment="1">
      <alignment horizontal="right" vertical="center"/>
    </xf>
    <xf numFmtId="167" fontId="9" fillId="0" borderId="15" xfId="0" quotePrefix="1" applyNumberFormat="1" applyFont="1" applyFill="1" applyBorder="1" applyAlignment="1">
      <alignment horizontal="right" vertical="center"/>
    </xf>
    <xf numFmtId="167" fontId="9" fillId="0" borderId="6" xfId="0" quotePrefix="1" applyNumberFormat="1" applyFont="1" applyFill="1" applyBorder="1" applyAlignment="1">
      <alignment horizontal="right" vertical="center"/>
    </xf>
    <xf numFmtId="167" fontId="9" fillId="0" borderId="16" xfId="0" quotePrefix="1" applyNumberFormat="1" applyFont="1" applyFill="1" applyBorder="1" applyAlignment="1">
      <alignment horizontal="right" vertical="center"/>
    </xf>
    <xf numFmtId="167" fontId="9" fillId="22" borderId="17" xfId="0" applyNumberFormat="1" applyFont="1" applyFill="1" applyBorder="1" applyAlignment="1">
      <alignment horizontal="right" vertical="center"/>
    </xf>
    <xf numFmtId="167" fontId="9" fillId="22" borderId="2" xfId="0" applyNumberFormat="1" applyFont="1" applyFill="1" applyBorder="1" applyAlignment="1">
      <alignment horizontal="right" vertical="center"/>
    </xf>
    <xf numFmtId="167" fontId="9" fillId="0" borderId="2" xfId="0" quotePrefix="1" applyNumberFormat="1" applyFont="1" applyFill="1" applyBorder="1" applyAlignment="1">
      <alignment horizontal="right" vertical="center"/>
    </xf>
    <xf numFmtId="167" fontId="90" fillId="22" borderId="17" xfId="0" applyNumberFormat="1" applyFont="1" applyFill="1" applyBorder="1" applyAlignment="1">
      <alignment horizontal="right" vertical="center"/>
    </xf>
    <xf numFmtId="167" fontId="90" fillId="22" borderId="2" xfId="0" applyNumberFormat="1" applyFont="1" applyFill="1" applyBorder="1" applyAlignment="1">
      <alignment horizontal="right" vertical="center"/>
    </xf>
    <xf numFmtId="167" fontId="9" fillId="0" borderId="9" xfId="0" quotePrefix="1" applyNumberFormat="1" applyFont="1" applyFill="1" applyBorder="1" applyAlignment="1">
      <alignment horizontal="right" vertical="center"/>
    </xf>
    <xf numFmtId="167" fontId="9" fillId="0" borderId="7" xfId="0" quotePrefix="1" applyNumberFormat="1" applyFont="1" applyFill="1" applyBorder="1" applyAlignment="1">
      <alignment horizontal="right" vertical="center"/>
    </xf>
    <xf numFmtId="167" fontId="9" fillId="0" borderId="8" xfId="0" quotePrefix="1" applyNumberFormat="1" applyFont="1" applyFill="1" applyBorder="1" applyAlignment="1">
      <alignment horizontal="right" vertical="center"/>
    </xf>
    <xf numFmtId="167" fontId="9" fillId="55" borderId="2" xfId="0" quotePrefix="1" applyNumberFormat="1" applyFont="1" applyFill="1" applyBorder="1" applyAlignment="1">
      <alignment horizontal="right" vertical="center"/>
    </xf>
    <xf numFmtId="167" fontId="9" fillId="0" borderId="11" xfId="0" quotePrefix="1" applyNumberFormat="1" applyFont="1" applyFill="1" applyBorder="1" applyAlignment="1">
      <alignment horizontal="right" vertical="center"/>
    </xf>
    <xf numFmtId="167" fontId="9" fillId="0" borderId="4" xfId="0" quotePrefix="1" applyNumberFormat="1" applyFont="1" applyFill="1" applyBorder="1" applyAlignment="1">
      <alignment horizontal="right" vertical="center"/>
    </xf>
    <xf numFmtId="167" fontId="9" fillId="0" borderId="5" xfId="0" quotePrefix="1" applyNumberFormat="1" applyFont="1" applyFill="1" applyBorder="1" applyAlignment="1">
      <alignment horizontal="right" vertical="center"/>
    </xf>
    <xf numFmtId="167" fontId="10" fillId="22" borderId="15" xfId="0" applyNumberFormat="1" applyFont="1" applyFill="1" applyBorder="1" applyAlignment="1">
      <alignment horizontal="center" vertical="center"/>
    </xf>
    <xf numFmtId="167" fontId="10" fillId="55" borderId="16" xfId="0" applyNumberFormat="1" applyFont="1" applyFill="1" applyBorder="1" applyAlignment="1">
      <alignment horizontal="right" vertical="center"/>
    </xf>
    <xf numFmtId="167" fontId="9" fillId="0" borderId="15" xfId="0" applyNumberFormat="1" applyFont="1" applyFill="1" applyBorder="1" applyAlignment="1">
      <alignment horizontal="right" vertical="center"/>
    </xf>
    <xf numFmtId="167" fontId="9" fillId="0" borderId="23" xfId="0" applyNumberFormat="1" applyFont="1" applyFill="1" applyBorder="1" applyAlignment="1">
      <alignment horizontal="right" vertical="center"/>
    </xf>
    <xf numFmtId="167" fontId="9" fillId="22" borderId="14" xfId="0" applyNumberFormat="1" applyFont="1" applyFill="1" applyBorder="1" applyAlignment="1">
      <alignment horizontal="right" vertical="center"/>
    </xf>
    <xf numFmtId="167" fontId="9" fillId="22" borderId="22" xfId="0" applyNumberFormat="1" applyFont="1" applyFill="1" applyBorder="1" applyAlignment="1">
      <alignment horizontal="right" vertical="center"/>
    </xf>
    <xf numFmtId="167" fontId="16" fillId="55" borderId="17" xfId="0" applyNumberFormat="1" applyFont="1" applyFill="1" applyBorder="1" applyAlignment="1">
      <alignment horizontal="right" vertical="center"/>
    </xf>
    <xf numFmtId="167" fontId="9" fillId="0" borderId="10" xfId="0" applyNumberFormat="1" applyFont="1" applyFill="1" applyBorder="1" applyAlignment="1">
      <alignment horizontal="right" vertical="center"/>
    </xf>
    <xf numFmtId="167" fontId="9" fillId="56" borderId="0" xfId="0" applyNumberFormat="1" applyFont="1" applyFill="1" applyBorder="1" applyAlignment="1">
      <alignment horizontal="right" vertical="center"/>
    </xf>
    <xf numFmtId="167" fontId="9" fillId="56" borderId="14" xfId="0" applyNumberFormat="1" applyFont="1" applyFill="1" applyBorder="1" applyAlignment="1">
      <alignment horizontal="right" vertical="center"/>
    </xf>
    <xf numFmtId="0" fontId="94" fillId="0" borderId="0" xfId="0" applyFont="1" applyFill="1" applyAlignment="1">
      <alignment vertical="top" wrapText="1"/>
    </xf>
    <xf numFmtId="0" fontId="94" fillId="0" borderId="0" xfId="0" applyFont="1" applyFill="1"/>
    <xf numFmtId="0" fontId="91" fillId="0" borderId="0" xfId="0" applyFont="1" applyFill="1"/>
    <xf numFmtId="0" fontId="94" fillId="0" borderId="0" xfId="0" applyFont="1" applyFill="1" applyAlignment="1">
      <alignment horizontal="center"/>
    </xf>
    <xf numFmtId="0" fontId="95" fillId="0" borderId="0" xfId="0" applyFont="1" applyFill="1" applyAlignment="1">
      <alignment horizontal="right" vertical="top"/>
    </xf>
    <xf numFmtId="0" fontId="91" fillId="0" borderId="14" xfId="0" applyFont="1" applyBorder="1"/>
    <xf numFmtId="0" fontId="89" fillId="21" borderId="13" xfId="0" applyFont="1" applyFill="1" applyBorder="1" applyAlignment="1">
      <alignment horizontal="center" vertical="top" wrapText="1"/>
    </xf>
    <xf numFmtId="0" fontId="89" fillId="0" borderId="0" xfId="0" applyFont="1" applyAlignment="1">
      <alignment horizontal="center" vertical="center" wrapText="1"/>
    </xf>
    <xf numFmtId="0" fontId="89" fillId="21" borderId="0" xfId="0" quotePrefix="1" applyFont="1" applyFill="1" applyBorder="1" applyAlignment="1">
      <alignment horizontal="center" vertical="center" wrapText="1"/>
    </xf>
    <xf numFmtId="0" fontId="89" fillId="21" borderId="60" xfId="0" quotePrefix="1" applyFont="1" applyFill="1" applyBorder="1" applyAlignment="1">
      <alignment horizontal="center" vertical="center" wrapText="1"/>
    </xf>
    <xf numFmtId="0" fontId="89" fillId="21" borderId="61" xfId="0" quotePrefix="1" applyFont="1" applyFill="1" applyBorder="1" applyAlignment="1">
      <alignment horizontal="center" vertical="center" wrapText="1"/>
    </xf>
    <xf numFmtId="0" fontId="89" fillId="21" borderId="8" xfId="0" quotePrefix="1" applyFont="1" applyFill="1" applyBorder="1" applyAlignment="1">
      <alignment horizontal="left" vertical="center" wrapText="1"/>
    </xf>
    <xf numFmtId="0" fontId="89" fillId="21" borderId="9" xfId="0" applyFont="1" applyFill="1" applyBorder="1" applyAlignment="1">
      <alignment vertical="top" wrapText="1"/>
    </xf>
    <xf numFmtId="0" fontId="89" fillId="21" borderId="8" xfId="0" applyFont="1" applyFill="1" applyBorder="1" applyAlignment="1">
      <alignment vertical="top" wrapText="1"/>
    </xf>
    <xf numFmtId="0" fontId="89" fillId="21" borderId="14" xfId="0" applyFont="1" applyFill="1" applyBorder="1" applyAlignment="1">
      <alignment vertical="top" wrapText="1"/>
    </xf>
    <xf numFmtId="0" fontId="91" fillId="0" borderId="10" xfId="0" applyFont="1" applyBorder="1"/>
    <xf numFmtId="1" fontId="89" fillId="21" borderId="9" xfId="0" applyNumberFormat="1" applyFont="1" applyFill="1" applyBorder="1" applyAlignment="1">
      <alignment horizontal="center" vertical="center"/>
    </xf>
    <xf numFmtId="1" fontId="89" fillId="21" borderId="8" xfId="0" applyNumberFormat="1" applyFont="1" applyFill="1" applyBorder="1" applyAlignment="1">
      <alignment horizontal="center" vertical="center"/>
    </xf>
    <xf numFmtId="1" fontId="89" fillId="21" borderId="10" xfId="0" applyNumberFormat="1" applyFont="1" applyFill="1" applyBorder="1" applyAlignment="1">
      <alignment horizontal="center" vertical="center"/>
    </xf>
    <xf numFmtId="1" fontId="89" fillId="21" borderId="0" xfId="0" applyNumberFormat="1" applyFont="1" applyFill="1" applyAlignment="1">
      <alignment horizontal="center" vertical="center"/>
    </xf>
    <xf numFmtId="1" fontId="89" fillId="21" borderId="16" xfId="0" applyNumberFormat="1" applyFont="1" applyFill="1" applyBorder="1" applyAlignment="1">
      <alignment horizontal="center" vertical="center"/>
    </xf>
    <xf numFmtId="1" fontId="89" fillId="21" borderId="13" xfId="0" applyNumberFormat="1" applyFont="1" applyFill="1" applyBorder="1" applyAlignment="1">
      <alignment horizontal="center" vertical="center"/>
    </xf>
    <xf numFmtId="1" fontId="89" fillId="21" borderId="5" xfId="0" applyNumberFormat="1" applyFont="1" applyFill="1" applyBorder="1" applyAlignment="1">
      <alignment horizontal="center" vertical="center"/>
    </xf>
    <xf numFmtId="1" fontId="89" fillId="21" borderId="12" xfId="0" applyNumberFormat="1" applyFont="1" applyFill="1" applyBorder="1" applyAlignment="1">
      <alignment horizontal="center" vertical="center"/>
    </xf>
    <xf numFmtId="1" fontId="89" fillId="21" borderId="0" xfId="0" applyNumberFormat="1" applyFont="1" applyFill="1" applyBorder="1" applyAlignment="1">
      <alignment horizontal="center" vertical="center"/>
    </xf>
    <xf numFmtId="1" fontId="89" fillId="0" borderId="0" xfId="0" applyNumberFormat="1" applyFont="1" applyAlignment="1">
      <alignment horizontal="center" vertical="center"/>
    </xf>
    <xf numFmtId="0" fontId="89" fillId="55" borderId="4" xfId="0" applyFont="1" applyFill="1" applyBorder="1" applyAlignment="1">
      <alignment horizontal="center" vertical="center"/>
    </xf>
    <xf numFmtId="167" fontId="101" fillId="22" borderId="5" xfId="0" applyNumberFormat="1" applyFont="1" applyFill="1" applyBorder="1" applyAlignment="1">
      <alignment horizontal="right" vertical="center"/>
    </xf>
    <xf numFmtId="167" fontId="89" fillId="22" borderId="5" xfId="0" applyNumberFormat="1" applyFont="1" applyFill="1" applyBorder="1" applyAlignment="1">
      <alignment horizontal="right" vertical="center"/>
    </xf>
    <xf numFmtId="167" fontId="89" fillId="22" borderId="5" xfId="0" applyNumberFormat="1" applyFont="1" applyFill="1" applyBorder="1" applyAlignment="1">
      <alignment horizontal="right"/>
    </xf>
    <xf numFmtId="167" fontId="101" fillId="22" borderId="5" xfId="0" applyNumberFormat="1" applyFont="1" applyFill="1" applyBorder="1" applyAlignment="1">
      <alignment horizontal="right"/>
    </xf>
    <xf numFmtId="167" fontId="101" fillId="22" borderId="12" xfId="0" applyNumberFormat="1" applyFont="1" applyFill="1" applyBorder="1" applyAlignment="1">
      <alignment horizontal="right"/>
    </xf>
    <xf numFmtId="167" fontId="89" fillId="22" borderId="35" xfId="0" applyNumberFormat="1" applyFont="1" applyFill="1" applyBorder="1" applyAlignment="1">
      <alignment horizontal="right"/>
    </xf>
    <xf numFmtId="166" fontId="89" fillId="55" borderId="4" xfId="0" applyNumberFormat="1" applyFont="1" applyFill="1" applyBorder="1" applyAlignment="1">
      <alignment horizontal="center" vertical="center"/>
    </xf>
    <xf numFmtId="0" fontId="89" fillId="0" borderId="6" xfId="0" applyFont="1" applyBorder="1" applyAlignment="1">
      <alignment horizontal="center" vertical="center"/>
    </xf>
    <xf numFmtId="177" fontId="90" fillId="0" borderId="0" xfId="0" applyNumberFormat="1" applyFont="1" applyAlignment="1">
      <alignment vertical="center"/>
    </xf>
    <xf numFmtId="177" fontId="90" fillId="0" borderId="16" xfId="124" applyNumberFormat="1" applyFont="1" applyFill="1" applyBorder="1" applyAlignment="1">
      <alignment vertical="center"/>
      <protection locked="0"/>
    </xf>
    <xf numFmtId="177" fontId="90" fillId="0" borderId="23" xfId="124" applyNumberFormat="1" applyFont="1" applyFill="1" applyBorder="1" applyAlignment="1">
      <alignment vertical="center"/>
      <protection locked="0"/>
    </xf>
    <xf numFmtId="167" fontId="90" fillId="0" borderId="40" xfId="124" applyNumberFormat="1" applyFont="1" applyFill="1" applyBorder="1" applyAlignment="1">
      <alignment horizontal="right"/>
      <protection locked="0"/>
    </xf>
    <xf numFmtId="0" fontId="89" fillId="0" borderId="14" xfId="0" applyFont="1" applyBorder="1" applyAlignment="1">
      <alignment horizontal="center" vertical="center"/>
    </xf>
    <xf numFmtId="177" fontId="90" fillId="22" borderId="0" xfId="0" quotePrefix="1" applyNumberFormat="1" applyFont="1" applyFill="1" applyAlignment="1">
      <alignment horizontal="center" vertical="center"/>
    </xf>
    <xf numFmtId="177" fontId="90" fillId="22" borderId="21" xfId="0" quotePrefix="1" applyNumberFormat="1" applyFont="1" applyFill="1" applyBorder="1" applyAlignment="1">
      <alignment horizontal="center" vertical="center"/>
    </xf>
    <xf numFmtId="177" fontId="90" fillId="22" borderId="0" xfId="124" applyNumberFormat="1" applyFont="1" applyFill="1" applyBorder="1" applyAlignment="1">
      <alignment horizontal="right"/>
      <protection locked="0"/>
    </xf>
    <xf numFmtId="49" fontId="90" fillId="22" borderId="0" xfId="124" quotePrefix="1" applyNumberFormat="1" applyFont="1" applyFill="1" applyBorder="1" applyAlignment="1">
      <alignment horizontal="right"/>
      <protection locked="0"/>
    </xf>
    <xf numFmtId="49" fontId="90" fillId="22" borderId="21" xfId="124" quotePrefix="1" applyNumberFormat="1" applyFont="1" applyFill="1" applyBorder="1" applyAlignment="1">
      <alignment horizontal="right"/>
      <protection locked="0"/>
    </xf>
    <xf numFmtId="49" fontId="90" fillId="55" borderId="21" xfId="124" applyNumberFormat="1" applyFont="1" applyFill="1" applyBorder="1" applyAlignment="1">
      <alignment horizontal="right"/>
      <protection locked="0"/>
    </xf>
    <xf numFmtId="0" fontId="89" fillId="22" borderId="14" xfId="0" applyFont="1" applyFill="1" applyBorder="1" applyAlignment="1">
      <alignment horizontal="center" vertical="center"/>
    </xf>
    <xf numFmtId="177" fontId="90" fillId="0" borderId="21" xfId="124" applyNumberFormat="1" applyFont="1" applyFill="1" applyBorder="1" applyAlignment="1">
      <alignment vertical="center"/>
      <protection locked="0"/>
    </xf>
    <xf numFmtId="167" fontId="90" fillId="0" borderId="21" xfId="124" applyNumberFormat="1" applyFont="1" applyFill="1" applyBorder="1" applyAlignment="1">
      <alignment horizontal="right"/>
      <protection locked="0"/>
    </xf>
    <xf numFmtId="177" fontId="90" fillId="22" borderId="17" xfId="0" applyNumberFormat="1" applyFont="1" applyFill="1" applyBorder="1" applyAlignment="1">
      <alignment vertical="center"/>
    </xf>
    <xf numFmtId="177" fontId="90" fillId="22" borderId="0" xfId="0" applyNumberFormat="1" applyFont="1" applyFill="1" applyAlignment="1">
      <alignment vertical="center"/>
    </xf>
    <xf numFmtId="167" fontId="90" fillId="22" borderId="21" xfId="124" applyNumberFormat="1" applyFont="1" applyFill="1" applyBorder="1" applyAlignment="1">
      <alignment horizontal="right"/>
      <protection locked="0"/>
    </xf>
    <xf numFmtId="177" fontId="90" fillId="0" borderId="17" xfId="0" applyNumberFormat="1" applyFont="1" applyBorder="1" applyAlignment="1">
      <alignment vertical="center"/>
    </xf>
    <xf numFmtId="167" fontId="90" fillId="0" borderId="17" xfId="124" applyNumberFormat="1" applyFont="1" applyFill="1" applyBorder="1" applyAlignment="1">
      <alignment horizontal="right"/>
      <protection locked="0"/>
    </xf>
    <xf numFmtId="167" fontId="90" fillId="22" borderId="17" xfId="124" applyNumberFormat="1" applyFont="1" applyFill="1" applyBorder="1" applyAlignment="1">
      <alignment horizontal="right"/>
      <protection locked="0"/>
    </xf>
    <xf numFmtId="167" fontId="90" fillId="22" borderId="0" xfId="124" quotePrefix="1" applyNumberFormat="1" applyFont="1" applyFill="1" applyBorder="1" applyAlignment="1">
      <alignment horizontal="right"/>
      <protection locked="0"/>
    </xf>
    <xf numFmtId="167" fontId="96" fillId="0" borderId="0" xfId="124" applyNumberFormat="1" applyFont="1" applyFill="1" applyBorder="1" applyAlignment="1">
      <alignment horizontal="right"/>
      <protection locked="0"/>
    </xf>
    <xf numFmtId="177" fontId="90" fillId="0" borderId="0" xfId="0" quotePrefix="1" applyNumberFormat="1" applyFont="1" applyAlignment="1">
      <alignment horizontal="center" vertical="center"/>
    </xf>
    <xf numFmtId="177" fontId="90" fillId="0" borderId="22" xfId="124" applyNumberFormat="1" applyFont="1" applyFill="1" applyBorder="1" applyAlignment="1">
      <alignment vertical="center"/>
      <protection locked="0"/>
    </xf>
    <xf numFmtId="49" fontId="90" fillId="0" borderId="0" xfId="124" quotePrefix="1" applyNumberFormat="1" applyFont="1" applyFill="1" applyBorder="1" applyAlignment="1">
      <alignment horizontal="right"/>
      <protection locked="0"/>
    </xf>
    <xf numFmtId="49" fontId="90" fillId="0" borderId="21" xfId="124" quotePrefix="1" applyNumberFormat="1" applyFont="1" applyFill="1" applyBorder="1" applyAlignment="1">
      <alignment horizontal="right"/>
      <protection locked="0"/>
    </xf>
    <xf numFmtId="0" fontId="89" fillId="55" borderId="2" xfId="0" applyFont="1" applyFill="1" applyBorder="1" applyAlignment="1">
      <alignment horizontal="center" vertical="center"/>
    </xf>
    <xf numFmtId="177" fontId="90" fillId="55" borderId="0" xfId="0" applyNumberFormat="1" applyFont="1" applyFill="1" applyAlignment="1">
      <alignment vertical="center"/>
    </xf>
    <xf numFmtId="177" fontId="90" fillId="55" borderId="0" xfId="124" applyNumberFormat="1" applyFont="1" applyFill="1" applyBorder="1" applyAlignment="1">
      <alignment vertical="center"/>
      <protection locked="0"/>
    </xf>
    <xf numFmtId="177" fontId="90" fillId="55" borderId="21" xfId="124" applyNumberFormat="1" applyFont="1" applyFill="1" applyBorder="1" applyAlignment="1">
      <alignment vertical="center"/>
      <protection locked="0"/>
    </xf>
    <xf numFmtId="177" fontId="90" fillId="55" borderId="22" xfId="124" applyNumberFormat="1" applyFont="1" applyFill="1" applyBorder="1" applyAlignment="1">
      <alignment vertical="center"/>
      <protection locked="0"/>
    </xf>
    <xf numFmtId="167" fontId="90" fillId="55" borderId="17" xfId="124" applyNumberFormat="1" applyFont="1" applyFill="1" applyBorder="1" applyAlignment="1">
      <alignment horizontal="right"/>
      <protection locked="0"/>
    </xf>
    <xf numFmtId="167" fontId="90" fillId="55" borderId="21" xfId="124" applyNumberFormat="1" applyFont="1" applyFill="1" applyBorder="1" applyAlignment="1">
      <alignment horizontal="right"/>
      <protection locked="0"/>
    </xf>
    <xf numFmtId="167" fontId="90" fillId="55" borderId="14" xfId="124" applyNumberFormat="1" applyFont="1" applyFill="1" applyBorder="1" applyAlignment="1">
      <alignment horizontal="right"/>
      <protection locked="0"/>
    </xf>
    <xf numFmtId="0" fontId="89" fillId="55" borderId="14" xfId="0" applyFont="1" applyFill="1" applyBorder="1" applyAlignment="1">
      <alignment horizontal="center" vertical="center"/>
    </xf>
    <xf numFmtId="177" fontId="90" fillId="0" borderId="22" xfId="124" applyNumberFormat="1" applyFont="1" applyFill="1" applyBorder="1" applyAlignment="1">
      <alignment horizontal="right"/>
      <protection locked="0"/>
    </xf>
    <xf numFmtId="0" fontId="89" fillId="55" borderId="17" xfId="0" applyFont="1" applyFill="1" applyBorder="1" applyAlignment="1">
      <alignment horizontal="center" vertical="center"/>
    </xf>
    <xf numFmtId="177" fontId="90" fillId="55" borderId="0" xfId="0" quotePrefix="1" applyNumberFormat="1" applyFont="1" applyFill="1" applyAlignment="1">
      <alignment horizontal="center" vertical="center"/>
    </xf>
    <xf numFmtId="177" fontId="90" fillId="55" borderId="0" xfId="124" applyNumberFormat="1" applyFont="1" applyFill="1" applyBorder="1" applyAlignment="1">
      <alignment horizontal="right"/>
      <protection locked="0"/>
    </xf>
    <xf numFmtId="177" fontId="90" fillId="55" borderId="14" xfId="124" applyNumberFormat="1" applyFont="1" applyFill="1" applyBorder="1" applyAlignment="1">
      <alignment horizontal="right"/>
      <protection locked="0"/>
    </xf>
    <xf numFmtId="49" fontId="90" fillId="55" borderId="17" xfId="124" quotePrefix="1" applyNumberFormat="1" applyFont="1" applyFill="1" applyBorder="1" applyAlignment="1">
      <alignment horizontal="right"/>
      <protection locked="0"/>
    </xf>
    <xf numFmtId="167" fontId="91" fillId="0" borderId="0" xfId="0" applyNumberFormat="1" applyFont="1"/>
    <xf numFmtId="177" fontId="90" fillId="55" borderId="17" xfId="0" applyNumberFormat="1" applyFont="1" applyFill="1" applyBorder="1" applyAlignment="1">
      <alignment vertical="center"/>
    </xf>
    <xf numFmtId="49" fontId="90" fillId="22" borderId="17" xfId="124" applyNumberFormat="1" applyFont="1" applyFill="1" applyBorder="1" applyAlignment="1">
      <alignment horizontal="right"/>
      <protection locked="0"/>
    </xf>
    <xf numFmtId="0" fontId="89" fillId="0" borderId="7" xfId="0" applyFont="1" applyBorder="1" applyAlignment="1">
      <alignment horizontal="center" vertical="center"/>
    </xf>
    <xf numFmtId="177" fontId="90" fillId="0" borderId="9" xfId="0" applyNumberFormat="1" applyFont="1" applyBorder="1" applyAlignment="1">
      <alignment vertical="center"/>
    </xf>
    <xf numFmtId="177" fontId="90" fillId="0" borderId="8" xfId="0" applyNumberFormat="1" applyFont="1" applyBorder="1" applyAlignment="1">
      <alignment vertical="center"/>
    </xf>
    <xf numFmtId="177" fontId="90" fillId="0" borderId="8" xfId="124" applyNumberFormat="1" applyFont="1" applyFill="1" applyBorder="1" applyAlignment="1">
      <alignment vertical="center"/>
      <protection locked="0"/>
    </xf>
    <xf numFmtId="177" fontId="90" fillId="0" borderId="24" xfId="124" applyNumberFormat="1" applyFont="1" applyFill="1" applyBorder="1" applyAlignment="1">
      <alignment vertical="center"/>
      <protection locked="0"/>
    </xf>
    <xf numFmtId="177" fontId="90" fillId="0" borderId="8" xfId="124" applyNumberFormat="1" applyFont="1" applyFill="1" applyBorder="1" applyAlignment="1">
      <alignment horizontal="right"/>
      <protection locked="0"/>
    </xf>
    <xf numFmtId="177" fontId="90" fillId="0" borderId="10" xfId="124" applyNumberFormat="1" applyFont="1" applyFill="1" applyBorder="1" applyAlignment="1">
      <alignment horizontal="right"/>
      <protection locked="0"/>
    </xf>
    <xf numFmtId="167" fontId="90" fillId="0" borderId="9" xfId="124" applyNumberFormat="1" applyFont="1" applyFill="1" applyBorder="1" applyAlignment="1">
      <alignment horizontal="right"/>
      <protection locked="0"/>
    </xf>
    <xf numFmtId="167" fontId="90" fillId="0" borderId="10" xfId="124" applyNumberFormat="1" applyFont="1" applyFill="1" applyBorder="1" applyAlignment="1">
      <alignment horizontal="right"/>
      <protection locked="0"/>
    </xf>
    <xf numFmtId="177" fontId="90" fillId="22" borderId="16" xfId="124" applyNumberFormat="1" applyFont="1" applyFill="1" applyBorder="1" applyAlignment="1">
      <alignment vertical="center"/>
      <protection locked="0"/>
    </xf>
    <xf numFmtId="177" fontId="90" fillId="22" borderId="23" xfId="124" applyNumberFormat="1" applyFont="1" applyFill="1" applyBorder="1" applyAlignment="1">
      <alignment vertical="center"/>
      <protection locked="0"/>
    </xf>
    <xf numFmtId="49" fontId="96" fillId="55" borderId="0" xfId="124" quotePrefix="1" applyNumberFormat="1" applyFont="1" applyFill="1" applyBorder="1" applyAlignment="1">
      <alignment horizontal="right"/>
      <protection locked="0"/>
    </xf>
    <xf numFmtId="49" fontId="90" fillId="0" borderId="17" xfId="124" applyNumberFormat="1" applyFont="1" applyFill="1" applyBorder="1" applyAlignment="1">
      <alignment horizontal="right"/>
      <protection locked="0"/>
    </xf>
    <xf numFmtId="49" fontId="90" fillId="0" borderId="0" xfId="124" applyNumberFormat="1" applyFont="1" applyFill="1" applyBorder="1" applyAlignment="1">
      <alignment horizontal="right"/>
      <protection locked="0"/>
    </xf>
    <xf numFmtId="49" fontId="90" fillId="0" borderId="14" xfId="124" quotePrefix="1" applyNumberFormat="1" applyFont="1" applyFill="1" applyBorder="1" applyAlignment="1">
      <alignment horizontal="right"/>
      <protection locked="0"/>
    </xf>
    <xf numFmtId="167" fontId="96" fillId="55" borderId="0" xfId="124" applyNumberFormat="1" applyFont="1" applyFill="1" applyBorder="1" applyAlignment="1">
      <alignment horizontal="right"/>
      <protection locked="0"/>
    </xf>
    <xf numFmtId="49" fontId="90" fillId="0" borderId="9" xfId="124" applyNumberFormat="1" applyFont="1" applyFill="1" applyBorder="1" applyAlignment="1">
      <alignment horizontal="right"/>
      <protection locked="0"/>
    </xf>
    <xf numFmtId="49" fontId="90" fillId="0" borderId="8" xfId="124" applyNumberFormat="1" applyFont="1" applyFill="1" applyBorder="1" applyAlignment="1">
      <alignment horizontal="right"/>
      <protection locked="0"/>
    </xf>
    <xf numFmtId="49" fontId="90" fillId="0" borderId="8" xfId="124" quotePrefix="1" applyNumberFormat="1" applyFont="1" applyFill="1" applyBorder="1" applyAlignment="1">
      <alignment horizontal="right"/>
      <protection locked="0"/>
    </xf>
    <xf numFmtId="49" fontId="90" fillId="0" borderId="10" xfId="124" quotePrefix="1" applyNumberFormat="1" applyFont="1" applyFill="1" applyBorder="1" applyAlignment="1">
      <alignment horizontal="right"/>
      <protection locked="0"/>
    </xf>
    <xf numFmtId="0" fontId="89" fillId="0" borderId="10" xfId="0" applyFont="1" applyBorder="1" applyAlignment="1">
      <alignment horizontal="center" vertical="center"/>
    </xf>
    <xf numFmtId="0" fontId="89" fillId="0" borderId="0" xfId="0" applyFont="1"/>
    <xf numFmtId="0" fontId="91" fillId="0" borderId="0" xfId="0" applyFont="1" applyBorder="1"/>
    <xf numFmtId="0" fontId="91" fillId="0" borderId="0" xfId="0" applyFont="1" applyAlignment="1">
      <alignment horizontal="center"/>
    </xf>
    <xf numFmtId="177" fontId="91" fillId="0" borderId="0" xfId="0" applyNumberFormat="1" applyFont="1"/>
    <xf numFmtId="0" fontId="1" fillId="0" borderId="0" xfId="0" applyFont="1"/>
    <xf numFmtId="166" fontId="89" fillId="0" borderId="14" xfId="124" applyNumberFormat="1" applyFont="1" applyFill="1" applyBorder="1" applyAlignment="1">
      <alignment horizontal="center"/>
      <protection locked="0"/>
    </xf>
    <xf numFmtId="166" fontId="89" fillId="22" borderId="14" xfId="124" applyNumberFormat="1" applyFont="1" applyFill="1" applyBorder="1" applyAlignment="1">
      <alignment horizontal="center"/>
      <protection locked="0"/>
    </xf>
    <xf numFmtId="166" fontId="89" fillId="0" borderId="0" xfId="124" applyNumberFormat="1" applyFont="1" applyFill="1" applyBorder="1" applyAlignment="1">
      <alignment horizontal="center"/>
      <protection locked="0"/>
    </xf>
    <xf numFmtId="166" fontId="89" fillId="22" borderId="0" xfId="124" applyNumberFormat="1" applyFont="1" applyFill="1" applyBorder="1" applyAlignment="1">
      <alignment horizontal="center"/>
      <protection locked="0"/>
    </xf>
    <xf numFmtId="166" fontId="89" fillId="55" borderId="0" xfId="124" applyNumberFormat="1" applyFont="1" applyFill="1" applyBorder="1" applyAlignment="1">
      <alignment horizontal="center"/>
      <protection locked="0"/>
    </xf>
    <xf numFmtId="166" fontId="89" fillId="0" borderId="8" xfId="124" applyNumberFormat="1" applyFont="1" applyFill="1" applyBorder="1" applyAlignment="1">
      <alignment horizontal="center"/>
      <protection locked="0"/>
    </xf>
    <xf numFmtId="167" fontId="89" fillId="22" borderId="12" xfId="0" applyNumberFormat="1" applyFont="1" applyFill="1" applyBorder="1" applyAlignment="1">
      <alignment horizontal="right"/>
    </xf>
    <xf numFmtId="166" fontId="89" fillId="0" borderId="2" xfId="124" applyNumberFormat="1" applyFont="1" applyFill="1" applyBorder="1" applyAlignment="1">
      <alignment horizontal="center"/>
      <protection locked="0"/>
    </xf>
    <xf numFmtId="166" fontId="89" fillId="22" borderId="2" xfId="124" applyNumberFormat="1" applyFont="1" applyFill="1" applyBorder="1" applyAlignment="1">
      <alignment horizontal="center"/>
      <protection locked="0"/>
    </xf>
    <xf numFmtId="166" fontId="89" fillId="55" borderId="2" xfId="124" applyNumberFormat="1" applyFont="1" applyFill="1" applyBorder="1" applyAlignment="1">
      <alignment horizontal="center"/>
      <protection locked="0"/>
    </xf>
    <xf numFmtId="166" fontId="101" fillId="0" borderId="2" xfId="124" applyNumberFormat="1" applyFont="1" applyFill="1" applyBorder="1" applyAlignment="1">
      <alignment horizontal="center"/>
      <protection locked="0"/>
    </xf>
    <xf numFmtId="0" fontId="89" fillId="21" borderId="15" xfId="0" applyFont="1" applyFill="1" applyBorder="1" applyAlignment="1">
      <alignment vertical="center" wrapText="1"/>
    </xf>
    <xf numFmtId="0" fontId="89" fillId="21" borderId="16" xfId="0" applyFont="1" applyFill="1" applyBorder="1" applyAlignment="1">
      <alignment vertical="center" wrapText="1"/>
    </xf>
    <xf numFmtId="167" fontId="90" fillId="22" borderId="14" xfId="124" quotePrefix="1" applyNumberFormat="1" applyFont="1" applyFill="1" applyBorder="1" applyAlignment="1">
      <alignment horizontal="right"/>
      <protection locked="0"/>
    </xf>
    <xf numFmtId="167" fontId="90" fillId="55" borderId="14" xfId="124" quotePrefix="1" applyNumberFormat="1" applyFont="1" applyFill="1" applyBorder="1" applyAlignment="1">
      <alignment horizontal="right"/>
      <protection locked="0"/>
    </xf>
    <xf numFmtId="166" fontId="89" fillId="0" borderId="14" xfId="0" applyNumberFormat="1" applyFont="1" applyBorder="1" applyAlignment="1">
      <alignment horizontal="center" vertical="center"/>
    </xf>
    <xf numFmtId="166" fontId="89" fillId="22" borderId="14" xfId="0" applyNumberFormat="1" applyFont="1" applyFill="1" applyBorder="1" applyAlignment="1">
      <alignment horizontal="center" vertical="center"/>
    </xf>
    <xf numFmtId="166" fontId="89" fillId="55" borderId="14" xfId="0" applyNumberFormat="1" applyFont="1" applyFill="1" applyBorder="1" applyAlignment="1">
      <alignment horizontal="center" vertical="center"/>
    </xf>
    <xf numFmtId="166" fontId="89" fillId="0" borderId="10" xfId="0" applyNumberFormat="1" applyFont="1" applyBorder="1" applyAlignment="1">
      <alignment horizontal="center" vertical="center"/>
    </xf>
    <xf numFmtId="167" fontId="90" fillId="0" borderId="13" xfId="124" applyNumberFormat="1" applyFont="1" applyFill="1" applyBorder="1" applyAlignment="1">
      <alignment horizontal="right"/>
      <protection locked="0"/>
    </xf>
    <xf numFmtId="167" fontId="90" fillId="0" borderId="64" xfId="124" applyNumberFormat="1" applyFont="1" applyFill="1" applyBorder="1" applyAlignment="1">
      <alignment horizontal="right"/>
      <protection locked="0"/>
    </xf>
    <xf numFmtId="49" fontId="96" fillId="55" borderId="17" xfId="124" quotePrefix="1" applyNumberFormat="1" applyFont="1" applyFill="1" applyBorder="1" applyAlignment="1">
      <alignment horizontal="right"/>
      <protection locked="0"/>
    </xf>
    <xf numFmtId="49" fontId="90" fillId="0" borderId="17" xfId="124" quotePrefix="1" applyNumberFormat="1" applyFont="1" applyFill="1" applyBorder="1" applyAlignment="1">
      <alignment horizontal="right"/>
      <protection locked="0"/>
    </xf>
    <xf numFmtId="49" fontId="90" fillId="0" borderId="9" xfId="124" quotePrefix="1" applyNumberFormat="1" applyFont="1" applyFill="1" applyBorder="1" applyAlignment="1">
      <alignment horizontal="right"/>
      <protection locked="0"/>
    </xf>
    <xf numFmtId="0" fontId="89" fillId="21" borderId="63" xfId="0" applyFont="1" applyFill="1" applyBorder="1" applyAlignment="1">
      <alignment horizontal="center" vertical="center" wrapText="1"/>
    </xf>
    <xf numFmtId="49" fontId="90" fillId="55" borderId="17" xfId="124" applyNumberFormat="1" applyFont="1" applyFill="1" applyBorder="1" applyAlignment="1">
      <alignment horizontal="right"/>
      <protection locked="0"/>
    </xf>
    <xf numFmtId="0" fontId="89" fillId="21" borderId="52" xfId="0" applyFont="1" applyFill="1" applyBorder="1" applyAlignment="1">
      <alignment vertical="center" wrapText="1"/>
    </xf>
    <xf numFmtId="0" fontId="89" fillId="21" borderId="63" xfId="0" applyFont="1" applyFill="1" applyBorder="1" applyAlignment="1">
      <alignment vertical="center" wrapText="1"/>
    </xf>
    <xf numFmtId="167" fontId="90" fillId="55" borderId="22" xfId="124" applyNumberFormat="1" applyFont="1" applyFill="1" applyBorder="1" applyAlignment="1">
      <alignment horizontal="right"/>
      <protection locked="0"/>
    </xf>
    <xf numFmtId="177" fontId="96" fillId="55" borderId="0" xfId="0" quotePrefix="1" applyNumberFormat="1" applyFont="1" applyFill="1" applyAlignment="1">
      <alignment horizontal="center" vertical="center"/>
    </xf>
    <xf numFmtId="166" fontId="10" fillId="22" borderId="10" xfId="0" applyNumberFormat="1" applyFont="1" applyFill="1" applyBorder="1" applyAlignment="1">
      <alignment horizontal="center" vertical="center"/>
    </xf>
    <xf numFmtId="167" fontId="9" fillId="0" borderId="15" xfId="0" applyNumberFormat="1" applyFont="1" applyBorder="1" applyAlignment="1">
      <alignment horizontal="center"/>
    </xf>
    <xf numFmtId="167" fontId="9" fillId="0" borderId="16" xfId="0" applyNumberFormat="1" applyFont="1" applyBorder="1" applyAlignment="1">
      <alignment horizontal="center"/>
    </xf>
    <xf numFmtId="167" fontId="9" fillId="0" borderId="13" xfId="0" applyNumberFormat="1" applyFont="1" applyBorder="1" applyAlignment="1">
      <alignment horizontal="center"/>
    </xf>
    <xf numFmtId="167" fontId="10" fillId="0" borderId="13" xfId="0" applyNumberFormat="1" applyFont="1" applyBorder="1" applyAlignment="1">
      <alignment horizontal="center"/>
    </xf>
    <xf numFmtId="174" fontId="9" fillId="0" borderId="14" xfId="0" applyNumberFormat="1" applyFont="1" applyBorder="1" applyAlignment="1">
      <alignment horizontal="center"/>
    </xf>
    <xf numFmtId="167" fontId="9" fillId="55" borderId="0" xfId="0" applyNumberFormat="1" applyFont="1" applyFill="1" applyAlignment="1">
      <alignment horizontal="center"/>
    </xf>
    <xf numFmtId="167" fontId="9" fillId="0" borderId="17" xfId="0" applyNumberFormat="1" applyFont="1" applyBorder="1" applyAlignment="1">
      <alignment horizontal="center"/>
    </xf>
    <xf numFmtId="167" fontId="9" fillId="0" borderId="0" xfId="0" applyNumberFormat="1" applyFont="1" applyAlignment="1">
      <alignment horizontal="center"/>
    </xf>
    <xf numFmtId="167" fontId="9" fillId="0" borderId="14" xfId="0" applyNumberFormat="1" applyFont="1" applyBorder="1" applyAlignment="1">
      <alignment horizontal="center"/>
    </xf>
    <xf numFmtId="167" fontId="10" fillId="0" borderId="14" xfId="0" applyNumberFormat="1" applyFont="1" applyBorder="1" applyAlignment="1">
      <alignment horizontal="center"/>
    </xf>
    <xf numFmtId="167" fontId="90" fillId="55" borderId="0" xfId="0" applyNumberFormat="1" applyFont="1" applyFill="1" applyAlignment="1">
      <alignment horizontal="center"/>
    </xf>
    <xf numFmtId="167" fontId="9" fillId="0" borderId="9" xfId="0" applyNumberFormat="1" applyFont="1" applyBorder="1" applyAlignment="1">
      <alignment horizontal="center"/>
    </xf>
    <xf numFmtId="167" fontId="9" fillId="0" borderId="8" xfId="0" applyNumberFormat="1" applyFont="1" applyBorder="1" applyAlignment="1">
      <alignment horizontal="center"/>
    </xf>
    <xf numFmtId="167" fontId="9" fillId="0" borderId="10" xfId="0" applyNumberFormat="1" applyFont="1" applyBorder="1" applyAlignment="1">
      <alignment horizontal="center"/>
    </xf>
    <xf numFmtId="167" fontId="10" fillId="0" borderId="10" xfId="0" applyNumberFormat="1" applyFont="1" applyBorder="1" applyAlignment="1">
      <alignment horizontal="center"/>
    </xf>
    <xf numFmtId="174" fontId="9" fillId="0" borderId="10" xfId="0" applyNumberFormat="1" applyFont="1" applyBorder="1" applyAlignment="1">
      <alignment horizontal="center"/>
    </xf>
    <xf numFmtId="174" fontId="9" fillId="0" borderId="13" xfId="0" applyNumberFormat="1" applyFont="1" applyBorder="1" applyAlignment="1">
      <alignment horizontal="center"/>
    </xf>
    <xf numFmtId="0" fontId="10" fillId="0" borderId="0" xfId="0" applyFont="1" applyAlignment="1">
      <alignment horizontal="center" vertical="top"/>
    </xf>
    <xf numFmtId="167" fontId="9" fillId="0" borderId="16" xfId="0" applyNumberFormat="1" applyFont="1" applyBorder="1" applyAlignment="1">
      <alignment horizontal="center" vertical="center"/>
    </xf>
    <xf numFmtId="174" fontId="9" fillId="0" borderId="13" xfId="0" applyNumberFormat="1" applyFont="1" applyBorder="1" applyAlignment="1">
      <alignment horizontal="right" vertical="center"/>
    </xf>
    <xf numFmtId="167" fontId="9" fillId="55" borderId="0" xfId="0" applyNumberFormat="1" applyFont="1" applyFill="1" applyAlignment="1">
      <alignment horizontal="center" vertical="center"/>
    </xf>
    <xf numFmtId="167" fontId="9" fillId="0" borderId="0" xfId="0" applyNumberFormat="1" applyFont="1" applyAlignment="1">
      <alignment horizontal="center" vertical="center"/>
    </xf>
    <xf numFmtId="167" fontId="90" fillId="0" borderId="0" xfId="0" applyNumberFormat="1" applyFont="1" applyAlignment="1">
      <alignment horizontal="center" vertical="center"/>
    </xf>
    <xf numFmtId="174" fontId="9" fillId="0" borderId="14" xfId="0" applyNumberFormat="1" applyFont="1" applyBorder="1" applyAlignment="1">
      <alignment horizontal="right" vertical="center"/>
    </xf>
    <xf numFmtId="167" fontId="9" fillId="0" borderId="17" xfId="0" applyNumberFormat="1" applyFont="1" applyBorder="1" applyAlignment="1">
      <alignment horizontal="center" vertical="center"/>
    </xf>
    <xf numFmtId="167" fontId="9" fillId="0" borderId="8" xfId="0" applyNumberFormat="1" applyFont="1" applyBorder="1" applyAlignment="1">
      <alignment horizontal="center" vertical="center"/>
    </xf>
    <xf numFmtId="174" fontId="9" fillId="0" borderId="10" xfId="0" applyNumberFormat="1" applyFont="1" applyBorder="1" applyAlignment="1">
      <alignment horizontal="right" vertical="center"/>
    </xf>
    <xf numFmtId="167" fontId="9" fillId="0" borderId="9" xfId="0" applyNumberFormat="1" applyFont="1" applyBorder="1" applyAlignment="1">
      <alignment horizontal="center" vertical="center"/>
    </xf>
    <xf numFmtId="0" fontId="16" fillId="0" borderId="0" xfId="0" applyFont="1" applyAlignment="1">
      <alignment horizontal="left"/>
    </xf>
    <xf numFmtId="167" fontId="9" fillId="56" borderId="10" xfId="0" applyNumberFormat="1" applyFont="1" applyFill="1" applyBorder="1" applyAlignment="1">
      <alignment horizontal="right" vertical="center"/>
    </xf>
    <xf numFmtId="167" fontId="9" fillId="56" borderId="36" xfId="0" applyNumberFormat="1" applyFont="1" applyFill="1" applyBorder="1" applyAlignment="1">
      <alignment horizontal="right" vertical="center"/>
    </xf>
    <xf numFmtId="167" fontId="9" fillId="0" borderId="14" xfId="124" applyNumberFormat="1" applyFont="1" applyFill="1" applyBorder="1" applyAlignment="1">
      <alignment horizontal="right" vertical="center"/>
      <protection locked="0"/>
    </xf>
    <xf numFmtId="0" fontId="89" fillId="21" borderId="65" xfId="0" quotePrefix="1" applyFont="1" applyFill="1" applyBorder="1" applyAlignment="1">
      <alignment horizontal="center" vertical="center" wrapText="1"/>
    </xf>
    <xf numFmtId="0" fontId="89" fillId="21" borderId="39" xfId="0" quotePrefix="1" applyFont="1" applyFill="1" applyBorder="1" applyAlignment="1">
      <alignment horizontal="center" vertical="center" wrapText="1"/>
    </xf>
    <xf numFmtId="1" fontId="89" fillId="21" borderId="7" xfId="0" applyNumberFormat="1" applyFont="1" applyFill="1" applyBorder="1" applyAlignment="1">
      <alignment horizontal="center" vertical="center"/>
    </xf>
    <xf numFmtId="167" fontId="90" fillId="0" borderId="21" xfId="124" quotePrefix="1" applyNumberFormat="1" applyFont="1" applyFill="1" applyBorder="1" applyAlignment="1">
      <alignment horizontal="right"/>
      <protection locked="0"/>
    </xf>
    <xf numFmtId="167" fontId="90" fillId="0" borderId="22" xfId="124" applyNumberFormat="1" applyFont="1" applyFill="1" applyBorder="1" applyAlignment="1">
      <alignment horizontal="right"/>
      <protection locked="0"/>
    </xf>
    <xf numFmtId="49" fontId="90" fillId="55" borderId="16" xfId="124" applyNumberFormat="1" applyFont="1" applyFill="1" applyBorder="1" applyAlignment="1">
      <alignment horizontal="right"/>
      <protection locked="0"/>
    </xf>
    <xf numFmtId="167" fontId="96" fillId="55" borderId="17" xfId="124" applyNumberFormat="1" applyFont="1" applyFill="1" applyBorder="1" applyAlignment="1">
      <alignment horizontal="right"/>
      <protection locked="0"/>
    </xf>
    <xf numFmtId="167" fontId="90" fillId="22" borderId="14" xfId="0" applyNumberFormat="1" applyFont="1" applyFill="1" applyBorder="1" applyAlignment="1">
      <alignment horizontal="right" vertical="center"/>
    </xf>
    <xf numFmtId="0" fontId="12" fillId="0" borderId="0" xfId="0" quotePrefix="1" applyFont="1" applyAlignment="1">
      <alignment horizontal="right" vertical="top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wrapText="1"/>
    </xf>
    <xf numFmtId="0" fontId="9" fillId="0" borderId="0" xfId="0" applyFont="1" applyAlignment="1">
      <alignment horizontal="left" vertical="top" wrapText="1"/>
    </xf>
    <xf numFmtId="0" fontId="10" fillId="21" borderId="10" xfId="0" applyFont="1" applyFill="1" applyBorder="1" applyAlignment="1">
      <alignment horizontal="center" vertical="top" wrapText="1"/>
    </xf>
    <xf numFmtId="0" fontId="10" fillId="21" borderId="6" xfId="0" applyFont="1" applyFill="1" applyBorder="1" applyAlignment="1">
      <alignment horizontal="center" vertical="top" wrapText="1"/>
    </xf>
    <xf numFmtId="167" fontId="9" fillId="55" borderId="9" xfId="0" applyNumberFormat="1" applyFont="1" applyFill="1" applyBorder="1" applyAlignment="1">
      <alignment horizontal="center" vertical="center"/>
    </xf>
    <xf numFmtId="167" fontId="9" fillId="55" borderId="8" xfId="0" applyNumberFormat="1" applyFont="1" applyFill="1" applyBorder="1" applyAlignment="1">
      <alignment horizontal="center" vertical="center"/>
    </xf>
    <xf numFmtId="174" fontId="9" fillId="55" borderId="10" xfId="0" applyNumberFormat="1" applyFont="1" applyFill="1" applyBorder="1" applyAlignment="1">
      <alignment horizontal="right" vertical="center"/>
    </xf>
    <xf numFmtId="0" fontId="10" fillId="0" borderId="4" xfId="0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90" fillId="0" borderId="5" xfId="0" applyNumberFormat="1" applyFont="1" applyBorder="1" applyAlignment="1">
      <alignment horizontal="center" vertical="center"/>
    </xf>
    <xf numFmtId="174" fontId="9" fillId="0" borderId="5" xfId="0" applyNumberFormat="1" applyFont="1" applyBorder="1" applyAlignment="1">
      <alignment horizontal="right" vertical="center"/>
    </xf>
    <xf numFmtId="0" fontId="8" fillId="0" borderId="0" xfId="0" applyFont="1" applyAlignment="1">
      <alignment horizontal="center" vertical="top" wrapText="1"/>
    </xf>
    <xf numFmtId="1" fontId="8" fillId="0" borderId="0" xfId="0" quotePrefix="1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vertical="top" wrapText="1"/>
    </xf>
    <xf numFmtId="0" fontId="10" fillId="0" borderId="0" xfId="0" applyFont="1" applyBorder="1" applyAlignment="1"/>
    <xf numFmtId="0" fontId="13" fillId="0" borderId="0" xfId="0" applyFont="1" applyAlignment="1">
      <alignment vertical="top" wrapText="1"/>
    </xf>
    <xf numFmtId="0" fontId="12" fillId="0" borderId="0" xfId="0" applyFont="1" applyBorder="1" applyAlignment="1">
      <alignment horizontal="center" vertical="top"/>
    </xf>
    <xf numFmtId="0" fontId="14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14" fillId="0" borderId="0" xfId="0" applyFont="1" applyBorder="1" applyAlignment="1">
      <alignment horizontal="center" vertical="top"/>
    </xf>
    <xf numFmtId="0" fontId="10" fillId="0" borderId="16" xfId="0" applyFont="1" applyBorder="1" applyAlignment="1">
      <alignment wrapText="1"/>
    </xf>
    <xf numFmtId="0" fontId="0" fillId="0" borderId="16" xfId="0" applyBorder="1" applyAlignment="1">
      <alignment wrapText="1"/>
    </xf>
    <xf numFmtId="0" fontId="10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0" xfId="0" applyFont="1" applyBorder="1" applyAlignment="1">
      <alignment horizontal="center" vertical="center"/>
    </xf>
    <xf numFmtId="1" fontId="10" fillId="0" borderId="0" xfId="0" applyNumberFormat="1" applyFont="1" applyAlignment="1">
      <alignment wrapText="1"/>
    </xf>
    <xf numFmtId="1" fontId="9" fillId="0" borderId="0" xfId="0" applyNumberFormat="1" applyFont="1" applyAlignment="1">
      <alignment wrapText="1"/>
    </xf>
    <xf numFmtId="1" fontId="9" fillId="0" borderId="0" xfId="0" applyNumberFormat="1" applyFont="1" applyBorder="1" applyAlignment="1">
      <alignment vertical="top" wrapText="1"/>
    </xf>
    <xf numFmtId="1" fontId="9" fillId="0" borderId="0" xfId="0" applyNumberFormat="1" applyFont="1" applyAlignment="1">
      <alignment vertical="top" wrapText="1"/>
    </xf>
    <xf numFmtId="1" fontId="13" fillId="0" borderId="0" xfId="0" applyNumberFormat="1" applyFont="1" applyAlignment="1">
      <alignment vertical="top" wrapText="1"/>
    </xf>
    <xf numFmtId="1" fontId="12" fillId="0" borderId="0" xfId="0" applyNumberFormat="1" applyFont="1" applyBorder="1" applyAlignment="1">
      <alignment horizontal="center" vertical="top"/>
    </xf>
    <xf numFmtId="1" fontId="14" fillId="0" borderId="0" xfId="0" applyNumberFormat="1" applyFont="1" applyBorder="1" applyAlignment="1">
      <alignment horizontal="center" vertical="center"/>
    </xf>
    <xf numFmtId="1" fontId="10" fillId="0" borderId="16" xfId="0" applyNumberFormat="1" applyFont="1" applyBorder="1" applyAlignment="1">
      <alignment horizontal="left" wrapText="1"/>
    </xf>
    <xf numFmtId="1" fontId="0" fillId="0" borderId="16" xfId="0" applyNumberFormat="1" applyBorder="1" applyAlignment="1">
      <alignment horizontal="left" wrapText="1"/>
    </xf>
    <xf numFmtId="0" fontId="12" fillId="0" borderId="0" xfId="0" applyFont="1" applyBorder="1" applyAlignment="1">
      <alignment horizontal="center" vertical="top" wrapText="1"/>
    </xf>
    <xf numFmtId="0" fontId="14" fillId="0" borderId="0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10" fillId="0" borderId="0" xfId="0" applyFont="1" applyBorder="1" applyAlignment="1">
      <alignment wrapText="1"/>
    </xf>
    <xf numFmtId="0" fontId="9" fillId="0" borderId="0" xfId="0" applyFont="1" applyBorder="1" applyAlignment="1">
      <alignment vertical="top" wrapText="1"/>
    </xf>
    <xf numFmtId="0" fontId="9" fillId="0" borderId="8" xfId="0" applyFont="1" applyBorder="1" applyAlignment="1">
      <alignment horizontal="right" vertical="center"/>
    </xf>
    <xf numFmtId="0" fontId="12" fillId="0" borderId="0" xfId="0" quotePrefix="1" applyFont="1" applyAlignment="1">
      <alignment horizontal="right"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wrapText="1"/>
    </xf>
    <xf numFmtId="166" fontId="9" fillId="0" borderId="8" xfId="0" applyNumberFormat="1" applyFont="1" applyBorder="1" applyAlignment="1">
      <alignment horizontal="center" vertical="top"/>
    </xf>
    <xf numFmtId="0" fontId="10" fillId="0" borderId="0" xfId="0" applyFont="1" applyAlignment="1">
      <alignment horizontal="left"/>
    </xf>
    <xf numFmtId="0" fontId="10" fillId="0" borderId="16" xfId="0" applyFont="1" applyFill="1" applyBorder="1" applyAlignment="1">
      <alignment horizontal="left" vertical="top" wrapText="1"/>
    </xf>
    <xf numFmtId="166" fontId="9" fillId="0" borderId="8" xfId="0" applyNumberFormat="1" applyFont="1" applyBorder="1" applyAlignment="1">
      <alignment horizontal="right"/>
    </xf>
    <xf numFmtId="166" fontId="9" fillId="0" borderId="8" xfId="0" applyNumberFormat="1" applyFont="1" applyBorder="1" applyAlignment="1">
      <alignment horizontal="center" vertical="top" wrapText="1"/>
    </xf>
    <xf numFmtId="0" fontId="89" fillId="0" borderId="16" xfId="0" applyFont="1" applyBorder="1" applyAlignment="1">
      <alignment horizontal="left" wrapText="1"/>
    </xf>
    <xf numFmtId="0" fontId="89" fillId="21" borderId="15" xfId="0" applyFont="1" applyFill="1" applyBorder="1" applyAlignment="1">
      <alignment horizontal="center" vertical="top" wrapText="1"/>
    </xf>
    <xf numFmtId="0" fontId="89" fillId="21" borderId="16" xfId="0" applyFont="1" applyFill="1" applyBorder="1" applyAlignment="1">
      <alignment horizontal="center" vertical="top" wrapText="1"/>
    </xf>
    <xf numFmtId="0" fontId="89" fillId="21" borderId="57" xfId="0" applyFont="1" applyFill="1" applyBorder="1" applyAlignment="1">
      <alignment horizontal="center" vertical="center" wrapText="1"/>
    </xf>
    <xf numFmtId="0" fontId="89" fillId="21" borderId="52" xfId="0" applyFont="1" applyFill="1" applyBorder="1" applyAlignment="1">
      <alignment horizontal="center" vertical="center" wrapText="1"/>
    </xf>
    <xf numFmtId="0" fontId="95" fillId="0" borderId="0" xfId="0" applyFont="1" applyAlignment="1">
      <alignment horizontal="center" vertical="top"/>
    </xf>
    <xf numFmtId="0" fontId="92" fillId="0" borderId="0" xfId="0" applyFont="1" applyAlignment="1">
      <alignment horizontal="center" vertical="top"/>
    </xf>
    <xf numFmtId="0" fontId="89" fillId="21" borderId="6" xfId="0" applyFont="1" applyFill="1" applyBorder="1" applyAlignment="1">
      <alignment horizontal="center" vertical="center" wrapText="1"/>
    </xf>
    <xf numFmtId="0" fontId="89" fillId="21" borderId="2" xfId="0" applyFont="1" applyFill="1" applyBorder="1" applyAlignment="1">
      <alignment horizontal="center" vertical="center" wrapText="1"/>
    </xf>
    <xf numFmtId="0" fontId="89" fillId="21" borderId="7" xfId="0" applyFont="1" applyFill="1" applyBorder="1" applyAlignment="1">
      <alignment horizontal="center" vertical="center" wrapText="1"/>
    </xf>
    <xf numFmtId="0" fontId="89" fillId="21" borderId="8" xfId="0" quotePrefix="1" applyFont="1" applyFill="1" applyBorder="1" applyAlignment="1">
      <alignment horizontal="left" vertical="center" wrapText="1"/>
    </xf>
    <xf numFmtId="0" fontId="89" fillId="21" borderId="8" xfId="0" quotePrefix="1" applyFont="1" applyFill="1" applyBorder="1" applyAlignment="1">
      <alignment horizontal="center" vertical="center" wrapText="1"/>
    </xf>
    <xf numFmtId="0" fontId="89" fillId="21" borderId="17" xfId="0" quotePrefix="1" applyFont="1" applyFill="1" applyBorder="1" applyAlignment="1">
      <alignment horizontal="center" vertical="center" wrapText="1"/>
    </xf>
    <xf numFmtId="0" fontId="89" fillId="21" borderId="0" xfId="0" quotePrefix="1" applyFont="1" applyFill="1" applyBorder="1" applyAlignment="1">
      <alignment horizontal="center" vertical="center" wrapText="1"/>
    </xf>
    <xf numFmtId="0" fontId="89" fillId="21" borderId="9" xfId="0" quotePrefix="1" applyFont="1" applyFill="1" applyBorder="1" applyAlignment="1">
      <alignment horizontal="center" vertical="center" wrapText="1"/>
    </xf>
    <xf numFmtId="0" fontId="89" fillId="21" borderId="10" xfId="0" quotePrefix="1" applyFont="1" applyFill="1" applyBorder="1" applyAlignment="1">
      <alignment horizontal="center" vertical="center" wrapText="1"/>
    </xf>
    <xf numFmtId="0" fontId="89" fillId="21" borderId="16" xfId="0" applyFont="1" applyFill="1" applyBorder="1" applyAlignment="1">
      <alignment horizontal="center" vertical="center" wrapText="1"/>
    </xf>
    <xf numFmtId="0" fontId="89" fillId="21" borderId="1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top"/>
    </xf>
    <xf numFmtId="1" fontId="10" fillId="21" borderId="6" xfId="0" quotePrefix="1" applyNumberFormat="1" applyFont="1" applyFill="1" applyBorder="1" applyAlignment="1">
      <alignment horizontal="center" vertical="center" wrapText="1"/>
    </xf>
    <xf numFmtId="1" fontId="10" fillId="21" borderId="2" xfId="0" quotePrefix="1" applyNumberFormat="1" applyFont="1" applyFill="1" applyBorder="1" applyAlignment="1">
      <alignment horizontal="center" vertical="center" wrapText="1"/>
    </xf>
    <xf numFmtId="1" fontId="10" fillId="21" borderId="7" xfId="0" quotePrefix="1" applyNumberFormat="1" applyFont="1" applyFill="1" applyBorder="1" applyAlignment="1">
      <alignment horizontal="center" vertical="center" wrapText="1"/>
    </xf>
    <xf numFmtId="0" fontId="10" fillId="21" borderId="15" xfId="0" applyFont="1" applyFill="1" applyBorder="1" applyAlignment="1">
      <alignment horizontal="center" vertical="center" wrapText="1"/>
    </xf>
    <xf numFmtId="0" fontId="10" fillId="21" borderId="16" xfId="0" applyFont="1" applyFill="1" applyBorder="1" applyAlignment="1">
      <alignment horizontal="center" vertical="center" wrapText="1"/>
    </xf>
    <xf numFmtId="0" fontId="10" fillId="21" borderId="13" xfId="0" applyFont="1" applyFill="1" applyBorder="1" applyAlignment="1">
      <alignment horizontal="center" vertical="center" wrapText="1"/>
    </xf>
    <xf numFmtId="0" fontId="9" fillId="21" borderId="16" xfId="0" applyFont="1" applyFill="1" applyBorder="1" applyAlignment="1">
      <alignment horizontal="center" vertical="center" wrapText="1"/>
    </xf>
    <xf numFmtId="0" fontId="9" fillId="21" borderId="0" xfId="0" applyFont="1" applyFill="1" applyBorder="1" applyAlignment="1">
      <alignment horizontal="center" vertical="center" wrapText="1"/>
    </xf>
    <xf numFmtId="0" fontId="10" fillId="21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9" fillId="0" borderId="0" xfId="0" applyFont="1" applyAlignment="1">
      <alignment horizontal="left"/>
    </xf>
    <xf numFmtId="0" fontId="9" fillId="0" borderId="8" xfId="0" applyFont="1" applyBorder="1" applyAlignment="1">
      <alignment horizontal="right" vertical="top"/>
    </xf>
    <xf numFmtId="0" fontId="14" fillId="0" borderId="0" xfId="0" applyFont="1" applyAlignment="1">
      <alignment horizontal="center" vertical="center" wrapText="1"/>
    </xf>
    <xf numFmtId="0" fontId="10" fillId="0" borderId="16" xfId="0" applyFont="1" applyBorder="1" applyAlignment="1">
      <alignment horizontal="left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 vertical="top" wrapText="1"/>
    </xf>
    <xf numFmtId="0" fontId="12" fillId="0" borderId="0" xfId="0" applyFont="1" applyAlignment="1">
      <alignment horizontal="center" vertical="top"/>
    </xf>
    <xf numFmtId="0" fontId="90" fillId="0" borderId="0" xfId="0" applyFont="1" applyAlignment="1">
      <alignment horizontal="center" vertical="center"/>
    </xf>
    <xf numFmtId="0" fontId="10" fillId="0" borderId="0" xfId="0" applyFont="1" applyFill="1" applyBorder="1" applyAlignment="1">
      <alignment horizontal="left" vertical="top" wrapText="1"/>
    </xf>
    <xf numFmtId="0" fontId="21" fillId="0" borderId="0" xfId="0" quotePrefix="1" applyFont="1" applyAlignment="1">
      <alignment horizontal="left"/>
    </xf>
    <xf numFmtId="0" fontId="10" fillId="21" borderId="2" xfId="0" applyFont="1" applyFill="1" applyBorder="1" applyAlignment="1">
      <alignment horizontal="center" vertical="top" wrapText="1"/>
    </xf>
    <xf numFmtId="0" fontId="10" fillId="21" borderId="7" xfId="0" applyFont="1" applyFill="1" applyBorder="1" applyAlignment="1">
      <alignment horizontal="center" vertical="top" wrapText="1"/>
    </xf>
    <xf numFmtId="0" fontId="14" fillId="21" borderId="15" xfId="0" applyFont="1" applyFill="1" applyBorder="1" applyAlignment="1">
      <alignment horizontal="center" vertical="center" wrapText="1"/>
    </xf>
    <xf numFmtId="0" fontId="14" fillId="21" borderId="16" xfId="0" applyFont="1" applyFill="1" applyBorder="1" applyAlignment="1">
      <alignment horizontal="center" vertical="center" wrapText="1"/>
    </xf>
    <xf numFmtId="0" fontId="14" fillId="21" borderId="13" xfId="0" applyFont="1" applyFill="1" applyBorder="1" applyAlignment="1">
      <alignment horizontal="center" vertical="center" wrapText="1"/>
    </xf>
    <xf numFmtId="0" fontId="10" fillId="21" borderId="9" xfId="0" applyFont="1" applyFill="1" applyBorder="1" applyAlignment="1">
      <alignment horizontal="center" vertical="center" wrapText="1"/>
    </xf>
    <xf numFmtId="0" fontId="10" fillId="21" borderId="8" xfId="0" applyFont="1" applyFill="1" applyBorder="1" applyAlignment="1">
      <alignment horizontal="center" vertical="center" wrapText="1"/>
    </xf>
    <xf numFmtId="0" fontId="10" fillId="21" borderId="10" xfId="0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top"/>
    </xf>
    <xf numFmtId="170" fontId="10" fillId="21" borderId="9" xfId="0" applyNumberFormat="1" applyFont="1" applyFill="1" applyBorder="1" applyAlignment="1">
      <alignment horizontal="center" vertical="center"/>
    </xf>
    <xf numFmtId="170" fontId="10" fillId="21" borderId="8" xfId="0" applyNumberFormat="1" applyFont="1" applyFill="1" applyBorder="1" applyAlignment="1">
      <alignment horizontal="center" vertical="center"/>
    </xf>
    <xf numFmtId="170" fontId="10" fillId="21" borderId="1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vertical="top" wrapText="1"/>
    </xf>
    <xf numFmtId="0" fontId="7" fillId="0" borderId="0" xfId="0" applyFont="1" applyAlignment="1">
      <alignment vertical="top" wrapText="1"/>
    </xf>
    <xf numFmtId="0" fontId="14" fillId="0" borderId="8" xfId="0" applyFont="1" applyBorder="1" applyAlignment="1">
      <alignment horizontal="center" wrapText="1"/>
    </xf>
    <xf numFmtId="0" fontId="10" fillId="21" borderId="9" xfId="0" applyFont="1" applyFill="1" applyBorder="1" applyAlignment="1">
      <alignment horizontal="center" vertical="top"/>
    </xf>
    <xf numFmtId="0" fontId="10" fillId="21" borderId="33" xfId="0" applyFont="1" applyFill="1" applyBorder="1" applyAlignment="1">
      <alignment horizontal="center" vertical="top"/>
    </xf>
    <xf numFmtId="0" fontId="10" fillId="21" borderId="34" xfId="0" applyFont="1" applyFill="1" applyBorder="1" applyAlignment="1">
      <alignment horizontal="center" vertical="top" wrapText="1"/>
    </xf>
    <xf numFmtId="0" fontId="10" fillId="21" borderId="33" xfId="0" applyFont="1" applyFill="1" applyBorder="1" applyAlignment="1">
      <alignment horizontal="center" vertical="top" wrapText="1"/>
    </xf>
    <xf numFmtId="0" fontId="10" fillId="21" borderId="8" xfId="0" applyFont="1" applyFill="1" applyBorder="1" applyAlignment="1">
      <alignment horizontal="center" vertical="top" wrapText="1"/>
    </xf>
    <xf numFmtId="0" fontId="89" fillId="21" borderId="34" xfId="0" applyFont="1" applyFill="1" applyBorder="1" applyAlignment="1">
      <alignment horizontal="center" vertical="top" wrapText="1"/>
    </xf>
    <xf numFmtId="0" fontId="89" fillId="21" borderId="33" xfId="0" applyFont="1" applyFill="1" applyBorder="1" applyAlignment="1">
      <alignment horizontal="center" vertical="top" wrapText="1"/>
    </xf>
    <xf numFmtId="0" fontId="89" fillId="21" borderId="9" xfId="0" applyFont="1" applyFill="1" applyBorder="1" applyAlignment="1">
      <alignment horizontal="center" vertical="top"/>
    </xf>
    <xf numFmtId="0" fontId="89" fillId="21" borderId="33" xfId="0" applyFont="1" applyFill="1" applyBorder="1" applyAlignment="1">
      <alignment horizontal="center" vertical="top"/>
    </xf>
    <xf numFmtId="0" fontId="9" fillId="0" borderId="0" xfId="0" applyFont="1" applyAlignment="1">
      <alignment horizontal="left" vertical="top" wrapText="1"/>
    </xf>
    <xf numFmtId="0" fontId="92" fillId="0" borderId="8" xfId="0" applyFont="1" applyBorder="1" applyAlignment="1">
      <alignment horizontal="center" vertical="center" wrapText="1"/>
    </xf>
    <xf numFmtId="0" fontId="89" fillId="21" borderId="15" xfId="0" applyFont="1" applyFill="1" applyBorder="1" applyAlignment="1">
      <alignment horizontal="center" vertical="center" wrapText="1"/>
    </xf>
    <xf numFmtId="17" fontId="9" fillId="0" borderId="0" xfId="0" applyNumberFormat="1" applyFont="1" applyFill="1" applyAlignment="1">
      <alignment horizontal="center" vertical="center"/>
    </xf>
    <xf numFmtId="17" fontId="9" fillId="0" borderId="0" xfId="0" quotePrefix="1" applyNumberFormat="1" applyFont="1" applyFill="1" applyAlignment="1">
      <alignment horizontal="center" vertical="center"/>
    </xf>
    <xf numFmtId="0" fontId="10" fillId="21" borderId="15" xfId="0" applyFont="1" applyFill="1" applyBorder="1" applyAlignment="1">
      <alignment horizontal="center" vertical="center"/>
    </xf>
    <xf numFmtId="0" fontId="10" fillId="21" borderId="16" xfId="0" applyFont="1" applyFill="1" applyBorder="1" applyAlignment="1">
      <alignment horizontal="center" vertical="center"/>
    </xf>
    <xf numFmtId="0" fontId="10" fillId="21" borderId="13" xfId="0" applyFont="1" applyFill="1" applyBorder="1" applyAlignment="1">
      <alignment horizontal="center" vertical="center"/>
    </xf>
    <xf numFmtId="0" fontId="10" fillId="0" borderId="16" xfId="0" applyFont="1" applyBorder="1" applyAlignment="1">
      <alignment horizontal="left"/>
    </xf>
    <xf numFmtId="0" fontId="10" fillId="21" borderId="9" xfId="0" applyFont="1" applyFill="1" applyBorder="1" applyAlignment="1">
      <alignment horizontal="center" vertical="top" wrapText="1"/>
    </xf>
    <xf numFmtId="0" fontId="10" fillId="21" borderId="10" xfId="0" applyFont="1" applyFill="1" applyBorder="1" applyAlignment="1">
      <alignment horizontal="center" vertical="top" wrapText="1"/>
    </xf>
    <xf numFmtId="17" fontId="22" fillId="0" borderId="0" xfId="0" applyNumberFormat="1" applyFont="1" applyFill="1" applyAlignment="1">
      <alignment horizontal="center" vertical="center"/>
    </xf>
    <xf numFmtId="17" fontId="22" fillId="0" borderId="0" xfId="0" quotePrefix="1" applyNumberFormat="1" applyFont="1" applyFill="1" applyAlignment="1">
      <alignment horizontal="center" vertical="center"/>
    </xf>
    <xf numFmtId="0" fontId="10" fillId="21" borderId="15" xfId="0" applyFont="1" applyFill="1" applyBorder="1" applyAlignment="1">
      <alignment horizontal="center" vertical="top" wrapText="1"/>
    </xf>
    <xf numFmtId="0" fontId="10" fillId="21" borderId="13" xfId="0" applyFont="1" applyFill="1" applyBorder="1" applyAlignment="1">
      <alignment horizontal="center" vertical="top" wrapText="1"/>
    </xf>
    <xf numFmtId="0" fontId="10" fillId="21" borderId="6" xfId="0" applyFont="1" applyFill="1" applyBorder="1" applyAlignment="1">
      <alignment horizontal="center" vertical="top" wrapText="1"/>
    </xf>
    <xf numFmtId="0" fontId="10" fillId="21" borderId="17" xfId="0" applyFont="1" applyFill="1" applyBorder="1" applyAlignment="1">
      <alignment horizontal="center" vertical="top" wrapText="1"/>
    </xf>
    <xf numFmtId="0" fontId="10" fillId="21" borderId="14" xfId="0" applyFont="1" applyFill="1" applyBorder="1" applyAlignment="1">
      <alignment horizontal="center" vertical="top" wrapText="1"/>
    </xf>
    <xf numFmtId="0" fontId="10" fillId="56" borderId="16" xfId="0" applyFont="1" applyFill="1" applyBorder="1" applyAlignment="1">
      <alignment horizontal="left" wrapText="1"/>
    </xf>
    <xf numFmtId="0" fontId="0" fillId="56" borderId="16" xfId="0" applyFill="1" applyBorder="1" applyAlignment="1">
      <alignment horizontal="left" wrapText="1"/>
    </xf>
    <xf numFmtId="0" fontId="14" fillId="0" borderId="8" xfId="0" applyFont="1" applyBorder="1" applyAlignment="1">
      <alignment horizontal="center" vertical="top"/>
    </xf>
    <xf numFmtId="0" fontId="14" fillId="0" borderId="8" xfId="0" applyFont="1" applyBorder="1" applyAlignment="1">
      <alignment horizontal="center" vertical="top" wrapText="1"/>
    </xf>
    <xf numFmtId="0" fontId="0" fillId="0" borderId="16" xfId="0" applyBorder="1" applyAlignment="1">
      <alignment horizontal="left" wrapText="1"/>
    </xf>
    <xf numFmtId="0" fontId="9" fillId="0" borderId="0" xfId="0" applyFont="1" applyBorder="1" applyAlignment="1">
      <alignment horizontal="left" vertical="top"/>
    </xf>
    <xf numFmtId="0" fontId="0" fillId="0" borderId="0" xfId="0" applyAlignment="1">
      <alignment vertical="top"/>
    </xf>
  </cellXfs>
  <cellStyles count="179">
    <cellStyle name="20% - Accent1" xfId="1" builtinId="30" customBuiltin="1"/>
    <cellStyle name="20% - Accent1 2" xfId="2" xr:uid="{00000000-0005-0000-0000-000001000000}"/>
    <cellStyle name="20% - Accent1 2 2" xfId="156" xr:uid="{57895D77-AAE9-4056-9076-61CE4CE780A2}"/>
    <cellStyle name="20% - Accent1 3" xfId="140" xr:uid="{00000000-0005-0000-0000-000002000000}"/>
    <cellStyle name="20% - Accent1 4" xfId="155" xr:uid="{E7F429E5-4F54-42F7-8F2F-F016148EC921}"/>
    <cellStyle name="20% - Accent2" xfId="3" builtinId="34" customBuiltin="1"/>
    <cellStyle name="20% - Accent2 2" xfId="142" xr:uid="{00000000-0005-0000-0000-000004000000}"/>
    <cellStyle name="20% - Accent2 3" xfId="157" xr:uid="{B2C88219-E221-41EB-AA3E-33294599ADEF}"/>
    <cellStyle name="20% - Accent3" xfId="4" builtinId="38" customBuiltin="1"/>
    <cellStyle name="20% - Accent3 2" xfId="144" xr:uid="{00000000-0005-0000-0000-000006000000}"/>
    <cellStyle name="20% - Accent3 3" xfId="158" xr:uid="{F21D01B5-0127-477E-982D-286C2B65C160}"/>
    <cellStyle name="20% - Accent4" xfId="5" builtinId="42" customBuiltin="1"/>
    <cellStyle name="20% - Accent4 2" xfId="146" xr:uid="{00000000-0005-0000-0000-000008000000}"/>
    <cellStyle name="20% - Accent4 3" xfId="159" xr:uid="{D678C9E7-C682-4D20-824A-87B83DFDCBDA}"/>
    <cellStyle name="20% - Accent5" xfId="6" builtinId="46" customBuiltin="1"/>
    <cellStyle name="20% - Accent5 2" xfId="137" xr:uid="{00000000-0005-0000-0000-00000A000000}"/>
    <cellStyle name="20% - Accent5 3" xfId="148" xr:uid="{00000000-0005-0000-0000-00000B000000}"/>
    <cellStyle name="20% - Accent5 4" xfId="160" xr:uid="{F78D8FF5-0C5D-4BB4-B2F8-A6F77CD23AA2}"/>
    <cellStyle name="20% - Accent6" xfId="7" builtinId="50" customBuiltin="1"/>
    <cellStyle name="20% - Accent6 2" xfId="150" xr:uid="{00000000-0005-0000-0000-00000D000000}"/>
    <cellStyle name="20% - Accent6 3" xfId="161" xr:uid="{69801487-1FAA-4C9D-9E88-C590C81F7739}"/>
    <cellStyle name="40% - Accent1" xfId="8" builtinId="31" customBuiltin="1"/>
    <cellStyle name="40% - Accent1 2" xfId="141" xr:uid="{00000000-0005-0000-0000-00000F000000}"/>
    <cellStyle name="40% - Accent1 3" xfId="162" xr:uid="{BAE3E423-AFB5-41CB-B62E-3F43155A05A8}"/>
    <cellStyle name="40% - Accent2" xfId="9" builtinId="35" customBuiltin="1"/>
    <cellStyle name="40% - Accent2 2" xfId="143" xr:uid="{00000000-0005-0000-0000-000011000000}"/>
    <cellStyle name="40% - Accent2 3" xfId="163" xr:uid="{800AAB38-CC3D-4EB4-BBD1-D1C97A9F98F2}"/>
    <cellStyle name="40% - Accent3" xfId="10" builtinId="39" customBuiltin="1"/>
    <cellStyle name="40% - Accent3 2" xfId="145" xr:uid="{00000000-0005-0000-0000-000013000000}"/>
    <cellStyle name="40% - Accent3 3" xfId="164" xr:uid="{8B4260B8-1B2B-4192-A765-05C922EBFB56}"/>
    <cellStyle name="40% - Accent4" xfId="11" builtinId="43" customBuiltin="1"/>
    <cellStyle name="40% - Accent4 2" xfId="147" xr:uid="{00000000-0005-0000-0000-000015000000}"/>
    <cellStyle name="40% - Accent4 3" xfId="165" xr:uid="{2AC58D7A-3C0B-4237-BD75-0C1813FFE274}"/>
    <cellStyle name="40% - Accent5" xfId="12" builtinId="47" customBuiltin="1"/>
    <cellStyle name="40% - Accent5 2" xfId="149" xr:uid="{00000000-0005-0000-0000-000017000000}"/>
    <cellStyle name="40% - Accent5 3" xfId="166" xr:uid="{BBAA8842-96F6-46D0-992E-FCA60D4423C7}"/>
    <cellStyle name="40% - Accent6" xfId="13" builtinId="51" customBuiltin="1"/>
    <cellStyle name="40% - Accent6 2" xfId="151" xr:uid="{00000000-0005-0000-0000-000019000000}"/>
    <cellStyle name="40% - Accent6 3" xfId="167" xr:uid="{53455375-0AB8-4B74-A4E6-1DF4EF5CACA8}"/>
    <cellStyle name="60% - Accent1" xfId="14" builtinId="32" customBuiltin="1"/>
    <cellStyle name="60% - Accent2" xfId="15" builtinId="36" customBuiltin="1"/>
    <cellStyle name="60% - Accent3" xfId="16" builtinId="40" customBuiltin="1"/>
    <cellStyle name="60% - Accent4" xfId="17" builtinId="44" customBuiltin="1"/>
    <cellStyle name="60% - Accent5" xfId="18" builtinId="48" customBuiltin="1"/>
    <cellStyle name="60% - Accent6" xfId="19" builtinId="52" customBuiltin="1"/>
    <cellStyle name="Accent1" xfId="20" builtinId="29" customBuiltin="1"/>
    <cellStyle name="Accent1 2" xfId="21" xr:uid="{00000000-0005-0000-0000-000021000000}"/>
    <cellStyle name="Accent2" xfId="22" builtinId="33" customBuiltin="1"/>
    <cellStyle name="Accent2 2" xfId="23" xr:uid="{00000000-0005-0000-0000-000023000000}"/>
    <cellStyle name="Accent3" xfId="24" builtinId="37" customBuiltin="1"/>
    <cellStyle name="Accent3 2" xfId="25" xr:uid="{00000000-0005-0000-0000-000025000000}"/>
    <cellStyle name="Accent4" xfId="26" builtinId="41" customBuiltin="1"/>
    <cellStyle name="Accent4 2" xfId="27" xr:uid="{00000000-0005-0000-0000-000027000000}"/>
    <cellStyle name="Accent5" xfId="28" builtinId="45" customBuiltin="1"/>
    <cellStyle name="Accent5 2" xfId="29" xr:uid="{00000000-0005-0000-0000-000029000000}"/>
    <cellStyle name="Accent6" xfId="30" builtinId="49" customBuiltin="1"/>
    <cellStyle name="Accent6 2" xfId="31" xr:uid="{00000000-0005-0000-0000-00002B000000}"/>
    <cellStyle name="Bad" xfId="32" builtinId="27" customBuiltin="1"/>
    <cellStyle name="Calculation" xfId="33" builtinId="22" customBuiltin="1"/>
    <cellStyle name="cells" xfId="34" xr:uid="{00000000-0005-0000-0000-00002E000000}"/>
    <cellStyle name="Check Cell" xfId="35" builtinId="23" customBuiltin="1"/>
    <cellStyle name="coin" xfId="36" xr:uid="{00000000-0005-0000-0000-000030000000}"/>
    <cellStyle name="column field" xfId="37" xr:uid="{00000000-0005-0000-0000-000031000000}"/>
    <cellStyle name="Comma 2" xfId="38" xr:uid="{00000000-0005-0000-0000-000032000000}"/>
    <cellStyle name="Comma 3" xfId="39" xr:uid="{00000000-0005-0000-0000-000033000000}"/>
    <cellStyle name="Comma 4" xfId="168" xr:uid="{457BEFAF-135E-473D-9AC2-F18F3E4F6987}"/>
    <cellStyle name="contenu_unite" xfId="40" xr:uid="{00000000-0005-0000-0000-000034000000}"/>
    <cellStyle name="Detail ligne" xfId="41" xr:uid="{00000000-0005-0000-0000-000035000000}"/>
    <cellStyle name="donn_normal" xfId="42" xr:uid="{00000000-0005-0000-0000-000036000000}"/>
    <cellStyle name="donnnormal1" xfId="43" xr:uid="{00000000-0005-0000-0000-000037000000}"/>
    <cellStyle name="donntotal1" xfId="44" xr:uid="{00000000-0005-0000-0000-000038000000}"/>
    <cellStyle name="ent_col_ser" xfId="45" xr:uid="{00000000-0005-0000-0000-000039000000}"/>
    <cellStyle name="entete_indice" xfId="46" xr:uid="{00000000-0005-0000-0000-00003A000000}"/>
    <cellStyle name="Explanatory Text" xfId="47" builtinId="53" customBuiltin="1"/>
    <cellStyle name="field" xfId="48" xr:uid="{00000000-0005-0000-0000-00003C000000}"/>
    <cellStyle name="field names" xfId="49" xr:uid="{00000000-0005-0000-0000-00003D000000}"/>
    <cellStyle name="Följde hyperlänken" xfId="50" xr:uid="{00000000-0005-0000-0000-00003E000000}"/>
    <cellStyle name="footer" xfId="51" xr:uid="{00000000-0005-0000-0000-00003F000000}"/>
    <cellStyle name="Good" xfId="52" builtinId="26" customBuiltin="1"/>
    <cellStyle name="heading" xfId="53" xr:uid="{00000000-0005-0000-0000-000041000000}"/>
    <cellStyle name="Heading 1" xfId="54" builtinId="16" customBuiltin="1"/>
    <cellStyle name="Heading 2" xfId="55" builtinId="17" customBuiltin="1"/>
    <cellStyle name="Heading 3" xfId="56" builtinId="18" customBuiltin="1"/>
    <cellStyle name="Heading 4" xfId="57" builtinId="19" customBuiltin="1"/>
    <cellStyle name="Hyperlänk 2" xfId="58" xr:uid="{00000000-0005-0000-0000-000046000000}"/>
    <cellStyle name="Hyperlink" xfId="59" builtinId="8"/>
    <cellStyle name="Hyperlink 2" xfId="60" xr:uid="{00000000-0005-0000-0000-000048000000}"/>
    <cellStyle name="Hyperlink 3" xfId="61" xr:uid="{00000000-0005-0000-0000-000049000000}"/>
    <cellStyle name="Identification requete" xfId="62" xr:uid="{00000000-0005-0000-0000-00004A000000}"/>
    <cellStyle name="Input" xfId="63" builtinId="20" customBuiltin="1"/>
    <cellStyle name="Ligne détail" xfId="64" xr:uid="{00000000-0005-0000-0000-00004C000000}"/>
    <cellStyle name="Ligne détail 2" xfId="65" xr:uid="{00000000-0005-0000-0000-00004D000000}"/>
    <cellStyle name="ligne_titre_0" xfId="66" xr:uid="{00000000-0005-0000-0000-00004E000000}"/>
    <cellStyle name="Linked Cell" xfId="67" builtinId="24" customBuiltin="1"/>
    <cellStyle name="MEV1" xfId="68" xr:uid="{00000000-0005-0000-0000-000050000000}"/>
    <cellStyle name="MEV2" xfId="69" xr:uid="{00000000-0005-0000-0000-000051000000}"/>
    <cellStyle name="Neutral" xfId="70" builtinId="28" customBuiltin="1"/>
    <cellStyle name="Normal" xfId="0" builtinId="0"/>
    <cellStyle name="Normal 10" xfId="71" xr:uid="{00000000-0005-0000-0000-000054000000}"/>
    <cellStyle name="Normal 11" xfId="72" xr:uid="{00000000-0005-0000-0000-000055000000}"/>
    <cellStyle name="Normal 12" xfId="73" xr:uid="{00000000-0005-0000-0000-000056000000}"/>
    <cellStyle name="Normal 12 2" xfId="169" xr:uid="{72BFACC0-AAAB-406E-8DEF-D35CE6F4AC82}"/>
    <cellStyle name="Normal 13" xfId="74" xr:uid="{00000000-0005-0000-0000-000057000000}"/>
    <cellStyle name="Normal 13 2" xfId="170" xr:uid="{AA33E183-6B47-4131-9F4A-152930E1D9B1}"/>
    <cellStyle name="Normal 14" xfId="136" xr:uid="{00000000-0005-0000-0000-000058000000}"/>
    <cellStyle name="Normal 15" xfId="138" xr:uid="{00000000-0005-0000-0000-000059000000}"/>
    <cellStyle name="Normal 16" xfId="152" xr:uid="{CBF22CB5-3ECD-43E0-9D18-4A7D27DF7D35}"/>
    <cellStyle name="Normal 17" xfId="154" xr:uid="{D33EB950-C617-43B6-BB72-AA369373C4A3}"/>
    <cellStyle name="Normal 2" xfId="75" xr:uid="{00000000-0005-0000-0000-00005A000000}"/>
    <cellStyle name="Normal 2 2" xfId="76" xr:uid="{00000000-0005-0000-0000-00005B000000}"/>
    <cellStyle name="Normal 2 3" xfId="77" xr:uid="{00000000-0005-0000-0000-00005C000000}"/>
    <cellStyle name="Normal 2 3 2" xfId="78" xr:uid="{00000000-0005-0000-0000-00005D000000}"/>
    <cellStyle name="Normal 2 3 3" xfId="171" xr:uid="{93D9FCF7-90FB-47F2-BBBB-9E7644DC84CF}"/>
    <cellStyle name="Normal 2 4" xfId="79" xr:uid="{00000000-0005-0000-0000-00005E000000}"/>
    <cellStyle name="Normal 2 4 2" xfId="172" xr:uid="{41420D7D-0D0F-472F-9B27-36C5E307E548}"/>
    <cellStyle name="Normal 2 5" xfId="153" xr:uid="{BD821AB2-3E68-4957-8D7F-6171DD7B5FE1}"/>
    <cellStyle name="Normal 3" xfId="80" xr:uid="{00000000-0005-0000-0000-00005F000000}"/>
    <cellStyle name="Normal 3 2" xfId="81" xr:uid="{00000000-0005-0000-0000-000060000000}"/>
    <cellStyle name="Normal 3 2 2" xfId="82" xr:uid="{00000000-0005-0000-0000-000061000000}"/>
    <cellStyle name="Normal 3 2 2 2" xfId="174" xr:uid="{F8A9621F-7B24-43FC-859D-E5C623BB3A5B}"/>
    <cellStyle name="Normal 3 2 3" xfId="173" xr:uid="{754B94AD-E847-4A34-8C6E-0DE2202B9CAB}"/>
    <cellStyle name="Normal 3 3" xfId="83" xr:uid="{00000000-0005-0000-0000-000062000000}"/>
    <cellStyle name="Normal 3 3 2" xfId="175" xr:uid="{AAA2721D-B5EA-4C4C-887E-272EE0675080}"/>
    <cellStyle name="Normal 3 4" xfId="84" xr:uid="{00000000-0005-0000-0000-000063000000}"/>
    <cellStyle name="Normal 4" xfId="85" xr:uid="{00000000-0005-0000-0000-000064000000}"/>
    <cellStyle name="Normal 4 2" xfId="86" xr:uid="{00000000-0005-0000-0000-000065000000}"/>
    <cellStyle name="Normal 5" xfId="87" xr:uid="{00000000-0005-0000-0000-000066000000}"/>
    <cellStyle name="Normal 6" xfId="88" xr:uid="{00000000-0005-0000-0000-000067000000}"/>
    <cellStyle name="Normal 6 2" xfId="89" xr:uid="{00000000-0005-0000-0000-000068000000}"/>
    <cellStyle name="Normal 7" xfId="90" xr:uid="{00000000-0005-0000-0000-000069000000}"/>
    <cellStyle name="Normal 8" xfId="91" xr:uid="{00000000-0005-0000-0000-00006A000000}"/>
    <cellStyle name="Normal 9" xfId="92" xr:uid="{00000000-0005-0000-0000-00006B000000}"/>
    <cellStyle name="Normál_t6" xfId="93" xr:uid="{00000000-0005-0000-0000-00006C000000}"/>
    <cellStyle name="Note 2" xfId="94" xr:uid="{00000000-0005-0000-0000-00006D000000}"/>
    <cellStyle name="Note 3" xfId="95" xr:uid="{00000000-0005-0000-0000-00006E000000}"/>
    <cellStyle name="Note 4" xfId="96" xr:uid="{00000000-0005-0000-0000-00006F000000}"/>
    <cellStyle name="Note 4 2" xfId="176" xr:uid="{97B483E7-B1CC-4600-88F0-0B1264861CDE}"/>
    <cellStyle name="Note 5" xfId="139" xr:uid="{00000000-0005-0000-0000-000070000000}"/>
    <cellStyle name="notice_theme" xfId="97" xr:uid="{00000000-0005-0000-0000-000071000000}"/>
    <cellStyle name="num_note" xfId="98" xr:uid="{00000000-0005-0000-0000-000072000000}"/>
    <cellStyle name="Output" xfId="99" builtinId="21" customBuiltin="1"/>
    <cellStyle name="Percent 2" xfId="100" xr:uid="{00000000-0005-0000-0000-000074000000}"/>
    <cellStyle name="Procent 2" xfId="101" xr:uid="{00000000-0005-0000-0000-000075000000}"/>
    <cellStyle name="Resultat" xfId="102" xr:uid="{00000000-0005-0000-0000-000076000000}"/>
    <cellStyle name="rowfield" xfId="103" xr:uid="{00000000-0005-0000-0000-000077000000}"/>
    <cellStyle name="source" xfId="104" xr:uid="{00000000-0005-0000-0000-000078000000}"/>
    <cellStyle name="source 2" xfId="105" xr:uid="{00000000-0005-0000-0000-000079000000}"/>
    <cellStyle name="source 2 2" xfId="177" xr:uid="{2E3EE236-BAE0-4D37-B7AC-FD8E8033C4BD}"/>
    <cellStyle name="Standard_E00seit45" xfId="106" xr:uid="{00000000-0005-0000-0000-00007A000000}"/>
    <cellStyle name="Test" xfId="107" xr:uid="{00000000-0005-0000-0000-00007B000000}"/>
    <cellStyle name="Title" xfId="108" builtinId="15" customBuiltin="1"/>
    <cellStyle name="Title 2" xfId="109" xr:uid="{00000000-0005-0000-0000-00007D000000}"/>
    <cellStyle name="Titre colonne" xfId="110" xr:uid="{00000000-0005-0000-0000-00007E000000}"/>
    <cellStyle name="Titre colonnes" xfId="111" xr:uid="{00000000-0005-0000-0000-00007F000000}"/>
    <cellStyle name="Titre colonnes 2" xfId="112" xr:uid="{00000000-0005-0000-0000-000080000000}"/>
    <cellStyle name="Titre general" xfId="113" xr:uid="{00000000-0005-0000-0000-000081000000}"/>
    <cellStyle name="Titre général" xfId="114" xr:uid="{00000000-0005-0000-0000-000082000000}"/>
    <cellStyle name="Titre ligne" xfId="115" xr:uid="{00000000-0005-0000-0000-000083000000}"/>
    <cellStyle name="Titre ligne 2" xfId="116" xr:uid="{00000000-0005-0000-0000-000084000000}"/>
    <cellStyle name="Titre lignes" xfId="117" xr:uid="{00000000-0005-0000-0000-000085000000}"/>
    <cellStyle name="Titre lignes 2" xfId="118" xr:uid="{00000000-0005-0000-0000-000086000000}"/>
    <cellStyle name="Titre tableau" xfId="119" xr:uid="{00000000-0005-0000-0000-000087000000}"/>
    <cellStyle name="Total" xfId="120" builtinId="25" customBuiltin="1"/>
    <cellStyle name="Total 2" xfId="121" xr:uid="{00000000-0005-0000-0000-000089000000}"/>
    <cellStyle name="Total 3" xfId="122" xr:uid="{00000000-0005-0000-0000-00008A000000}"/>
    <cellStyle name="Total 3 2" xfId="178" xr:uid="{F6F3D051-B24D-41E9-BD66-FC8EDA0B4383}"/>
    <cellStyle name="Total 4" xfId="123" xr:uid="{00000000-0005-0000-0000-00008B000000}"/>
    <cellStyle name="Total intermediaire" xfId="124" xr:uid="{00000000-0005-0000-0000-00008C000000}"/>
    <cellStyle name="Total intermediaire 0" xfId="125" xr:uid="{00000000-0005-0000-0000-00008D000000}"/>
    <cellStyle name="Total intermediaire 1" xfId="126" xr:uid="{00000000-0005-0000-0000-00008E000000}"/>
    <cellStyle name="Total intermediaire 2" xfId="127" xr:uid="{00000000-0005-0000-0000-00008F000000}"/>
    <cellStyle name="Total intermediaire 3" xfId="128" xr:uid="{00000000-0005-0000-0000-000090000000}"/>
    <cellStyle name="Total intermediaire 4" xfId="129" xr:uid="{00000000-0005-0000-0000-000091000000}"/>
    <cellStyle name="Total intermediaire 5" xfId="130" xr:uid="{00000000-0005-0000-0000-000092000000}"/>
    <cellStyle name="Total tableau" xfId="131" xr:uid="{00000000-0005-0000-0000-000093000000}"/>
    <cellStyle name="Tusental 2" xfId="132" xr:uid="{00000000-0005-0000-0000-000094000000}"/>
    <cellStyle name="Virgül [0]_08-01" xfId="133" xr:uid="{00000000-0005-0000-0000-000095000000}"/>
    <cellStyle name="Virgül_08-01" xfId="134" xr:uid="{00000000-0005-0000-0000-000096000000}"/>
    <cellStyle name="Warning Text" xfId="135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AF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F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00FFFF"/>
      <rgbColor rgb="00993300"/>
      <rgbColor rgb="00993366"/>
      <rgbColor rgb="00333399"/>
      <rgbColor rgb="00333333"/>
    </indexedColors>
    <mruColors>
      <color rgb="FFCCFFCC"/>
      <color rgb="FF99FF99"/>
      <color rgb="FF99FFC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2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76E09B97-E1D8-42FF-93C3-368BDC2C5076}">
  <we:reference id="d6dd2127-69ce-4e3d-ae3c-aba4d9d49ee9" version="1.0.0.0" store="https://eceuropaeu.sharepoint.com/sites/AppCatalog" storeType="SPCatalog"/>
  <we:alternateReferences/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41"/>
  <dimension ref="B1:D60"/>
  <sheetViews>
    <sheetView tabSelected="1" zoomScale="85" zoomScaleNormal="85" workbookViewId="0">
      <selection activeCell="H22" sqref="H22"/>
    </sheetView>
  </sheetViews>
  <sheetFormatPr defaultRowHeight="12.75"/>
  <cols>
    <col min="1" max="1" width="0.85546875" style="88" customWidth="1"/>
    <col min="2" max="2" width="7.7109375" style="90" customWidth="1"/>
    <col min="3" max="3" width="2" style="91" customWidth="1"/>
    <col min="4" max="4" width="65.85546875" style="88" customWidth="1"/>
    <col min="5" max="16384" width="9.140625" style="88"/>
  </cols>
  <sheetData>
    <row r="1" spans="2:4" ht="20.100000000000001" customHeight="1">
      <c r="B1" s="1279" t="s">
        <v>89</v>
      </c>
      <c r="C1" s="1279"/>
      <c r="D1" s="1279"/>
    </row>
    <row r="2" spans="2:4" ht="20.100000000000001" customHeight="1">
      <c r="B2" s="1280" t="s">
        <v>90</v>
      </c>
      <c r="C2" s="1280"/>
      <c r="D2" s="1280"/>
    </row>
    <row r="3" spans="2:4" ht="20.100000000000001" customHeight="1">
      <c r="B3" s="1281" t="s">
        <v>98</v>
      </c>
      <c r="C3" s="1281"/>
      <c r="D3" s="1281"/>
    </row>
    <row r="4" spans="2:4" ht="20.100000000000001" customHeight="1">
      <c r="B4" s="1282" t="s">
        <v>92</v>
      </c>
      <c r="C4" s="1282"/>
      <c r="D4" s="1282"/>
    </row>
    <row r="5" spans="2:4" ht="20.100000000000001" customHeight="1">
      <c r="B5" s="89"/>
      <c r="C5" s="89"/>
      <c r="D5" s="89"/>
    </row>
    <row r="6" spans="2:4" ht="20.100000000000001" customHeight="1"/>
    <row r="7" spans="2:4" ht="20.100000000000001" customHeight="1">
      <c r="B7" s="1279" t="s">
        <v>99</v>
      </c>
      <c r="C7" s="1279"/>
      <c r="D7" s="1279"/>
    </row>
    <row r="8" spans="2:4" ht="20.100000000000001" customHeight="1">
      <c r="B8" s="1278">
        <v>2024</v>
      </c>
      <c r="C8" s="1278"/>
      <c r="D8" s="1278"/>
    </row>
    <row r="9" spans="2:4" ht="20.100000000000001" customHeight="1">
      <c r="B9" s="92"/>
      <c r="C9" s="92"/>
      <c r="D9" s="92"/>
    </row>
    <row r="10" spans="2:4" ht="20.100000000000001" customHeight="1">
      <c r="B10" s="1283" t="s">
        <v>100</v>
      </c>
      <c r="C10" s="1283"/>
      <c r="D10" s="1283"/>
    </row>
    <row r="11" spans="2:4" ht="20.100000000000001" customHeight="1">
      <c r="B11" s="93"/>
    </row>
    <row r="12" spans="2:4" ht="20.100000000000001" customHeight="1">
      <c r="B12" s="1277" t="s">
        <v>101</v>
      </c>
      <c r="C12" s="1277"/>
      <c r="D12" s="1277"/>
    </row>
    <row r="13" spans="2:4" customFormat="1" ht="20.100000000000001" customHeight="1">
      <c r="B13" s="1277" t="s">
        <v>91</v>
      </c>
      <c r="C13" s="1277"/>
      <c r="D13" s="1277"/>
    </row>
    <row r="14" spans="2:4" ht="20.100000000000001" customHeight="1">
      <c r="B14" s="93"/>
      <c r="D14"/>
    </row>
    <row r="15" spans="2:4" ht="20.100000000000001" customHeight="1">
      <c r="B15" s="93"/>
    </row>
    <row r="16" spans="2:4" customFormat="1" ht="15" customHeight="1">
      <c r="B16" s="94" t="s">
        <v>102</v>
      </c>
      <c r="C16" s="95"/>
      <c r="D16" s="404" t="s">
        <v>296</v>
      </c>
    </row>
    <row r="17" spans="2:4" customFormat="1" ht="15" customHeight="1">
      <c r="B17" s="94" t="s">
        <v>103</v>
      </c>
      <c r="C17" s="96"/>
      <c r="D17" s="404" t="s">
        <v>274</v>
      </c>
    </row>
    <row r="18" spans="2:4" customFormat="1" ht="15" customHeight="1">
      <c r="B18" s="94" t="s">
        <v>104</v>
      </c>
      <c r="C18" s="96"/>
      <c r="D18" s="404" t="s">
        <v>275</v>
      </c>
    </row>
    <row r="19" spans="2:4" customFormat="1" ht="15" customHeight="1">
      <c r="B19" s="94" t="s">
        <v>105</v>
      </c>
      <c r="C19" s="95"/>
      <c r="D19" s="405" t="s">
        <v>276</v>
      </c>
    </row>
    <row r="20" spans="2:4" ht="15" customHeight="1">
      <c r="B20" s="94" t="s">
        <v>106</v>
      </c>
      <c r="C20" s="95"/>
      <c r="D20" s="404" t="s">
        <v>277</v>
      </c>
    </row>
    <row r="21" spans="2:4" ht="15" customHeight="1">
      <c r="B21" s="94" t="s">
        <v>107</v>
      </c>
      <c r="C21" s="95"/>
      <c r="D21" s="404" t="s">
        <v>278</v>
      </c>
    </row>
    <row r="22" spans="2:4" customFormat="1" ht="15" customHeight="1">
      <c r="B22" s="94" t="s">
        <v>108</v>
      </c>
      <c r="C22" s="97"/>
      <c r="D22" s="404" t="s">
        <v>279</v>
      </c>
    </row>
    <row r="23" spans="2:4" ht="15" customHeight="1">
      <c r="B23" s="94" t="s">
        <v>109</v>
      </c>
      <c r="C23" s="97"/>
      <c r="D23" s="404" t="s">
        <v>282</v>
      </c>
    </row>
    <row r="24" spans="2:4" ht="15" customHeight="1">
      <c r="B24" s="94" t="s">
        <v>110</v>
      </c>
      <c r="C24" s="95"/>
      <c r="D24" s="404" t="s">
        <v>280</v>
      </c>
    </row>
    <row r="25" spans="2:4" ht="15" customHeight="1">
      <c r="B25" s="94" t="s">
        <v>111</v>
      </c>
      <c r="C25" s="95"/>
      <c r="D25" s="404" t="s">
        <v>281</v>
      </c>
    </row>
    <row r="26" spans="2:4" ht="15" customHeight="1">
      <c r="B26" s="94" t="s">
        <v>112</v>
      </c>
      <c r="C26" s="98"/>
      <c r="D26" s="405" t="s">
        <v>283</v>
      </c>
    </row>
    <row r="27" spans="2:4" ht="15" customHeight="1">
      <c r="B27" s="94" t="s">
        <v>113</v>
      </c>
      <c r="C27" s="98"/>
      <c r="D27" s="405" t="s">
        <v>284</v>
      </c>
    </row>
    <row r="28" spans="2:4" ht="15" customHeight="1">
      <c r="B28" s="94" t="s">
        <v>114</v>
      </c>
      <c r="C28" s="98"/>
      <c r="D28" s="405" t="s">
        <v>285</v>
      </c>
    </row>
    <row r="29" spans="2:4" ht="15" customHeight="1">
      <c r="B29" s="94" t="s">
        <v>115</v>
      </c>
      <c r="C29" s="97"/>
      <c r="D29" s="404" t="s">
        <v>286</v>
      </c>
    </row>
    <row r="30" spans="2:4" ht="15" customHeight="1">
      <c r="B30" s="94" t="s">
        <v>116</v>
      </c>
      <c r="C30" s="97"/>
      <c r="D30" s="404" t="s">
        <v>287</v>
      </c>
    </row>
    <row r="31" spans="2:4" ht="15" customHeight="1">
      <c r="B31" s="94" t="s">
        <v>117</v>
      </c>
      <c r="C31" s="95"/>
      <c r="D31" s="404" t="s">
        <v>288</v>
      </c>
    </row>
    <row r="32" spans="2:4" ht="15" customHeight="1">
      <c r="B32" s="94" t="s">
        <v>118</v>
      </c>
      <c r="C32" s="95"/>
      <c r="D32" s="404" t="s">
        <v>297</v>
      </c>
    </row>
    <row r="33" spans="2:4" ht="15" customHeight="1">
      <c r="B33" s="94" t="s">
        <v>119</v>
      </c>
      <c r="C33" s="95"/>
      <c r="D33" s="404" t="s">
        <v>289</v>
      </c>
    </row>
    <row r="34" spans="2:4">
      <c r="B34" s="93"/>
    </row>
    <row r="35" spans="2:4">
      <c r="B35" s="93"/>
    </row>
    <row r="36" spans="2:4">
      <c r="B36" s="93"/>
    </row>
    <row r="37" spans="2:4">
      <c r="B37" s="93"/>
    </row>
    <row r="38" spans="2:4">
      <c r="B38" s="93"/>
    </row>
    <row r="40" spans="2:4" ht="13.5">
      <c r="B40" s="99"/>
    </row>
    <row r="41" spans="2:4">
      <c r="B41" s="93"/>
    </row>
    <row r="42" spans="2:4">
      <c r="B42" s="93"/>
    </row>
    <row r="43" spans="2:4">
      <c r="B43" s="93"/>
    </row>
    <row r="50" spans="3:4">
      <c r="C50" s="100"/>
      <c r="D50" s="101"/>
    </row>
    <row r="57" spans="3:4" customFormat="1"/>
    <row r="60" spans="3:4">
      <c r="C60"/>
      <c r="D60"/>
    </row>
  </sheetData>
  <mergeCells count="9">
    <mergeCell ref="B12:D12"/>
    <mergeCell ref="B13:D13"/>
    <mergeCell ref="B8:D8"/>
    <mergeCell ref="B7:D7"/>
    <mergeCell ref="B1:D1"/>
    <mergeCell ref="B2:D2"/>
    <mergeCell ref="B3:D3"/>
    <mergeCell ref="B4:D4"/>
    <mergeCell ref="B10:D10"/>
  </mergeCells>
  <phoneticPr fontId="9" type="noConversion"/>
  <printOptions horizontalCentered="1"/>
  <pageMargins left="0.6692913385826772" right="0.27559055118110237" top="0.51181102362204722" bottom="0.27559055118110237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63"/>
  <dimension ref="A1:AN56"/>
  <sheetViews>
    <sheetView zoomScaleNormal="100" workbookViewId="0">
      <selection activeCell="AO9" sqref="AO9"/>
    </sheetView>
  </sheetViews>
  <sheetFormatPr defaultRowHeight="11.25"/>
  <cols>
    <col min="1" max="1" width="3.7109375" style="3" customWidth="1"/>
    <col min="2" max="4" width="5.7109375" style="3" customWidth="1"/>
    <col min="5" max="5" width="6.7109375" style="3" customWidth="1"/>
    <col min="6" max="20" width="5.7109375" style="3" customWidth="1"/>
    <col min="21" max="26" width="6" style="3" customWidth="1"/>
    <col min="27" max="27" width="7.140625" style="3" customWidth="1"/>
    <col min="28" max="28" width="6.7109375" style="3" customWidth="1"/>
    <col min="29" max="36" width="6" style="3" customWidth="1"/>
    <col min="37" max="37" width="6" style="934" customWidth="1"/>
    <col min="38" max="38" width="6.28515625" style="3" bestFit="1" customWidth="1"/>
    <col min="39" max="39" width="1.85546875" style="3" customWidth="1"/>
    <col min="40" max="40" width="8.140625" style="453" customWidth="1"/>
    <col min="41" max="16384" width="9.140625" style="3"/>
  </cols>
  <sheetData>
    <row r="1" spans="1:40" ht="14.25" customHeight="1">
      <c r="B1" s="1286"/>
      <c r="C1" s="1286"/>
      <c r="D1" s="26"/>
      <c r="E1" s="23"/>
      <c r="F1" s="23"/>
      <c r="G1" s="23"/>
      <c r="H1" s="23"/>
      <c r="I1" s="110"/>
      <c r="J1" s="110"/>
      <c r="K1" s="23"/>
      <c r="L1" s="23"/>
      <c r="M1" s="23"/>
      <c r="N1" s="23"/>
      <c r="O1" s="23"/>
      <c r="AL1" s="16" t="s">
        <v>102</v>
      </c>
    </row>
    <row r="2" spans="1:40" s="48" customFormat="1" ht="30" customHeight="1">
      <c r="B2" s="1287" t="s">
        <v>97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  <c r="AD2" s="1287"/>
      <c r="AE2" s="1287"/>
      <c r="AF2" s="1287"/>
      <c r="AG2" s="1287"/>
      <c r="AH2" s="1287"/>
      <c r="AI2" s="1287"/>
      <c r="AJ2" s="1287"/>
      <c r="AK2" s="1287"/>
      <c r="AL2" s="1287"/>
      <c r="AM2" s="71"/>
      <c r="AN2" s="453"/>
    </row>
    <row r="3" spans="1:40" ht="18" customHeight="1">
      <c r="B3" s="1288" t="s">
        <v>2</v>
      </c>
      <c r="C3" s="1288"/>
      <c r="D3" s="1288"/>
      <c r="E3" s="1288"/>
      <c r="F3" s="1288"/>
      <c r="G3" s="1288"/>
      <c r="H3" s="1288"/>
      <c r="I3" s="1288"/>
      <c r="J3" s="1288"/>
      <c r="K3" s="1288"/>
      <c r="L3" s="1288"/>
      <c r="M3" s="1288"/>
      <c r="N3" s="1288"/>
      <c r="O3" s="1288"/>
      <c r="P3" s="1288"/>
      <c r="Q3" s="1288"/>
      <c r="R3" s="1288"/>
      <c r="S3" s="1288"/>
      <c r="T3" s="1288"/>
      <c r="U3" s="1288"/>
      <c r="V3" s="1288"/>
      <c r="W3" s="1288"/>
      <c r="X3" s="1288"/>
      <c r="Y3" s="1288"/>
      <c r="Z3" s="1288"/>
      <c r="AA3" s="1288"/>
      <c r="AB3" s="1288"/>
      <c r="AC3" s="1288"/>
      <c r="AD3" s="1288"/>
      <c r="AE3" s="1288"/>
      <c r="AF3" s="1288"/>
      <c r="AG3" s="1288"/>
      <c r="AH3" s="1288"/>
      <c r="AI3" s="1288"/>
      <c r="AJ3" s="1288"/>
      <c r="AK3" s="1288"/>
      <c r="AL3" s="1288"/>
      <c r="AM3" s="72"/>
    </row>
    <row r="4" spans="1:40" ht="24.95" customHeight="1">
      <c r="B4"/>
      <c r="C4" s="87">
        <v>1970</v>
      </c>
      <c r="D4" s="87">
        <v>1980</v>
      </c>
      <c r="E4" s="45">
        <v>1990</v>
      </c>
      <c r="F4" s="46">
        <v>1991</v>
      </c>
      <c r="G4" s="46">
        <v>1992</v>
      </c>
      <c r="H4" s="46">
        <v>1993</v>
      </c>
      <c r="I4" s="46">
        <v>1994</v>
      </c>
      <c r="J4" s="46">
        <v>1995</v>
      </c>
      <c r="K4" s="46">
        <v>1996</v>
      </c>
      <c r="L4" s="46">
        <v>1997</v>
      </c>
      <c r="M4" s="46">
        <v>1998</v>
      </c>
      <c r="N4" s="46">
        <v>1999</v>
      </c>
      <c r="O4" s="46">
        <v>2000</v>
      </c>
      <c r="P4" s="46">
        <v>2001</v>
      </c>
      <c r="Q4" s="46">
        <v>2002</v>
      </c>
      <c r="R4" s="46">
        <v>2003</v>
      </c>
      <c r="S4" s="46">
        <v>2004</v>
      </c>
      <c r="T4" s="46">
        <v>2005</v>
      </c>
      <c r="U4" s="46">
        <v>2006</v>
      </c>
      <c r="V4" s="46">
        <v>2007</v>
      </c>
      <c r="W4" s="46">
        <v>2008</v>
      </c>
      <c r="X4" s="46">
        <v>2009</v>
      </c>
      <c r="Y4" s="46">
        <v>2010</v>
      </c>
      <c r="Z4" s="46">
        <v>2011</v>
      </c>
      <c r="AA4" s="46">
        <v>2012</v>
      </c>
      <c r="AB4" s="46">
        <v>2013</v>
      </c>
      <c r="AC4" s="46">
        <v>2014</v>
      </c>
      <c r="AD4" s="46">
        <v>2015</v>
      </c>
      <c r="AE4" s="189">
        <v>2016</v>
      </c>
      <c r="AF4" s="189">
        <v>2017</v>
      </c>
      <c r="AG4" s="46">
        <v>2018</v>
      </c>
      <c r="AH4" s="46">
        <v>2019</v>
      </c>
      <c r="AI4" s="46">
        <v>2020</v>
      </c>
      <c r="AJ4" s="46">
        <v>2021</v>
      </c>
      <c r="AK4" s="47">
        <v>2022</v>
      </c>
      <c r="AL4"/>
      <c r="AM4" s="6"/>
      <c r="AN4" s="332" t="s">
        <v>350</v>
      </c>
    </row>
    <row r="5" spans="1:40" ht="16.5" customHeight="1">
      <c r="A5" s="383"/>
      <c r="B5" s="345" t="s">
        <v>238</v>
      </c>
      <c r="C5" s="345"/>
      <c r="D5" s="345"/>
      <c r="E5" s="581">
        <v>339.47285080379072</v>
      </c>
      <c r="F5" s="581">
        <v>350.15814542670779</v>
      </c>
      <c r="G5" s="581">
        <v>358.93974071725631</v>
      </c>
      <c r="H5" s="581">
        <v>364.0311574567578</v>
      </c>
      <c r="I5" s="581">
        <v>369.75195847660137</v>
      </c>
      <c r="J5" s="581">
        <v>376.92426760911189</v>
      </c>
      <c r="K5" s="581">
        <v>384.44784771866733</v>
      </c>
      <c r="L5" s="581">
        <v>381.67487759444811</v>
      </c>
      <c r="M5" s="581">
        <v>391.51549700216367</v>
      </c>
      <c r="N5" s="581">
        <v>402.38067839633817</v>
      </c>
      <c r="O5" s="581">
        <v>412.18286392597031</v>
      </c>
      <c r="P5" s="581">
        <v>421.06748116441912</v>
      </c>
      <c r="Q5" s="581">
        <v>427.65003667152132</v>
      </c>
      <c r="R5" s="581">
        <v>431.61911897730005</v>
      </c>
      <c r="S5" s="581">
        <v>436.05970174155885</v>
      </c>
      <c r="T5" s="581">
        <v>443.49433553457607</v>
      </c>
      <c r="U5" s="581">
        <v>451.58172531765939</v>
      </c>
      <c r="V5" s="581">
        <v>460.77674885218516</v>
      </c>
      <c r="W5" s="581">
        <v>468.89853298058739</v>
      </c>
      <c r="X5" s="581">
        <v>472.97503035789993</v>
      </c>
      <c r="Y5" s="581">
        <v>480.30250466592435</v>
      </c>
      <c r="Z5" s="581">
        <v>486.34094619621419</v>
      </c>
      <c r="AA5" s="581">
        <v>489.57387171869732</v>
      </c>
      <c r="AB5" s="581">
        <v>500.59433184889298</v>
      </c>
      <c r="AC5" s="581">
        <v>505.59864054018993</v>
      </c>
      <c r="AD5" s="782">
        <v>507.30700162137009</v>
      </c>
      <c r="AE5" s="782">
        <v>519.32512376204011</v>
      </c>
      <c r="AF5" s="782">
        <v>526.37222284376776</v>
      </c>
      <c r="AG5" s="782">
        <v>538.49670936117923</v>
      </c>
      <c r="AH5" s="782">
        <v>547.37167347585751</v>
      </c>
      <c r="AI5" s="782">
        <v>553.78331332013988</v>
      </c>
      <c r="AJ5" s="782">
        <v>560.16814440567657</v>
      </c>
      <c r="AK5" s="782">
        <v>562.91938932406595</v>
      </c>
      <c r="AL5" s="345" t="s">
        <v>238</v>
      </c>
      <c r="AM5" s="386"/>
      <c r="AN5" s="371">
        <v>0.49114626489665625</v>
      </c>
    </row>
    <row r="6" spans="1:40" ht="12.75" customHeight="1">
      <c r="B6" s="582" t="s">
        <v>45</v>
      </c>
      <c r="C6" s="583">
        <v>213.41083317859889</v>
      </c>
      <c r="D6" s="583">
        <v>320.24913584337367</v>
      </c>
      <c r="E6" s="983">
        <v>386.90394238495645</v>
      </c>
      <c r="F6" s="983">
        <v>396.12863583974331</v>
      </c>
      <c r="G6" s="983">
        <v>399.37153361946514</v>
      </c>
      <c r="H6" s="983">
        <v>406.90527156174699</v>
      </c>
      <c r="I6" s="983">
        <v>415.57368812468081</v>
      </c>
      <c r="J6" s="983">
        <v>421.27380460723492</v>
      </c>
      <c r="K6" s="983">
        <v>426.63752014950308</v>
      </c>
      <c r="L6" s="983">
        <v>433.17166823779291</v>
      </c>
      <c r="M6" s="983">
        <v>439.79920405351533</v>
      </c>
      <c r="N6" s="983">
        <v>447.69625410864353</v>
      </c>
      <c r="O6" s="983">
        <v>455.79375439790311</v>
      </c>
      <c r="P6" s="983">
        <v>459.76008089449522</v>
      </c>
      <c r="Q6" s="983">
        <v>462.25107292075859</v>
      </c>
      <c r="R6" s="983">
        <v>463.71727347324622</v>
      </c>
      <c r="S6" s="983">
        <v>466.59669311799553</v>
      </c>
      <c r="T6" s="983">
        <v>467.9689121753924</v>
      </c>
      <c r="U6" s="983">
        <v>470.11989379976484</v>
      </c>
      <c r="V6" s="983">
        <v>473.33490455397111</v>
      </c>
      <c r="W6" s="983">
        <v>477.16561208509557</v>
      </c>
      <c r="X6" s="983">
        <v>479.06323902285123</v>
      </c>
      <c r="Y6" s="983">
        <v>479.60854634067584</v>
      </c>
      <c r="Z6" s="983">
        <v>488.17751784980874</v>
      </c>
      <c r="AA6" s="983">
        <v>488.77830025460645</v>
      </c>
      <c r="AB6" s="983">
        <v>492.3690885479088</v>
      </c>
      <c r="AC6" s="983">
        <v>496.97907161469942</v>
      </c>
      <c r="AD6" s="584">
        <v>500.57470009372202</v>
      </c>
      <c r="AE6" s="584">
        <v>504.88282531812121</v>
      </c>
      <c r="AF6" s="584">
        <v>508.74182760690826</v>
      </c>
      <c r="AG6" s="584">
        <v>510.53339442761171</v>
      </c>
      <c r="AH6" s="584">
        <v>510.47121963750732</v>
      </c>
      <c r="AI6" s="584">
        <v>510.39436796951424</v>
      </c>
      <c r="AJ6" s="584">
        <v>510.08790696685543</v>
      </c>
      <c r="AK6" s="584">
        <v>507.13024393849645</v>
      </c>
      <c r="AL6" s="585" t="s">
        <v>45</v>
      </c>
      <c r="AM6" s="10"/>
      <c r="AN6" s="976">
        <v>-0.57983398311600354</v>
      </c>
    </row>
    <row r="7" spans="1:40" ht="12.75" customHeight="1">
      <c r="B7" s="43" t="s">
        <v>28</v>
      </c>
      <c r="C7" s="586">
        <v>18.790628127244968</v>
      </c>
      <c r="D7" s="586">
        <v>92.377171032501892</v>
      </c>
      <c r="E7" s="587">
        <v>151.96206277599646</v>
      </c>
      <c r="F7" s="587">
        <v>158.10662948426872</v>
      </c>
      <c r="G7" s="587">
        <v>166.33150116861049</v>
      </c>
      <c r="H7" s="587">
        <v>177.95427602404465</v>
      </c>
      <c r="I7" s="587">
        <v>188.41749631975063</v>
      </c>
      <c r="J7" s="587">
        <v>196.49695904989017</v>
      </c>
      <c r="K7" s="587">
        <v>204.65604819411155</v>
      </c>
      <c r="L7" s="587">
        <v>208.9175680896272</v>
      </c>
      <c r="M7" s="587">
        <v>219.83820656444283</v>
      </c>
      <c r="N7" s="587">
        <v>232.99095237188308</v>
      </c>
      <c r="O7" s="587">
        <v>244.51902872678315</v>
      </c>
      <c r="P7" s="587">
        <v>265.05897012447235</v>
      </c>
      <c r="Q7" s="587">
        <v>278.5341526865779</v>
      </c>
      <c r="R7" s="587">
        <v>298.16089998033607</v>
      </c>
      <c r="S7" s="587">
        <v>317.14597754355719</v>
      </c>
      <c r="T7" s="587">
        <v>332.67382068587307</v>
      </c>
      <c r="U7" s="587">
        <v>233.43699113906013</v>
      </c>
      <c r="V7" s="587">
        <v>276.87103568208676</v>
      </c>
      <c r="W7" s="587">
        <v>316.88205317204665</v>
      </c>
      <c r="X7" s="587">
        <v>337.11652994718509</v>
      </c>
      <c r="Y7" s="587">
        <v>353.1344550210186</v>
      </c>
      <c r="Z7" s="587">
        <v>367.80641618162622</v>
      </c>
      <c r="AA7" s="587">
        <v>385.33598222649795</v>
      </c>
      <c r="AB7" s="587">
        <v>401.65121906483</v>
      </c>
      <c r="AC7" s="880">
        <v>418.46433547092147</v>
      </c>
      <c r="AD7" s="880">
        <v>442.00901229335409</v>
      </c>
      <c r="AE7" s="880">
        <v>442.64015942867917</v>
      </c>
      <c r="AF7" s="880">
        <v>392.99314017492679</v>
      </c>
      <c r="AG7" s="880">
        <v>396.18707838627751</v>
      </c>
      <c r="AH7" s="880">
        <v>407.09966594173727</v>
      </c>
      <c r="AI7" s="880">
        <v>414.47887009531343</v>
      </c>
      <c r="AJ7" s="880">
        <v>413.87484633942381</v>
      </c>
      <c r="AK7" s="986">
        <v>449.27222223083857</v>
      </c>
      <c r="AL7" s="43" t="s">
        <v>28</v>
      </c>
      <c r="AM7" s="10"/>
      <c r="AN7" s="977">
        <v>8.5526762992464995</v>
      </c>
    </row>
    <row r="8" spans="1:40" ht="12.75" customHeight="1">
      <c r="A8" s="8"/>
      <c r="B8" s="585" t="s">
        <v>30</v>
      </c>
      <c r="C8" s="588">
        <v>69.829077786228638</v>
      </c>
      <c r="D8" s="588">
        <v>172.93781612765611</v>
      </c>
      <c r="E8" s="584">
        <v>233.87597411526707</v>
      </c>
      <c r="F8" s="584">
        <v>240.48372914240011</v>
      </c>
      <c r="G8" s="584">
        <v>249.86206742266407</v>
      </c>
      <c r="H8" s="584">
        <v>274.15709657032556</v>
      </c>
      <c r="I8" s="584">
        <v>282.96433201805331</v>
      </c>
      <c r="J8" s="584">
        <v>294.85656131604566</v>
      </c>
      <c r="K8" s="584">
        <v>309.67985002042366</v>
      </c>
      <c r="L8" s="584">
        <v>329.30380008010388</v>
      </c>
      <c r="M8" s="584">
        <v>339.46449533952705</v>
      </c>
      <c r="N8" s="584">
        <v>334.66746473909859</v>
      </c>
      <c r="O8" s="584">
        <v>336.08883166551453</v>
      </c>
      <c r="P8" s="584">
        <v>346.01784381456974</v>
      </c>
      <c r="Q8" s="584">
        <v>357.81345948437939</v>
      </c>
      <c r="R8" s="584">
        <v>363.500330101565</v>
      </c>
      <c r="S8" s="584">
        <v>374.11523156275877</v>
      </c>
      <c r="T8" s="584">
        <v>387.21359461566141</v>
      </c>
      <c r="U8" s="584">
        <v>400.6745311911676</v>
      </c>
      <c r="V8" s="584">
        <v>413.79738736367904</v>
      </c>
      <c r="W8" s="584">
        <v>424.27221053804789</v>
      </c>
      <c r="X8" s="584">
        <v>423.91652603189726</v>
      </c>
      <c r="Y8" s="584">
        <v>428.75439448194101</v>
      </c>
      <c r="Z8" s="584">
        <v>436.12069740977176</v>
      </c>
      <c r="AA8" s="584">
        <v>447.50323907332785</v>
      </c>
      <c r="AB8" s="584">
        <v>449.86648648612663</v>
      </c>
      <c r="AC8" s="584">
        <v>458.6505856034313</v>
      </c>
      <c r="AD8" s="584">
        <v>484.68752093431743</v>
      </c>
      <c r="AE8" s="584">
        <v>501.73913536670437</v>
      </c>
      <c r="AF8" s="584">
        <v>521.97863253300761</v>
      </c>
      <c r="AG8" s="584">
        <v>539.72027643711613</v>
      </c>
      <c r="AH8" s="584">
        <v>554.05169227166903</v>
      </c>
      <c r="AI8" s="584">
        <v>576.4030042965893</v>
      </c>
      <c r="AJ8" s="881">
        <v>578.957842982599</v>
      </c>
      <c r="AK8" s="879">
        <v>582.39825540989091</v>
      </c>
      <c r="AL8" s="585" t="s">
        <v>30</v>
      </c>
      <c r="AM8" s="10"/>
      <c r="AN8" s="978">
        <v>0.59424230433913294</v>
      </c>
    </row>
    <row r="9" spans="1:40" ht="12.75" customHeight="1">
      <c r="A9" s="8"/>
      <c r="B9" s="43" t="s">
        <v>41</v>
      </c>
      <c r="C9" s="586">
        <v>217.52422636618849</v>
      </c>
      <c r="D9" s="586">
        <v>271.27302576176493</v>
      </c>
      <c r="E9" s="587">
        <v>308.94968958328519</v>
      </c>
      <c r="F9" s="587">
        <v>308.78750344334873</v>
      </c>
      <c r="G9" s="587">
        <v>309.62604046547381</v>
      </c>
      <c r="H9" s="587">
        <v>311.3037226732186</v>
      </c>
      <c r="I9" s="587">
        <v>308.91068113728545</v>
      </c>
      <c r="J9" s="587">
        <v>319.74830828331301</v>
      </c>
      <c r="K9" s="587">
        <v>329.63300747034998</v>
      </c>
      <c r="L9" s="587">
        <v>336.76017873938122</v>
      </c>
      <c r="M9" s="587">
        <v>341.98187021661676</v>
      </c>
      <c r="N9" s="587">
        <v>345.82496876184325</v>
      </c>
      <c r="O9" s="587">
        <v>346.60432228148744</v>
      </c>
      <c r="P9" s="587">
        <v>348.82777849597846</v>
      </c>
      <c r="Q9" s="587">
        <v>350.75462890639875</v>
      </c>
      <c r="R9" s="587">
        <v>351.01433218962359</v>
      </c>
      <c r="S9" s="587">
        <v>354.03393388593162</v>
      </c>
      <c r="T9" s="587">
        <v>361.9892844883766</v>
      </c>
      <c r="U9" s="587">
        <v>370.84300517487884</v>
      </c>
      <c r="V9" s="587">
        <v>377.75236490947151</v>
      </c>
      <c r="W9" s="587">
        <v>380.85977721656241</v>
      </c>
      <c r="X9" s="587">
        <v>383.09347253655011</v>
      </c>
      <c r="Y9" s="587">
        <v>389.10623044735235</v>
      </c>
      <c r="Z9" s="587">
        <v>393.84010367500065</v>
      </c>
      <c r="AA9" s="587">
        <v>399.29868625937684</v>
      </c>
      <c r="AB9" s="587">
        <v>404.82066236793031</v>
      </c>
      <c r="AC9" s="880">
        <v>409.7745204484678</v>
      </c>
      <c r="AD9" s="880">
        <v>418.90973430115474</v>
      </c>
      <c r="AE9" s="880">
        <v>428.88033942571008</v>
      </c>
      <c r="AF9" s="880">
        <v>437.63515815947932</v>
      </c>
      <c r="AG9" s="880">
        <v>446.85597737957841</v>
      </c>
      <c r="AH9" s="880">
        <v>455.40939928346728</v>
      </c>
      <c r="AI9" s="880">
        <v>466.36832421667987</v>
      </c>
      <c r="AJ9" s="880">
        <v>474.60474476540071</v>
      </c>
      <c r="AK9" s="880">
        <v>472.14551868354363</v>
      </c>
      <c r="AL9" s="43" t="s">
        <v>41</v>
      </c>
      <c r="AM9" s="10"/>
      <c r="AN9" s="979">
        <v>-0.51816297855864946</v>
      </c>
    </row>
    <row r="10" spans="1:40" ht="12.75" customHeight="1">
      <c r="A10" s="8"/>
      <c r="B10" s="585" t="s">
        <v>46</v>
      </c>
      <c r="C10" s="588">
        <v>193.50812395552978</v>
      </c>
      <c r="D10" s="588">
        <v>329.98015625245148</v>
      </c>
      <c r="E10" s="584">
        <v>461.07225228641846</v>
      </c>
      <c r="F10" s="584">
        <v>472.71511807899697</v>
      </c>
      <c r="G10" s="584">
        <v>480.29857054490844</v>
      </c>
      <c r="H10" s="584">
        <v>481.96440995979583</v>
      </c>
      <c r="I10" s="584">
        <v>489.55434029204548</v>
      </c>
      <c r="J10" s="584">
        <v>494.99731102755908</v>
      </c>
      <c r="K10" s="584">
        <v>500.47719751614397</v>
      </c>
      <c r="L10" s="584">
        <v>449.9856984220761</v>
      </c>
      <c r="M10" s="584">
        <v>457.76349652719546</v>
      </c>
      <c r="N10" s="584">
        <v>467.6868401683351</v>
      </c>
      <c r="O10" s="584">
        <v>474.82561901026918</v>
      </c>
      <c r="P10" s="584">
        <v>477.77985645347354</v>
      </c>
      <c r="Q10" s="584">
        <v>481.25210512465486</v>
      </c>
      <c r="R10" s="584">
        <v>484.87424906252051</v>
      </c>
      <c r="S10" s="584">
        <v>487.0189517686054</v>
      </c>
      <c r="T10" s="584">
        <v>493.21311126016587</v>
      </c>
      <c r="U10" s="584">
        <v>498.32651209004598</v>
      </c>
      <c r="V10" s="584">
        <v>500.90826398169531</v>
      </c>
      <c r="W10" s="584">
        <v>503.90224154047473</v>
      </c>
      <c r="X10" s="584">
        <v>510.22586088303166</v>
      </c>
      <c r="Y10" s="584">
        <v>527.30583537085465</v>
      </c>
      <c r="Z10" s="881">
        <v>534.40958869832275</v>
      </c>
      <c r="AA10" s="584">
        <v>539.35642785421328</v>
      </c>
      <c r="AB10" s="584">
        <v>542.92902576375332</v>
      </c>
      <c r="AC10" s="584">
        <v>546.85156275121994</v>
      </c>
      <c r="AD10" s="584">
        <v>548.47124850217244</v>
      </c>
      <c r="AE10" s="584">
        <v>555.04898817283743</v>
      </c>
      <c r="AF10" s="584">
        <v>561.33922323331535</v>
      </c>
      <c r="AG10" s="584">
        <v>567.2877674713684</v>
      </c>
      <c r="AH10" s="584">
        <v>573.73889656403503</v>
      </c>
      <c r="AI10" s="584">
        <v>580.22447252770553</v>
      </c>
      <c r="AJ10" s="584">
        <v>583.16380561154415</v>
      </c>
      <c r="AK10" s="584">
        <v>578.04295447620223</v>
      </c>
      <c r="AL10" s="585" t="s">
        <v>46</v>
      </c>
      <c r="AM10" s="10"/>
      <c r="AN10" s="978">
        <v>-0.87811539160456675</v>
      </c>
    </row>
    <row r="11" spans="1:40" ht="12.75" customHeight="1">
      <c r="A11" s="8"/>
      <c r="B11" s="43" t="s">
        <v>31</v>
      </c>
      <c r="C11" s="586">
        <v>21.921635997080038</v>
      </c>
      <c r="D11" s="586">
        <v>85.680726626533897</v>
      </c>
      <c r="E11" s="587">
        <v>153.72358713033782</v>
      </c>
      <c r="F11" s="587">
        <v>167.8588287955711</v>
      </c>
      <c r="G11" s="587">
        <v>187.91731373523376</v>
      </c>
      <c r="H11" s="587">
        <v>214.91896825353837</v>
      </c>
      <c r="I11" s="587">
        <v>233.283497056437</v>
      </c>
      <c r="J11" s="587">
        <v>269.04725819398368</v>
      </c>
      <c r="K11" s="587">
        <v>289.18858944122172</v>
      </c>
      <c r="L11" s="587">
        <v>307.00307377784668</v>
      </c>
      <c r="M11" s="587">
        <v>326.9590360467418</v>
      </c>
      <c r="N11" s="587">
        <v>327.35057983942903</v>
      </c>
      <c r="O11" s="587">
        <v>333.08920673215005</v>
      </c>
      <c r="P11" s="587">
        <v>294.39613736077081</v>
      </c>
      <c r="Q11" s="587">
        <v>291.37791868759956</v>
      </c>
      <c r="R11" s="587">
        <v>317.65782250686186</v>
      </c>
      <c r="S11" s="587">
        <v>346.76380763145306</v>
      </c>
      <c r="T11" s="587">
        <v>365.57340638187605</v>
      </c>
      <c r="U11" s="587">
        <v>412.54281714472938</v>
      </c>
      <c r="V11" s="587">
        <v>391.32572248289046</v>
      </c>
      <c r="W11" s="587">
        <v>413.12680611496256</v>
      </c>
      <c r="X11" s="587">
        <v>409.28830186981077</v>
      </c>
      <c r="Y11" s="587">
        <v>415.67017132199209</v>
      </c>
      <c r="Z11" s="587">
        <v>433.13661083430105</v>
      </c>
      <c r="AA11" s="587">
        <v>456.07624449504385</v>
      </c>
      <c r="AB11" s="587">
        <v>477.69868044161092</v>
      </c>
      <c r="AC11" s="880">
        <v>496.5890164046636</v>
      </c>
      <c r="AD11" s="880">
        <v>514.15257792124896</v>
      </c>
      <c r="AE11" s="877">
        <v>534.45750531112344</v>
      </c>
      <c r="AF11" s="880">
        <v>550.31903530576528</v>
      </c>
      <c r="AG11" s="880">
        <v>563.44560015700245</v>
      </c>
      <c r="AH11" s="880">
        <v>598.14925175473456</v>
      </c>
      <c r="AI11" s="880">
        <v>608.00575609668078</v>
      </c>
      <c r="AJ11" s="880">
        <v>620.16705261166123</v>
      </c>
      <c r="AK11" s="880">
        <v>621.79072307750869</v>
      </c>
      <c r="AL11" s="43" t="s">
        <v>31</v>
      </c>
      <c r="AM11" s="10"/>
      <c r="AN11" s="979">
        <v>0.26181179071184602</v>
      </c>
    </row>
    <row r="12" spans="1:40" ht="12.75" customHeight="1">
      <c r="A12" s="8"/>
      <c r="B12" s="585" t="s">
        <v>49</v>
      </c>
      <c r="C12" s="588">
        <v>132.42427302100162</v>
      </c>
      <c r="D12" s="588">
        <v>215.01806105802845</v>
      </c>
      <c r="E12" s="584">
        <v>227.60302041166415</v>
      </c>
      <c r="F12" s="584">
        <v>237.33555988286938</v>
      </c>
      <c r="G12" s="584">
        <v>242.11828035615278</v>
      </c>
      <c r="H12" s="584">
        <v>250.38583326309728</v>
      </c>
      <c r="I12" s="584">
        <v>262.93710531165493</v>
      </c>
      <c r="J12" s="584">
        <v>275.81548950087915</v>
      </c>
      <c r="K12" s="584">
        <v>291.82356554321461</v>
      </c>
      <c r="L12" s="584">
        <v>309.95108553506191</v>
      </c>
      <c r="M12" s="584">
        <v>323.7267035476363</v>
      </c>
      <c r="N12" s="584">
        <v>339.45703118278573</v>
      </c>
      <c r="O12" s="584">
        <v>347.75957835337925</v>
      </c>
      <c r="P12" s="584">
        <v>359.32258413591603</v>
      </c>
      <c r="Q12" s="584">
        <v>369.85099860223681</v>
      </c>
      <c r="R12" s="584">
        <v>379.00681856936376</v>
      </c>
      <c r="S12" s="584">
        <v>390.0060607947326</v>
      </c>
      <c r="T12" s="584">
        <v>400.18597219304604</v>
      </c>
      <c r="U12" s="584">
        <v>415.22949376030789</v>
      </c>
      <c r="V12" s="584">
        <v>428.36600852669443</v>
      </c>
      <c r="W12" s="584">
        <v>432.02718143056393</v>
      </c>
      <c r="X12" s="584">
        <v>424.38587884015317</v>
      </c>
      <c r="Y12" s="584">
        <v>415.54243044174638</v>
      </c>
      <c r="Z12" s="584">
        <v>416.82705832082411</v>
      </c>
      <c r="AA12" s="584">
        <v>413.62720425426039</v>
      </c>
      <c r="AB12" s="584">
        <v>427.31635248386539</v>
      </c>
      <c r="AC12" s="584">
        <v>431.48160381321554</v>
      </c>
      <c r="AD12" s="584">
        <v>435.89617725207489</v>
      </c>
      <c r="AE12" s="584">
        <v>439.49658712523637</v>
      </c>
      <c r="AF12" s="584">
        <v>443.52301014079188</v>
      </c>
      <c r="AG12" s="584">
        <v>445.1087222485034</v>
      </c>
      <c r="AH12" s="584">
        <v>453.86992289160514</v>
      </c>
      <c r="AI12" s="584">
        <v>457.80896322331512</v>
      </c>
      <c r="AJ12" s="584">
        <v>456.47394745142498</v>
      </c>
      <c r="AK12" s="584">
        <v>442.98141194124139</v>
      </c>
      <c r="AL12" s="585" t="s">
        <v>49</v>
      </c>
      <c r="AM12" s="10"/>
      <c r="AN12" s="978">
        <v>-2.9558172126831721</v>
      </c>
    </row>
    <row r="13" spans="1:40" ht="12.75" customHeight="1">
      <c r="A13" s="8"/>
      <c r="B13" s="43" t="s">
        <v>42</v>
      </c>
      <c r="C13" s="586">
        <v>25.768367370811774</v>
      </c>
      <c r="D13" s="586">
        <v>88.92119083467739</v>
      </c>
      <c r="E13" s="587">
        <v>168.94531335557548</v>
      </c>
      <c r="F13" s="587">
        <v>171.45327029197861</v>
      </c>
      <c r="G13" s="587">
        <v>175.35302126611955</v>
      </c>
      <c r="H13" s="587">
        <v>186.70811109116593</v>
      </c>
      <c r="I13" s="587">
        <v>196.8570914143383</v>
      </c>
      <c r="J13" s="587">
        <v>208.22552598464046</v>
      </c>
      <c r="K13" s="587">
        <v>220.09241088778745</v>
      </c>
      <c r="L13" s="587">
        <v>233.80160381549109</v>
      </c>
      <c r="M13" s="587">
        <v>248.95178236076549</v>
      </c>
      <c r="N13" s="587">
        <v>271.80608608668433</v>
      </c>
      <c r="O13" s="587">
        <v>294.85679618168678</v>
      </c>
      <c r="P13" s="587">
        <v>314.43955212736199</v>
      </c>
      <c r="Q13" s="587">
        <v>334.01848884687018</v>
      </c>
      <c r="R13" s="587">
        <v>350.95242217150076</v>
      </c>
      <c r="S13" s="587">
        <v>371.3348839990694</v>
      </c>
      <c r="T13" s="587">
        <v>391.02590198602127</v>
      </c>
      <c r="U13" s="587">
        <v>411.65392413633617</v>
      </c>
      <c r="V13" s="587">
        <v>433.82671829701229</v>
      </c>
      <c r="W13" s="587">
        <v>452.82194408253645</v>
      </c>
      <c r="X13" s="587">
        <v>461.53670437021646</v>
      </c>
      <c r="Y13" s="587">
        <v>469.00019346616563</v>
      </c>
      <c r="Z13" s="587">
        <v>469.36680832363527</v>
      </c>
      <c r="AA13" s="587">
        <v>469.623573707368</v>
      </c>
      <c r="AB13" s="587">
        <v>468.95749142453047</v>
      </c>
      <c r="AC13" s="880">
        <v>470.70036170505517</v>
      </c>
      <c r="AD13" s="880">
        <v>473.64051904773743</v>
      </c>
      <c r="AE13" s="880">
        <v>479.19423435296892</v>
      </c>
      <c r="AF13" s="880">
        <v>487.46369690811002</v>
      </c>
      <c r="AG13" s="880">
        <v>492.5773914716998</v>
      </c>
      <c r="AH13" s="880">
        <v>504.40996532651531</v>
      </c>
      <c r="AI13" s="880">
        <v>514.31456763375684</v>
      </c>
      <c r="AJ13" s="880">
        <v>535.78478021817273</v>
      </c>
      <c r="AK13" s="875">
        <v>549.83886086993425</v>
      </c>
      <c r="AL13" s="43" t="s">
        <v>42</v>
      </c>
      <c r="AM13" s="10"/>
      <c r="AN13" s="979">
        <v>2.62308321748867</v>
      </c>
    </row>
    <row r="14" spans="1:40" ht="12.75" customHeight="1">
      <c r="A14" s="8"/>
      <c r="B14" s="585" t="s">
        <v>47</v>
      </c>
      <c r="C14" s="588">
        <v>69.856009667272716</v>
      </c>
      <c r="D14" s="588">
        <v>200.77772993081848</v>
      </c>
      <c r="E14" s="584">
        <v>308.57290702588551</v>
      </c>
      <c r="F14" s="584">
        <v>321.43503238322774</v>
      </c>
      <c r="G14" s="584">
        <v>334.82307022345873</v>
      </c>
      <c r="H14" s="584">
        <v>342.46569653148828</v>
      </c>
      <c r="I14" s="584">
        <v>349.07757650007244</v>
      </c>
      <c r="J14" s="584">
        <v>360.4342560192527</v>
      </c>
      <c r="K14" s="584">
        <v>373.27376359497896</v>
      </c>
      <c r="L14" s="584">
        <v>385.91327393853811</v>
      </c>
      <c r="M14" s="584">
        <v>403.2391216834925</v>
      </c>
      <c r="N14" s="584">
        <v>416.29160452008841</v>
      </c>
      <c r="O14" s="584">
        <v>429.09138436482283</v>
      </c>
      <c r="P14" s="584">
        <v>442.32379758704212</v>
      </c>
      <c r="Q14" s="584">
        <v>447.85083082706791</v>
      </c>
      <c r="R14" s="584">
        <v>439.23477342978782</v>
      </c>
      <c r="S14" s="584">
        <v>451.35267560041689</v>
      </c>
      <c r="T14" s="584">
        <v>460.13156882107467</v>
      </c>
      <c r="U14" s="584">
        <v>466.87241119538544</v>
      </c>
      <c r="V14" s="584">
        <v>476.4764515330649</v>
      </c>
      <c r="W14" s="584">
        <v>478.92976172008593</v>
      </c>
      <c r="X14" s="584">
        <v>472.89920138093936</v>
      </c>
      <c r="Y14" s="584">
        <v>474.58316203162423</v>
      </c>
      <c r="Z14" s="584">
        <v>475.81903959225787</v>
      </c>
      <c r="AA14" s="584">
        <v>476.10812300748006</v>
      </c>
      <c r="AB14" s="584">
        <v>473.53168574119661</v>
      </c>
      <c r="AC14" s="584">
        <v>474.26734782123361</v>
      </c>
      <c r="AD14" s="584">
        <v>481.3846111740632</v>
      </c>
      <c r="AE14" s="584">
        <v>515.92420946137747</v>
      </c>
      <c r="AF14" s="584">
        <v>503.66873548105877</v>
      </c>
      <c r="AG14" s="584">
        <v>539.10896847821311</v>
      </c>
      <c r="AH14" s="584">
        <v>545.85166160482913</v>
      </c>
      <c r="AI14" s="584">
        <v>549.26294911705907</v>
      </c>
      <c r="AJ14" s="584">
        <v>554.33856838544511</v>
      </c>
      <c r="AK14" s="584">
        <v>553.29683393663197</v>
      </c>
      <c r="AL14" s="585" t="s">
        <v>47</v>
      </c>
      <c r="AM14" s="10"/>
      <c r="AN14" s="978">
        <v>-0.18792386245959847</v>
      </c>
    </row>
    <row r="15" spans="1:40" ht="12.75" customHeight="1">
      <c r="A15" s="8"/>
      <c r="B15" s="43" t="s">
        <v>48</v>
      </c>
      <c r="C15" s="586">
        <v>233.25908376537555</v>
      </c>
      <c r="D15" s="586">
        <v>353.51627461218249</v>
      </c>
      <c r="E15" s="587">
        <v>464.24361972546325</v>
      </c>
      <c r="F15" s="452">
        <v>465.9963046403787</v>
      </c>
      <c r="G15" s="587">
        <v>468.63557166602573</v>
      </c>
      <c r="H15" s="587">
        <v>468.32930317107105</v>
      </c>
      <c r="I15" s="587">
        <v>468.04108475578215</v>
      </c>
      <c r="J15" s="587">
        <v>468.26262434058953</v>
      </c>
      <c r="K15" s="587">
        <v>469.09285621266292</v>
      </c>
      <c r="L15" s="587">
        <v>470.53267008909205</v>
      </c>
      <c r="M15" s="587">
        <v>475.86532736760722</v>
      </c>
      <c r="N15" s="587">
        <v>483.47765073072395</v>
      </c>
      <c r="O15" s="587">
        <v>488.81820007325433</v>
      </c>
      <c r="P15" s="587">
        <v>493.78686219837459</v>
      </c>
      <c r="Q15" s="587">
        <v>494.48305129787087</v>
      </c>
      <c r="R15" s="587">
        <v>490.95547870881705</v>
      </c>
      <c r="S15" s="587">
        <v>486.47200613895779</v>
      </c>
      <c r="T15" s="587">
        <v>482.32150952634788</v>
      </c>
      <c r="U15" s="587">
        <v>487.11245718737183</v>
      </c>
      <c r="V15" s="587">
        <v>491.23978925306096</v>
      </c>
      <c r="W15" s="587">
        <v>483.43390433469489</v>
      </c>
      <c r="X15" s="587">
        <v>485.53287116617093</v>
      </c>
      <c r="Y15" s="587">
        <v>487.19026033153227</v>
      </c>
      <c r="Z15" s="587">
        <v>486.45017800531622</v>
      </c>
      <c r="AA15" s="587">
        <v>489.81445983138804</v>
      </c>
      <c r="AB15" s="452">
        <v>546.34163961600814</v>
      </c>
      <c r="AC15" s="876">
        <v>551.44299601585385</v>
      </c>
      <c r="AD15" s="880">
        <v>557.93815609983744</v>
      </c>
      <c r="AE15" s="880">
        <v>563.89132998061245</v>
      </c>
      <c r="AF15" s="880">
        <v>568.69775328534104</v>
      </c>
      <c r="AG15" s="883">
        <v>569.07785501710714</v>
      </c>
      <c r="AH15" s="883">
        <v>570.72333220083544</v>
      </c>
      <c r="AI15" s="883">
        <v>568.57123144170737</v>
      </c>
      <c r="AJ15" s="883">
        <v>571.88092130877385</v>
      </c>
      <c r="AK15" s="883">
        <v>569.96912427632424</v>
      </c>
      <c r="AL15" s="43" t="s">
        <v>48</v>
      </c>
      <c r="AM15" s="10"/>
      <c r="AN15" s="977">
        <v>-0.33429984481287534</v>
      </c>
    </row>
    <row r="16" spans="1:40" ht="12.75" customHeight="1">
      <c r="A16" s="8"/>
      <c r="B16" s="585" t="s">
        <v>59</v>
      </c>
      <c r="C16" s="588"/>
      <c r="D16" s="588"/>
      <c r="E16" s="584">
        <v>121.28362405505942</v>
      </c>
      <c r="F16" s="584">
        <v>130.55210922163528</v>
      </c>
      <c r="G16" s="584">
        <v>136.09112486119253</v>
      </c>
      <c r="H16" s="584">
        <v>139.11484116245853</v>
      </c>
      <c r="I16" s="584">
        <v>149.90492376622515</v>
      </c>
      <c r="J16" s="584">
        <v>155.18098336078995</v>
      </c>
      <c r="K16" s="584">
        <v>184.36109373248965</v>
      </c>
      <c r="L16" s="584">
        <v>205.49187402960493</v>
      </c>
      <c r="M16" s="584">
        <v>220.88593182180114</v>
      </c>
      <c r="N16" s="584">
        <v>236.46257505166491</v>
      </c>
      <c r="O16" s="584">
        <v>261.86698067656471</v>
      </c>
      <c r="P16" s="584">
        <v>277.65687282342049</v>
      </c>
      <c r="Q16" s="584">
        <v>288.99907650513865</v>
      </c>
      <c r="R16" s="584">
        <v>300.39563604271058</v>
      </c>
      <c r="S16" s="584">
        <v>310.27166034813001</v>
      </c>
      <c r="T16" s="584">
        <v>321.09059111366599</v>
      </c>
      <c r="U16" s="584">
        <v>332.85522530271027</v>
      </c>
      <c r="V16" s="584">
        <v>345.81131998459171</v>
      </c>
      <c r="W16" s="584">
        <v>356.23031809394223</v>
      </c>
      <c r="X16" s="584">
        <v>356.17092590092096</v>
      </c>
      <c r="Y16" s="584">
        <v>353.26329059453502</v>
      </c>
      <c r="Z16" s="584">
        <v>355.07101991027093</v>
      </c>
      <c r="AA16" s="584">
        <v>339.08318356506362</v>
      </c>
      <c r="AB16" s="584">
        <v>341.03252583292539</v>
      </c>
      <c r="AC16" s="584">
        <v>348.96679916957686</v>
      </c>
      <c r="AD16" s="584">
        <v>357.89082840949737</v>
      </c>
      <c r="AE16" s="584">
        <v>373.81424592335537</v>
      </c>
      <c r="AF16" s="584">
        <v>388.7686570163437</v>
      </c>
      <c r="AG16" s="584">
        <v>408.81070475138154</v>
      </c>
      <c r="AH16" s="584">
        <v>425.0443242204297</v>
      </c>
      <c r="AI16" s="584">
        <v>432.63910136744659</v>
      </c>
      <c r="AJ16" s="584">
        <v>464.86877654664761</v>
      </c>
      <c r="AK16" s="879">
        <v>478.01030098465452</v>
      </c>
      <c r="AL16" s="585" t="s">
        <v>59</v>
      </c>
      <c r="AM16" s="10"/>
      <c r="AN16" s="978">
        <v>2.8269320507242668</v>
      </c>
    </row>
    <row r="17" spans="1:40" ht="12.75" customHeight="1">
      <c r="A17" s="8"/>
      <c r="B17" s="119" t="s">
        <v>50</v>
      </c>
      <c r="C17" s="590">
        <v>188.6859506582849</v>
      </c>
      <c r="D17" s="590">
        <v>313.14553645641939</v>
      </c>
      <c r="E17" s="587">
        <v>483.14835939209843</v>
      </c>
      <c r="F17" s="587">
        <v>500.85360234138375</v>
      </c>
      <c r="G17" s="587">
        <v>517.93348439184285</v>
      </c>
      <c r="H17" s="587">
        <v>521.65334632645306</v>
      </c>
      <c r="I17" s="587">
        <v>521.86853630351823</v>
      </c>
      <c r="J17" s="587">
        <v>533.06099125650417</v>
      </c>
      <c r="K17" s="587">
        <v>535.67371149112125</v>
      </c>
      <c r="L17" s="587">
        <v>540.23879251893777</v>
      </c>
      <c r="M17" s="587">
        <v>551.24329920540492</v>
      </c>
      <c r="N17" s="587">
        <v>562.83042139133909</v>
      </c>
      <c r="O17" s="587">
        <v>572.04036425681056</v>
      </c>
      <c r="P17" s="587">
        <v>583.26869782178755</v>
      </c>
      <c r="Q17" s="587">
        <v>589.98519985102178</v>
      </c>
      <c r="R17" s="587">
        <v>596.7459592770964</v>
      </c>
      <c r="S17" s="587">
        <v>587.0115246971335</v>
      </c>
      <c r="T17" s="587">
        <v>597.05423722776993</v>
      </c>
      <c r="U17" s="587">
        <v>606.23518130335276</v>
      </c>
      <c r="V17" s="587">
        <v>608.32648015975349</v>
      </c>
      <c r="W17" s="587">
        <v>611.94617626340187</v>
      </c>
      <c r="X17" s="587">
        <v>614.49420725339348</v>
      </c>
      <c r="Y17" s="587">
        <v>619.0769462453186</v>
      </c>
      <c r="Z17" s="587">
        <v>624.8639703195297</v>
      </c>
      <c r="AA17" s="587">
        <v>621.22575155825416</v>
      </c>
      <c r="AB17" s="880">
        <v>608.11743242333489</v>
      </c>
      <c r="AC17" s="880">
        <v>609.92482483768731</v>
      </c>
      <c r="AD17" s="880">
        <v>615.69098746008262</v>
      </c>
      <c r="AE17" s="880">
        <v>625.12766043656609</v>
      </c>
      <c r="AF17" s="880">
        <v>636.86823284574916</v>
      </c>
      <c r="AG17" s="880">
        <v>652.29589081291761</v>
      </c>
      <c r="AH17" s="880">
        <v>663.04905068766902</v>
      </c>
      <c r="AI17" s="877">
        <v>670.49988492680995</v>
      </c>
      <c r="AJ17" s="880">
        <v>674.6168605108852</v>
      </c>
      <c r="AK17" s="880">
        <v>681.60964110822817</v>
      </c>
      <c r="AL17" s="119" t="s">
        <v>50</v>
      </c>
      <c r="AM17" s="10"/>
      <c r="AN17" s="979">
        <v>1.0365558595804032</v>
      </c>
    </row>
    <row r="18" spans="1:40" ht="12.75" customHeight="1">
      <c r="A18" s="8"/>
      <c r="B18" s="585" t="s">
        <v>29</v>
      </c>
      <c r="C18" s="588">
        <v>97.260496028529744</v>
      </c>
      <c r="D18" s="588">
        <v>174.75728155339806</v>
      </c>
      <c r="E18" s="584">
        <v>304.1892833237672</v>
      </c>
      <c r="F18" s="584">
        <v>315.05515952569277</v>
      </c>
      <c r="G18" s="584">
        <v>322.98124609394557</v>
      </c>
      <c r="H18" s="584">
        <v>321.68722667408178</v>
      </c>
      <c r="I18" s="584">
        <v>325.94565532329619</v>
      </c>
      <c r="J18" s="584">
        <v>334.81327314031137</v>
      </c>
      <c r="K18" s="584">
        <v>340.42859737090521</v>
      </c>
      <c r="L18" s="584">
        <v>348.00174759150786</v>
      </c>
      <c r="M18" s="584">
        <v>364.97125334254946</v>
      </c>
      <c r="N18" s="584">
        <v>372.17974878963986</v>
      </c>
      <c r="O18" s="584">
        <v>383.61319419854379</v>
      </c>
      <c r="P18" s="584">
        <v>396.95750341228478</v>
      </c>
      <c r="Q18" s="584">
        <v>402.98996805469932</v>
      </c>
      <c r="R18" s="584">
        <v>418.45888672320797</v>
      </c>
      <c r="S18" s="584">
        <v>457.84900970852595</v>
      </c>
      <c r="T18" s="584">
        <v>477.32230485220015</v>
      </c>
      <c r="U18" s="584">
        <v>492.06640313702309</v>
      </c>
      <c r="V18" s="584">
        <v>529.32955316854998</v>
      </c>
      <c r="W18" s="584">
        <v>556.53194132483407</v>
      </c>
      <c r="X18" s="584">
        <v>562.17984715677426</v>
      </c>
      <c r="Y18" s="584">
        <v>550.93950468650826</v>
      </c>
      <c r="Z18" s="584">
        <v>545.23666171313357</v>
      </c>
      <c r="AA18" s="584">
        <v>549.10968981773408</v>
      </c>
      <c r="AB18" s="584">
        <v>553.10139860139861</v>
      </c>
      <c r="AC18" s="584">
        <v>564.92028410593525</v>
      </c>
      <c r="AD18" s="584">
        <v>574.89222804157396</v>
      </c>
      <c r="AE18" s="584">
        <v>594.62191244288158</v>
      </c>
      <c r="AF18" s="584">
        <v>609.34397548817674</v>
      </c>
      <c r="AG18" s="584">
        <v>628.71974965150093</v>
      </c>
      <c r="AH18" s="584">
        <v>644.7047032392835</v>
      </c>
      <c r="AI18" s="584">
        <v>645.26058390168828</v>
      </c>
      <c r="AJ18" s="584">
        <v>654.5293769792363</v>
      </c>
      <c r="AK18" s="584">
        <v>652.90577505618</v>
      </c>
      <c r="AL18" s="585" t="s">
        <v>29</v>
      </c>
      <c r="AM18" s="10"/>
      <c r="AN18" s="978">
        <v>-0.24805638679649178</v>
      </c>
    </row>
    <row r="19" spans="1:40" ht="12.75" customHeight="1">
      <c r="A19" s="8"/>
      <c r="B19" s="119" t="s">
        <v>33</v>
      </c>
      <c r="C19" s="590">
        <v>16.903141617901102</v>
      </c>
      <c r="D19" s="590">
        <v>66.013425380969039</v>
      </c>
      <c r="E19" s="587">
        <v>106.46458209265728</v>
      </c>
      <c r="F19" s="587">
        <v>124.47975785092699</v>
      </c>
      <c r="G19" s="587">
        <v>135.36117261450104</v>
      </c>
      <c r="H19" s="587">
        <v>144.62372446971631</v>
      </c>
      <c r="I19" s="587">
        <v>100.61385758504028</v>
      </c>
      <c r="J19" s="587">
        <v>134.43848244869167</v>
      </c>
      <c r="K19" s="587">
        <v>155.38187059493347</v>
      </c>
      <c r="L19" s="587">
        <v>178.37820644426259</v>
      </c>
      <c r="M19" s="587">
        <v>201.17553500096696</v>
      </c>
      <c r="N19" s="587">
        <v>220.66955954007932</v>
      </c>
      <c r="O19" s="587">
        <v>236.59547273203179</v>
      </c>
      <c r="P19" s="587">
        <v>252.56833821925107</v>
      </c>
      <c r="Q19" s="587">
        <v>269.24532158529001</v>
      </c>
      <c r="R19" s="587">
        <v>285.04032470613038</v>
      </c>
      <c r="S19" s="587">
        <v>304.9831890489678</v>
      </c>
      <c r="T19" s="587">
        <v>333.25358615433368</v>
      </c>
      <c r="U19" s="587">
        <v>372.1460132920447</v>
      </c>
      <c r="V19" s="587">
        <v>412.8409853043832</v>
      </c>
      <c r="W19" s="587">
        <v>431.29893463853438</v>
      </c>
      <c r="X19" s="587">
        <v>426.45899276775708</v>
      </c>
      <c r="Y19" s="587">
        <v>306.88444306265529</v>
      </c>
      <c r="Z19" s="587">
        <v>299.45036538793528</v>
      </c>
      <c r="AA19" s="587">
        <v>305.49775795832147</v>
      </c>
      <c r="AB19" s="587">
        <v>317.06727262189554</v>
      </c>
      <c r="AC19" s="880">
        <v>331.2020164181389</v>
      </c>
      <c r="AD19" s="880">
        <v>344.8770084872346</v>
      </c>
      <c r="AE19" s="880">
        <v>340.58332940194327</v>
      </c>
      <c r="AF19" s="880">
        <v>356.46375400063789</v>
      </c>
      <c r="AG19" s="880">
        <v>368.67333205553427</v>
      </c>
      <c r="AH19" s="880">
        <v>381.17813568873106</v>
      </c>
      <c r="AI19" s="880">
        <v>390.40514508856063</v>
      </c>
      <c r="AJ19" s="880">
        <v>404.47030185679705</v>
      </c>
      <c r="AK19" s="880">
        <v>408.77309071443136</v>
      </c>
      <c r="AL19" s="119" t="s">
        <v>33</v>
      </c>
      <c r="AM19" s="10"/>
      <c r="AN19" s="977">
        <v>1.0638083532663529</v>
      </c>
    </row>
    <row r="20" spans="1:40" ht="12.75" customHeight="1">
      <c r="A20" s="8"/>
      <c r="B20" s="585" t="s">
        <v>34</v>
      </c>
      <c r="C20" s="588">
        <v>13.827201744568869</v>
      </c>
      <c r="D20" s="588">
        <v>72.175582445261981</v>
      </c>
      <c r="E20" s="584">
        <v>133.17240991818406</v>
      </c>
      <c r="F20" s="584">
        <v>143.26960668850515</v>
      </c>
      <c r="G20" s="584">
        <v>152.9536707392048</v>
      </c>
      <c r="H20" s="584">
        <v>162.81307745275782</v>
      </c>
      <c r="I20" s="584">
        <v>179.19616051755273</v>
      </c>
      <c r="J20" s="584">
        <v>198.73495662218426</v>
      </c>
      <c r="K20" s="584">
        <v>218.80857176381465</v>
      </c>
      <c r="L20" s="584">
        <v>247.62391076903126</v>
      </c>
      <c r="M20" s="584">
        <v>277.37521847776878</v>
      </c>
      <c r="N20" s="584">
        <v>310.1682937204626</v>
      </c>
      <c r="O20" s="584">
        <v>336.21871879479141</v>
      </c>
      <c r="P20" s="584">
        <v>328.10306842658144</v>
      </c>
      <c r="Q20" s="584">
        <v>344.14863250645419</v>
      </c>
      <c r="R20" s="584">
        <v>369.77912748398103</v>
      </c>
      <c r="S20" s="584">
        <v>392.19902122662597</v>
      </c>
      <c r="T20" s="584">
        <v>442.35531569212441</v>
      </c>
      <c r="U20" s="584">
        <v>489.921947284032</v>
      </c>
      <c r="V20" s="584">
        <v>494.27271637814175</v>
      </c>
      <c r="W20" s="584">
        <v>524.85570955470348</v>
      </c>
      <c r="X20" s="584">
        <v>539.56045494936939</v>
      </c>
      <c r="Y20" s="584">
        <v>554.23627426957057</v>
      </c>
      <c r="Z20" s="584">
        <v>570.40771516968903</v>
      </c>
      <c r="AA20" s="584">
        <v>589.99429658754229</v>
      </c>
      <c r="AB20" s="584">
        <v>614.57421711502604</v>
      </c>
      <c r="AC20" s="584">
        <v>412.72162510586173</v>
      </c>
      <c r="AD20" s="584">
        <v>430.68652247938246</v>
      </c>
      <c r="AE20" s="584">
        <v>456.03257694079576</v>
      </c>
      <c r="AF20" s="584">
        <v>483.1024660534494</v>
      </c>
      <c r="AG20" s="584">
        <v>511.96342116338792</v>
      </c>
      <c r="AH20" s="584">
        <v>536.37785468614106</v>
      </c>
      <c r="AI20" s="584">
        <v>559.95857895038057</v>
      </c>
      <c r="AJ20" s="584">
        <v>574.17824246489124</v>
      </c>
      <c r="AK20" s="584">
        <v>577.6068770323094</v>
      </c>
      <c r="AL20" s="585" t="s">
        <v>34</v>
      </c>
      <c r="AM20" s="10"/>
      <c r="AN20" s="978">
        <v>0.5971376680348186</v>
      </c>
    </row>
    <row r="21" spans="1:40" ht="12.75" customHeight="1">
      <c r="A21" s="8"/>
      <c r="B21" s="119" t="s">
        <v>51</v>
      </c>
      <c r="C21" s="590">
        <v>211.86378335751129</v>
      </c>
      <c r="D21" s="590">
        <v>352.47361929560088</v>
      </c>
      <c r="E21" s="587">
        <v>477.1175858480749</v>
      </c>
      <c r="F21" s="587">
        <v>492.81314168377821</v>
      </c>
      <c r="G21" s="587">
        <v>509.18302723242562</v>
      </c>
      <c r="H21" s="587">
        <v>519.74012993503243</v>
      </c>
      <c r="I21" s="587">
        <v>536.80266239368905</v>
      </c>
      <c r="J21" s="587">
        <v>556.45529640427594</v>
      </c>
      <c r="K21" s="587">
        <v>555.75386829794888</v>
      </c>
      <c r="L21" s="587">
        <v>561.15152233147739</v>
      </c>
      <c r="M21" s="587">
        <v>592.97063297063301</v>
      </c>
      <c r="N21" s="587">
        <v>607.64529520295207</v>
      </c>
      <c r="O21" s="587">
        <v>622.06378132118459</v>
      </c>
      <c r="P21" s="587">
        <v>632.15628870622675</v>
      </c>
      <c r="Q21" s="587">
        <v>640.74280615659166</v>
      </c>
      <c r="R21" s="587">
        <v>644.88746263407779</v>
      </c>
      <c r="S21" s="587">
        <v>649.91219131452863</v>
      </c>
      <c r="T21" s="587">
        <v>655.02914177784044</v>
      </c>
      <c r="U21" s="587">
        <v>660.8832244475384</v>
      </c>
      <c r="V21" s="587">
        <v>664.5735109001879</v>
      </c>
      <c r="W21" s="587">
        <v>666.74366767983793</v>
      </c>
      <c r="X21" s="587">
        <v>660.27773240968315</v>
      </c>
      <c r="Y21" s="587">
        <v>658.87582056892791</v>
      </c>
      <c r="Z21" s="587">
        <v>658.42245352508235</v>
      </c>
      <c r="AA21" s="589">
        <v>662.61481940790134</v>
      </c>
      <c r="AB21" s="587">
        <v>660.83357589870479</v>
      </c>
      <c r="AC21" s="880">
        <v>662.26432522497237</v>
      </c>
      <c r="AD21" s="880">
        <v>661.35125614100843</v>
      </c>
      <c r="AE21" s="880">
        <v>661.85346396531372</v>
      </c>
      <c r="AF21" s="880">
        <v>669.89809054742068</v>
      </c>
      <c r="AG21" s="877">
        <v>676.24866833687895</v>
      </c>
      <c r="AH21" s="880">
        <v>680.94641818983303</v>
      </c>
      <c r="AI21" s="880">
        <v>682.46813605785132</v>
      </c>
      <c r="AJ21" s="880">
        <v>681.62541815347765</v>
      </c>
      <c r="AK21" s="880">
        <v>673.14155830202071</v>
      </c>
      <c r="AL21" s="119" t="s">
        <v>51</v>
      </c>
      <c r="AM21" s="10"/>
      <c r="AN21" s="977">
        <v>-1.244651332756888</v>
      </c>
    </row>
    <row r="22" spans="1:40" ht="12.75" customHeight="1">
      <c r="A22" s="8"/>
      <c r="B22" s="585" t="s">
        <v>32</v>
      </c>
      <c r="C22" s="588">
        <v>23.180072169223024</v>
      </c>
      <c r="D22" s="588">
        <v>94.279907336853057</v>
      </c>
      <c r="E22" s="584">
        <v>187.40685691226187</v>
      </c>
      <c r="F22" s="584">
        <v>194.72418909184012</v>
      </c>
      <c r="G22" s="584">
        <v>198.55215153639134</v>
      </c>
      <c r="H22" s="584">
        <v>202.27313790034987</v>
      </c>
      <c r="I22" s="584">
        <v>210.79174204533362</v>
      </c>
      <c r="J22" s="584">
        <v>217.50762433427258</v>
      </c>
      <c r="K22" s="584">
        <v>219.89376625956061</v>
      </c>
      <c r="L22" s="584">
        <v>223.5433558332889</v>
      </c>
      <c r="M22" s="584">
        <v>216.33024545185719</v>
      </c>
      <c r="N22" s="584">
        <v>220.66176438936827</v>
      </c>
      <c r="O22" s="584">
        <v>231.82714857938464</v>
      </c>
      <c r="P22" s="584">
        <v>244.01600691430139</v>
      </c>
      <c r="Q22" s="584">
        <v>259.26169860630097</v>
      </c>
      <c r="R22" s="584">
        <v>274.51713209647926</v>
      </c>
      <c r="S22" s="584">
        <v>280.11084670151138</v>
      </c>
      <c r="T22" s="584">
        <v>286.67809051502689</v>
      </c>
      <c r="U22" s="584">
        <v>293.4324098628295</v>
      </c>
      <c r="V22" s="584">
        <v>299.85512773457225</v>
      </c>
      <c r="W22" s="584">
        <v>304.59920396571624</v>
      </c>
      <c r="X22" s="584">
        <v>300.94083235173935</v>
      </c>
      <c r="Y22" s="584">
        <v>298.8329737198772</v>
      </c>
      <c r="Z22" s="584">
        <v>298.81498299675036</v>
      </c>
      <c r="AA22" s="591">
        <v>301.3511830597414</v>
      </c>
      <c r="AB22" s="584">
        <v>307.84850008074017</v>
      </c>
      <c r="AC22" s="584">
        <v>315.32368850064603</v>
      </c>
      <c r="AD22" s="584">
        <v>325.19819724052275</v>
      </c>
      <c r="AE22" s="584">
        <v>338.1664069251521</v>
      </c>
      <c r="AF22" s="584">
        <v>355.06906007145767</v>
      </c>
      <c r="AG22" s="584">
        <v>372.65056039463178</v>
      </c>
      <c r="AH22" s="584">
        <v>390.19426326313067</v>
      </c>
      <c r="AI22" s="584">
        <v>402.92784580709525</v>
      </c>
      <c r="AJ22" s="584">
        <v>414.91948093768099</v>
      </c>
      <c r="AK22" s="987">
        <v>426.48314371716583</v>
      </c>
      <c r="AL22" s="585" t="s">
        <v>32</v>
      </c>
      <c r="AM22" s="10"/>
      <c r="AN22" s="978">
        <v>2.7869654983063299</v>
      </c>
    </row>
    <row r="23" spans="1:40" ht="12.75" customHeight="1">
      <c r="A23" s="8"/>
      <c r="B23" s="119" t="s">
        <v>35</v>
      </c>
      <c r="C23" s="590"/>
      <c r="D23" s="590"/>
      <c r="E23" s="587">
        <v>337.16388974740806</v>
      </c>
      <c r="F23" s="587">
        <v>339.31963631610125</v>
      </c>
      <c r="G23" s="587">
        <v>344.37443694779557</v>
      </c>
      <c r="H23" s="587">
        <v>416.48495896908287</v>
      </c>
      <c r="I23" s="587">
        <v>461.8609775044593</v>
      </c>
      <c r="J23" s="587">
        <v>486.92432992743966</v>
      </c>
      <c r="K23" s="587">
        <v>486.68567058332752</v>
      </c>
      <c r="L23" s="587">
        <v>488.09470058138766</v>
      </c>
      <c r="M23" s="587">
        <v>461.76403764153883</v>
      </c>
      <c r="N23" s="587">
        <v>468.80458072996379</v>
      </c>
      <c r="O23" s="587">
        <v>483.17770141665494</v>
      </c>
      <c r="P23" s="587">
        <v>495.0803388396036</v>
      </c>
      <c r="Q23" s="587">
        <v>508.23819016551897</v>
      </c>
      <c r="R23" s="587">
        <v>522.20363270787539</v>
      </c>
      <c r="S23" s="587">
        <v>524.95604319191</v>
      </c>
      <c r="T23" s="587">
        <v>524.84327121795366</v>
      </c>
      <c r="U23" s="587">
        <v>537.83134787582355</v>
      </c>
      <c r="V23" s="587">
        <v>551.44275093666022</v>
      </c>
      <c r="W23" s="587">
        <v>558.22459518258756</v>
      </c>
      <c r="X23" s="587">
        <v>563.93906677583834</v>
      </c>
      <c r="Y23" s="587">
        <v>580.64189653219717</v>
      </c>
      <c r="Z23" s="587">
        <v>592.44969416543324</v>
      </c>
      <c r="AA23" s="587">
        <v>591.78621047125614</v>
      </c>
      <c r="AB23" s="587">
        <v>596.37095271805958</v>
      </c>
      <c r="AC23" s="880">
        <v>604.85659247062142</v>
      </c>
      <c r="AD23" s="880">
        <v>611.39171652809068</v>
      </c>
      <c r="AE23" s="880">
        <v>614.64880283816751</v>
      </c>
      <c r="AF23" s="880">
        <v>613.40632035669466</v>
      </c>
      <c r="AG23" s="880">
        <v>608.11372095332058</v>
      </c>
      <c r="AH23" s="880">
        <v>596.87424693526941</v>
      </c>
      <c r="AI23" s="880">
        <v>597.47723309436151</v>
      </c>
      <c r="AJ23" s="880">
        <v>601.14094642504097</v>
      </c>
      <c r="AK23" s="883">
        <v>585.24751361034293</v>
      </c>
      <c r="AL23" s="119" t="s">
        <v>35</v>
      </c>
      <c r="AM23" s="10"/>
      <c r="AN23" s="977">
        <v>-2.643877930660949</v>
      </c>
    </row>
    <row r="24" spans="1:40" ht="12.75" customHeight="1">
      <c r="A24" s="8"/>
      <c r="B24" s="585" t="s">
        <v>43</v>
      </c>
      <c r="C24" s="588">
        <v>195.43531997960278</v>
      </c>
      <c r="D24" s="588">
        <v>320.22890947769184</v>
      </c>
      <c r="E24" s="584">
        <v>367.02262990870685</v>
      </c>
      <c r="F24" s="584">
        <v>367.10588499684388</v>
      </c>
      <c r="G24" s="584">
        <v>371.2797707908469</v>
      </c>
      <c r="H24" s="584">
        <v>375.1249954942632</v>
      </c>
      <c r="I24" s="584">
        <v>381.48038507475496</v>
      </c>
      <c r="J24" s="584">
        <v>363.56269236213063</v>
      </c>
      <c r="K24" s="584">
        <v>368.72618656761335</v>
      </c>
      <c r="L24" s="584">
        <v>378.90087204756401</v>
      </c>
      <c r="M24" s="584">
        <v>388.29274328253564</v>
      </c>
      <c r="N24" s="584">
        <v>399.84965913281366</v>
      </c>
      <c r="O24" s="584">
        <v>409.03117049241342</v>
      </c>
      <c r="P24" s="584">
        <v>416.67080092031904</v>
      </c>
      <c r="Q24" s="584">
        <v>423.32638693840613</v>
      </c>
      <c r="R24" s="584">
        <v>424.92676850433065</v>
      </c>
      <c r="S24" s="584">
        <v>428.81112820279458</v>
      </c>
      <c r="T24" s="584">
        <v>434.198715456701</v>
      </c>
      <c r="U24" s="584">
        <v>441.99667049598753</v>
      </c>
      <c r="V24" s="584">
        <v>450.57745928642152</v>
      </c>
      <c r="W24" s="584">
        <v>457.50506178443288</v>
      </c>
      <c r="X24" s="584">
        <v>459.84947561654496</v>
      </c>
      <c r="Y24" s="584">
        <v>464.46285765095996</v>
      </c>
      <c r="Z24" s="584">
        <v>469.74516011262887</v>
      </c>
      <c r="AA24" s="584">
        <v>471.74097079336036</v>
      </c>
      <c r="AB24" s="584">
        <v>471.33839106334204</v>
      </c>
      <c r="AC24" s="584">
        <v>472.11480737573049</v>
      </c>
      <c r="AD24" s="584">
        <v>477.10741192711981</v>
      </c>
      <c r="AE24" s="584">
        <v>481.39628429739838</v>
      </c>
      <c r="AF24" s="584">
        <v>487.35248602474684</v>
      </c>
      <c r="AG24" s="584">
        <v>488.53734338693596</v>
      </c>
      <c r="AH24" s="584">
        <v>493.14083487169523</v>
      </c>
      <c r="AI24" s="584">
        <v>497.06510546387591</v>
      </c>
      <c r="AJ24" s="584">
        <v>501.84035038570443</v>
      </c>
      <c r="AK24" s="584">
        <v>500.64349630804412</v>
      </c>
      <c r="AL24" s="585" t="s">
        <v>43</v>
      </c>
      <c r="AM24" s="10"/>
      <c r="AN24" s="978">
        <v>-0.23849299418439784</v>
      </c>
    </row>
    <row r="25" spans="1:40" ht="12.75" customHeight="1">
      <c r="A25" s="8"/>
      <c r="B25" s="119" t="s">
        <v>52</v>
      </c>
      <c r="C25" s="590">
        <v>160.04749278984039</v>
      </c>
      <c r="D25" s="590">
        <v>297.4848431009068</v>
      </c>
      <c r="E25" s="587">
        <v>387.8933693966527</v>
      </c>
      <c r="F25" s="587">
        <v>397.49200496121313</v>
      </c>
      <c r="G25" s="587">
        <v>411.67043174903858</v>
      </c>
      <c r="H25" s="587">
        <v>424.73626977078089</v>
      </c>
      <c r="I25" s="587">
        <v>438.04366066346915</v>
      </c>
      <c r="J25" s="587">
        <v>451.8493305790081</v>
      </c>
      <c r="K25" s="587">
        <v>463.36569421639712</v>
      </c>
      <c r="L25" s="587">
        <v>474.53116978852148</v>
      </c>
      <c r="M25" s="587">
        <v>486.9643584854345</v>
      </c>
      <c r="N25" s="587">
        <v>501.06358437556935</v>
      </c>
      <c r="O25" s="587">
        <v>510.80570795514649</v>
      </c>
      <c r="P25" s="587">
        <v>518.62769171242769</v>
      </c>
      <c r="Q25" s="587">
        <v>492.21711416393003</v>
      </c>
      <c r="R25" s="587">
        <v>497.91484829181144</v>
      </c>
      <c r="S25" s="587">
        <v>501.03025608316864</v>
      </c>
      <c r="T25" s="587">
        <v>503.58528369099349</v>
      </c>
      <c r="U25" s="587">
        <v>507.6635425107666</v>
      </c>
      <c r="V25" s="587">
        <v>511.02414796167881</v>
      </c>
      <c r="W25" s="587">
        <v>514.08727747308546</v>
      </c>
      <c r="X25" s="587">
        <v>522.04626083753828</v>
      </c>
      <c r="Y25" s="587">
        <v>530.26149696889524</v>
      </c>
      <c r="Z25" s="587">
        <v>536.79305994763877</v>
      </c>
      <c r="AA25" s="587">
        <v>542.38972249895289</v>
      </c>
      <c r="AB25" s="587">
        <v>545.53652383828182</v>
      </c>
      <c r="AC25" s="880">
        <v>546.87961200830398</v>
      </c>
      <c r="AD25" s="880">
        <v>545.72309935864382</v>
      </c>
      <c r="AE25" s="880">
        <v>549.59890526071013</v>
      </c>
      <c r="AF25" s="880">
        <v>555.25161503273478</v>
      </c>
      <c r="AG25" s="880">
        <v>562.02488493047849</v>
      </c>
      <c r="AH25" s="880">
        <v>566.17366193524731</v>
      </c>
      <c r="AI25" s="880">
        <v>570.02334354006825</v>
      </c>
      <c r="AJ25" s="880">
        <v>571.76485079679321</v>
      </c>
      <c r="AK25" s="880">
        <v>565.73519908021865</v>
      </c>
      <c r="AL25" s="119" t="s">
        <v>52</v>
      </c>
      <c r="AM25" s="10"/>
      <c r="AN25" s="977">
        <v>-1.0545684485801843</v>
      </c>
    </row>
    <row r="26" spans="1:40" ht="12.75" customHeight="1">
      <c r="A26" s="8"/>
      <c r="B26" s="585" t="s">
        <v>36</v>
      </c>
      <c r="C26" s="588">
        <v>14.667156592565373</v>
      </c>
      <c r="D26" s="588">
        <v>66.601622812902747</v>
      </c>
      <c r="E26" s="584">
        <v>137.78325314091342</v>
      </c>
      <c r="F26" s="584">
        <v>159.49160653885306</v>
      </c>
      <c r="G26" s="584">
        <v>169.32119614011185</v>
      </c>
      <c r="H26" s="584">
        <v>175.83712557532249</v>
      </c>
      <c r="I26" s="584">
        <v>185.4077322857394</v>
      </c>
      <c r="J26" s="584">
        <v>194.70041478760129</v>
      </c>
      <c r="K26" s="584">
        <v>208.45200232581607</v>
      </c>
      <c r="L26" s="584">
        <v>220.73082346992481</v>
      </c>
      <c r="M26" s="584">
        <v>229.93164478335433</v>
      </c>
      <c r="N26" s="584">
        <v>242.60581999415993</v>
      </c>
      <c r="O26" s="584">
        <v>261.18345148887221</v>
      </c>
      <c r="P26" s="584">
        <v>274.64687763624045</v>
      </c>
      <c r="Q26" s="584">
        <v>288.5746707533055</v>
      </c>
      <c r="R26" s="584">
        <v>294.4126995831017</v>
      </c>
      <c r="S26" s="584">
        <v>313.70154452650621</v>
      </c>
      <c r="T26" s="584">
        <v>323.38326424824976</v>
      </c>
      <c r="U26" s="584">
        <v>351.05733360097588</v>
      </c>
      <c r="V26" s="584">
        <v>382.74940725777117</v>
      </c>
      <c r="W26" s="584">
        <v>421.63796106322553</v>
      </c>
      <c r="X26" s="584">
        <v>433.81786892514606</v>
      </c>
      <c r="Y26" s="584">
        <v>452.93139601853971</v>
      </c>
      <c r="Z26" s="584">
        <v>476.17431284828376</v>
      </c>
      <c r="AA26" s="584">
        <v>492.45274914032922</v>
      </c>
      <c r="AB26" s="584">
        <v>510.00892843615378</v>
      </c>
      <c r="AC26" s="584">
        <v>526.33968760509958</v>
      </c>
      <c r="AD26" s="584">
        <v>474.40345167325842</v>
      </c>
      <c r="AE26" s="584">
        <v>492.9403983318237</v>
      </c>
      <c r="AF26" s="584">
        <v>507.31431628040644</v>
      </c>
      <c r="AG26" s="584">
        <v>524.35165981386899</v>
      </c>
      <c r="AH26" s="584">
        <v>541.23687521237218</v>
      </c>
      <c r="AI26" s="584">
        <v>554.59472635849033</v>
      </c>
      <c r="AJ26" s="882">
        <v>567.16064458811252</v>
      </c>
      <c r="AK26" s="988">
        <v>583.83455222075918</v>
      </c>
      <c r="AL26" s="585" t="s">
        <v>36</v>
      </c>
      <c r="AM26" s="10"/>
      <c r="AN26" s="978">
        <v>2.9398915090019528</v>
      </c>
    </row>
    <row r="27" spans="1:40" ht="12.75" customHeight="1">
      <c r="A27" s="8"/>
      <c r="B27" s="119" t="s">
        <v>53</v>
      </c>
      <c r="C27" s="590">
        <v>48.596069928474897</v>
      </c>
      <c r="D27" s="590">
        <v>129.2385193115345</v>
      </c>
      <c r="E27" s="587">
        <v>185.4481662345728</v>
      </c>
      <c r="F27" s="587">
        <v>195.97932830145518</v>
      </c>
      <c r="G27" s="587">
        <v>210.95016171841209</v>
      </c>
      <c r="H27" s="587">
        <v>225.57768188554067</v>
      </c>
      <c r="I27" s="587">
        <v>240.79149864132648</v>
      </c>
      <c r="J27" s="587">
        <v>254.88632517939368</v>
      </c>
      <c r="K27" s="587">
        <v>272.70394189085573</v>
      </c>
      <c r="L27" s="587">
        <v>291.10622140374772</v>
      </c>
      <c r="M27" s="587">
        <v>309.22874032776679</v>
      </c>
      <c r="N27" s="587">
        <v>326.86045556346744</v>
      </c>
      <c r="O27" s="587">
        <v>333.27609334983032</v>
      </c>
      <c r="P27" s="587">
        <v>345.27313952950306</v>
      </c>
      <c r="Q27" s="587">
        <v>371.96283014214436</v>
      </c>
      <c r="R27" s="587">
        <v>378.68624708179561</v>
      </c>
      <c r="S27" s="587">
        <v>390.67442984401993</v>
      </c>
      <c r="T27" s="587">
        <v>399.54383509570215</v>
      </c>
      <c r="U27" s="587">
        <v>407.30730187110709</v>
      </c>
      <c r="V27" s="587">
        <v>414.93976456171833</v>
      </c>
      <c r="W27" s="587">
        <v>417.30513658317597</v>
      </c>
      <c r="X27" s="587">
        <v>421.5263490852916</v>
      </c>
      <c r="Y27" s="587">
        <v>443.78358229636439</v>
      </c>
      <c r="Z27" s="587">
        <v>446.95713442046105</v>
      </c>
      <c r="AA27" s="587">
        <v>406.11067359734244</v>
      </c>
      <c r="AB27" s="587">
        <v>415.0142016615805</v>
      </c>
      <c r="AC27" s="880">
        <v>452.98560303010504</v>
      </c>
      <c r="AD27" s="880">
        <v>456.70750280669893</v>
      </c>
      <c r="AE27" s="880">
        <v>470.45876681798558</v>
      </c>
      <c r="AF27" s="880">
        <v>491.63917265011548</v>
      </c>
      <c r="AG27" s="880">
        <v>514.07676281017382</v>
      </c>
      <c r="AH27" s="880">
        <v>529.54226771040805</v>
      </c>
      <c r="AI27" s="880">
        <v>540.4764808629659</v>
      </c>
      <c r="AJ27" s="880">
        <v>544.10946168881458</v>
      </c>
      <c r="AK27" s="883">
        <v>552.05712688368783</v>
      </c>
      <c r="AL27" s="119" t="s">
        <v>53</v>
      </c>
      <c r="AM27" s="10"/>
      <c r="AN27" s="979">
        <v>1.4606739552378372</v>
      </c>
    </row>
    <row r="28" spans="1:40" ht="12.75" customHeight="1">
      <c r="A28" s="8"/>
      <c r="B28" s="585" t="s">
        <v>37</v>
      </c>
      <c r="C28" s="588">
        <v>1.964521527030441</v>
      </c>
      <c r="D28" s="588">
        <v>10.771077180422813</v>
      </c>
      <c r="E28" s="584">
        <v>55.720409305271225</v>
      </c>
      <c r="F28" s="584">
        <v>62.760359639956718</v>
      </c>
      <c r="G28" s="584">
        <v>69.93553974700653</v>
      </c>
      <c r="H28" s="584">
        <v>78.822396333536972</v>
      </c>
      <c r="I28" s="584">
        <v>88.938973143914296</v>
      </c>
      <c r="J28" s="584">
        <v>96.992537786106155</v>
      </c>
      <c r="K28" s="584">
        <v>103.01085889197269</v>
      </c>
      <c r="L28" s="584">
        <v>108.63344122746896</v>
      </c>
      <c r="M28" s="584">
        <v>115.37274783062259</v>
      </c>
      <c r="N28" s="584">
        <v>120.32788425634095</v>
      </c>
      <c r="O28" s="584">
        <v>123.8313601902984</v>
      </c>
      <c r="P28" s="584">
        <v>131.96204197012449</v>
      </c>
      <c r="Q28" s="584">
        <v>137.48185239455916</v>
      </c>
      <c r="R28" s="584">
        <v>143.46952406150194</v>
      </c>
      <c r="S28" s="584">
        <v>150.84246570793843</v>
      </c>
      <c r="T28" s="584">
        <v>158.24323602146228</v>
      </c>
      <c r="U28" s="584">
        <v>170.53247620276716</v>
      </c>
      <c r="V28" s="584">
        <v>171.61051898043468</v>
      </c>
      <c r="W28" s="584">
        <v>197.03061942858929</v>
      </c>
      <c r="X28" s="584">
        <v>209.1631586460355</v>
      </c>
      <c r="Y28" s="584">
        <v>213.8565464856556</v>
      </c>
      <c r="Z28" s="584">
        <v>215.69207119667021</v>
      </c>
      <c r="AA28" s="584">
        <v>224.13758310783467</v>
      </c>
      <c r="AB28" s="584">
        <v>235.40315784919582</v>
      </c>
      <c r="AC28" s="584">
        <v>246.97555142517504</v>
      </c>
      <c r="AD28" s="584">
        <v>260.875829334</v>
      </c>
      <c r="AE28" s="584">
        <v>278.58059497100101</v>
      </c>
      <c r="AF28" s="584">
        <v>307.07245677306577</v>
      </c>
      <c r="AG28" s="584">
        <v>332.35725663832596</v>
      </c>
      <c r="AH28" s="584">
        <v>357.13393634940701</v>
      </c>
      <c r="AI28" s="882">
        <v>378.8592883261876</v>
      </c>
      <c r="AJ28" s="584">
        <v>399.68790788792722</v>
      </c>
      <c r="AK28" s="882">
        <v>412.77211088922178</v>
      </c>
      <c r="AL28" s="585" t="s">
        <v>37</v>
      </c>
      <c r="AM28" s="10"/>
      <c r="AN28" s="978">
        <v>3.2736049160044587</v>
      </c>
    </row>
    <row r="29" spans="1:40" ht="12.75" customHeight="1">
      <c r="A29" s="8"/>
      <c r="B29" s="119" t="s">
        <v>39</v>
      </c>
      <c r="C29" s="590">
        <v>87.081725408494222</v>
      </c>
      <c r="D29" s="590">
        <v>218.08515652247681</v>
      </c>
      <c r="E29" s="587">
        <v>293.56007290200483</v>
      </c>
      <c r="F29" s="587">
        <v>301.60607370409502</v>
      </c>
      <c r="G29" s="587">
        <v>304.02179647397003</v>
      </c>
      <c r="H29" s="587">
        <v>326.90327976966012</v>
      </c>
      <c r="I29" s="587">
        <v>335.92094806826117</v>
      </c>
      <c r="J29" s="587">
        <v>357.42157078501066</v>
      </c>
      <c r="K29" s="587">
        <v>373.96130527144339</v>
      </c>
      <c r="L29" s="587">
        <v>391.34918583743553</v>
      </c>
      <c r="M29" s="587">
        <v>410.2800639325817</v>
      </c>
      <c r="N29" s="587">
        <v>425.66060706676632</v>
      </c>
      <c r="O29" s="587">
        <v>435.20356324877116</v>
      </c>
      <c r="P29" s="587">
        <v>442.06394500372608</v>
      </c>
      <c r="Q29" s="587">
        <v>448.3740369206925</v>
      </c>
      <c r="R29" s="587">
        <v>456.02782562700577</v>
      </c>
      <c r="S29" s="587">
        <v>467.53387832337967</v>
      </c>
      <c r="T29" s="587">
        <v>479.30175235779126</v>
      </c>
      <c r="U29" s="587">
        <v>487.60058436800654</v>
      </c>
      <c r="V29" s="587">
        <v>504.47079470458925</v>
      </c>
      <c r="W29" s="587">
        <v>514.27009558336556</v>
      </c>
      <c r="X29" s="587">
        <v>517.27914738619313</v>
      </c>
      <c r="Y29" s="587">
        <v>517.82835631251555</v>
      </c>
      <c r="Z29" s="587">
        <v>518.84800554221454</v>
      </c>
      <c r="AA29" s="880">
        <v>517.78566470810233</v>
      </c>
      <c r="AB29" s="880">
        <v>517.58903684224583</v>
      </c>
      <c r="AC29" s="880">
        <v>517.89978447544547</v>
      </c>
      <c r="AD29" s="880">
        <v>522.5962945235608</v>
      </c>
      <c r="AE29" s="880">
        <v>530.77382926044163</v>
      </c>
      <c r="AF29" s="880">
        <v>540.88045750116123</v>
      </c>
      <c r="AG29" s="880">
        <v>549.35153308075132</v>
      </c>
      <c r="AH29" s="880">
        <v>556.03448892841652</v>
      </c>
      <c r="AI29" s="880">
        <v>555.09851458787841</v>
      </c>
      <c r="AJ29" s="880">
        <v>564.47811767385804</v>
      </c>
      <c r="AK29" s="880">
        <v>570.51061610640102</v>
      </c>
      <c r="AL29" s="119" t="s">
        <v>39</v>
      </c>
      <c r="AM29" s="10"/>
      <c r="AN29" s="977">
        <v>1.0686859673856048</v>
      </c>
    </row>
    <row r="30" spans="1:40" ht="12.75" customHeight="1">
      <c r="A30" s="8"/>
      <c r="B30" s="585" t="s">
        <v>38</v>
      </c>
      <c r="C30" s="588">
        <v>36.124223274132191</v>
      </c>
      <c r="D30" s="588">
        <v>110.48111523480539</v>
      </c>
      <c r="E30" s="584">
        <v>165.70285974891121</v>
      </c>
      <c r="F30" s="584">
        <v>175.41948198570321</v>
      </c>
      <c r="G30" s="584">
        <v>182.71954807490559</v>
      </c>
      <c r="H30" s="584">
        <v>186.44081136259933</v>
      </c>
      <c r="I30" s="584">
        <v>185.58767426277586</v>
      </c>
      <c r="J30" s="584">
        <v>189.23877424414889</v>
      </c>
      <c r="K30" s="584">
        <v>196.77233324384841</v>
      </c>
      <c r="L30" s="584">
        <v>210.83663563891494</v>
      </c>
      <c r="M30" s="584">
        <v>221.77346236554354</v>
      </c>
      <c r="N30" s="584">
        <v>229.01992106555392</v>
      </c>
      <c r="O30" s="584">
        <v>236.8937359993887</v>
      </c>
      <c r="P30" s="584">
        <v>240.34426043293573</v>
      </c>
      <c r="Q30" s="584">
        <v>246.87094932289565</v>
      </c>
      <c r="R30" s="584">
        <v>252.46305991855729</v>
      </c>
      <c r="S30" s="584">
        <v>222.79921491768084</v>
      </c>
      <c r="T30" s="584">
        <v>242.64311749571183</v>
      </c>
      <c r="U30" s="584">
        <v>248.22339843444666</v>
      </c>
      <c r="V30" s="584">
        <v>266.72413126034212</v>
      </c>
      <c r="W30" s="584">
        <v>287.0258087422323</v>
      </c>
      <c r="X30" s="584">
        <v>294.79093427030597</v>
      </c>
      <c r="Y30" s="584">
        <v>309.51909393251231</v>
      </c>
      <c r="Z30" s="584">
        <v>323.68537625996379</v>
      </c>
      <c r="AA30" s="584">
        <v>337.1364425016763</v>
      </c>
      <c r="AB30" s="584">
        <v>347.08598622328236</v>
      </c>
      <c r="AC30" s="584">
        <v>359.52306335563344</v>
      </c>
      <c r="AD30" s="584">
        <v>374.95014975345782</v>
      </c>
      <c r="AE30" s="584">
        <v>390.36616456403948</v>
      </c>
      <c r="AF30" s="584">
        <v>408.42696835638384</v>
      </c>
      <c r="AG30" s="584">
        <v>425.95021558885082</v>
      </c>
      <c r="AH30" s="584">
        <v>438.55490957741233</v>
      </c>
      <c r="AI30" s="584">
        <v>446.90180796629016</v>
      </c>
      <c r="AJ30" s="584">
        <v>458.75163210120422</v>
      </c>
      <c r="AK30" s="584">
        <v>470.72921563397534</v>
      </c>
      <c r="AL30" s="585" t="s">
        <v>38</v>
      </c>
      <c r="AM30" s="10"/>
      <c r="AN30" s="978">
        <v>2.6109081024759746</v>
      </c>
    </row>
    <row r="31" spans="1:40" ht="12.75" customHeight="1">
      <c r="A31" s="8"/>
      <c r="B31" s="119" t="s">
        <v>54</v>
      </c>
      <c r="C31" s="590">
        <v>154.8386198833665</v>
      </c>
      <c r="D31" s="590">
        <v>256.06868154705586</v>
      </c>
      <c r="E31" s="587">
        <v>387.88927349485181</v>
      </c>
      <c r="F31" s="587">
        <v>382.38203126584557</v>
      </c>
      <c r="G31" s="587">
        <v>382.98850520140331</v>
      </c>
      <c r="H31" s="587">
        <v>368.83920004915404</v>
      </c>
      <c r="I31" s="587">
        <v>367.26384524532858</v>
      </c>
      <c r="J31" s="587">
        <v>371.49103760807975</v>
      </c>
      <c r="K31" s="587">
        <v>378.53290519687005</v>
      </c>
      <c r="L31" s="587">
        <v>378.47171427466839</v>
      </c>
      <c r="M31" s="587">
        <v>391.71602082778543</v>
      </c>
      <c r="N31" s="587">
        <v>402.71869637472344</v>
      </c>
      <c r="O31" s="587">
        <v>412.02096459931886</v>
      </c>
      <c r="P31" s="587">
        <v>415.9084071092019</v>
      </c>
      <c r="Q31" s="587">
        <v>421.54411150347801</v>
      </c>
      <c r="R31" s="587">
        <v>435.7650929204795</v>
      </c>
      <c r="S31" s="587">
        <v>448.13830929965968</v>
      </c>
      <c r="T31" s="587">
        <v>462.43135867021334</v>
      </c>
      <c r="U31" s="587">
        <v>474.80848330144943</v>
      </c>
      <c r="V31" s="587">
        <v>484.92854614786125</v>
      </c>
      <c r="W31" s="587">
        <v>507.00953792810566</v>
      </c>
      <c r="X31" s="587">
        <v>518.86422070225387</v>
      </c>
      <c r="Y31" s="587">
        <v>535.31837248915213</v>
      </c>
      <c r="Z31" s="587">
        <v>551.48708627068424</v>
      </c>
      <c r="AA31" s="587">
        <v>563.41766614320295</v>
      </c>
      <c r="AB31" s="587">
        <v>569.74503189165091</v>
      </c>
      <c r="AC31" s="880">
        <v>579.83885603023384</v>
      </c>
      <c r="AD31" s="880">
        <v>589.51675393471635</v>
      </c>
      <c r="AE31" s="880">
        <v>603.76025498896388</v>
      </c>
      <c r="AF31" s="880">
        <v>616.51675182700205</v>
      </c>
      <c r="AG31" s="880">
        <v>628.95214663354068</v>
      </c>
      <c r="AH31" s="880">
        <v>642.46432586730248</v>
      </c>
      <c r="AI31" s="880">
        <v>651.90927813888231</v>
      </c>
      <c r="AJ31" s="880">
        <v>656.33991025263686</v>
      </c>
      <c r="AK31" s="880">
        <v>660.27494756441888</v>
      </c>
      <c r="AL31" s="119" t="s">
        <v>54</v>
      </c>
      <c r="AM31" s="10"/>
      <c r="AN31" s="977">
        <v>0.59954259223202655</v>
      </c>
    </row>
    <row r="32" spans="1:40" ht="12.75" customHeight="1">
      <c r="A32" s="8"/>
      <c r="B32" s="592" t="s">
        <v>55</v>
      </c>
      <c r="C32" s="593">
        <v>283.12521732459044</v>
      </c>
      <c r="D32" s="593">
        <v>346.59911490391823</v>
      </c>
      <c r="E32" s="594">
        <v>419.17763889260738</v>
      </c>
      <c r="F32" s="594">
        <v>418.66609903610782</v>
      </c>
      <c r="G32" s="594">
        <v>412.90780398050487</v>
      </c>
      <c r="H32" s="594">
        <v>407.7822243267637</v>
      </c>
      <c r="I32" s="594">
        <v>407.67294426136982</v>
      </c>
      <c r="J32" s="594">
        <v>410.83582951550983</v>
      </c>
      <c r="K32" s="594">
        <v>413.24217459914911</v>
      </c>
      <c r="L32" s="594">
        <v>418.32356140772237</v>
      </c>
      <c r="M32" s="594">
        <v>428.11804223971075</v>
      </c>
      <c r="N32" s="594">
        <v>438.9992084795382</v>
      </c>
      <c r="O32" s="594">
        <v>450.15283482940947</v>
      </c>
      <c r="P32" s="594">
        <v>451.0579486567035</v>
      </c>
      <c r="Q32" s="594">
        <v>452.1740141920377</v>
      </c>
      <c r="R32" s="594">
        <v>454.05122960180137</v>
      </c>
      <c r="S32" s="594">
        <v>456.46932238659684</v>
      </c>
      <c r="T32" s="594">
        <v>459.08353809874546</v>
      </c>
      <c r="U32" s="594">
        <v>461.13732993593828</v>
      </c>
      <c r="V32" s="594">
        <v>463.73699801817003</v>
      </c>
      <c r="W32" s="594">
        <v>462.27685716622335</v>
      </c>
      <c r="X32" s="594">
        <v>460.43233245709473</v>
      </c>
      <c r="Y32" s="594">
        <v>460.42693113640485</v>
      </c>
      <c r="Z32" s="594">
        <v>464.13785721705113</v>
      </c>
      <c r="AA32" s="594">
        <v>465.38455380360585</v>
      </c>
      <c r="AB32" s="594">
        <v>466.01600603181134</v>
      </c>
      <c r="AC32" s="594">
        <v>470.35436792853034</v>
      </c>
      <c r="AD32" s="594">
        <v>473.88630026727185</v>
      </c>
      <c r="AE32" s="594">
        <v>476.95738124268831</v>
      </c>
      <c r="AF32" s="594">
        <v>478.72600279716636</v>
      </c>
      <c r="AG32" s="594">
        <v>476.04016936155114</v>
      </c>
      <c r="AH32" s="594">
        <v>473.20976851421955</v>
      </c>
      <c r="AI32" s="594">
        <v>476.26481374698369</v>
      </c>
      <c r="AJ32" s="594">
        <v>477.02099991906113</v>
      </c>
      <c r="AK32" s="594">
        <v>473.29130786358979</v>
      </c>
      <c r="AL32" s="592" t="s">
        <v>55</v>
      </c>
      <c r="AM32" s="54"/>
      <c r="AN32" s="980">
        <v>-0.78187166940327302</v>
      </c>
    </row>
    <row r="33" spans="1:40" ht="12.75" customHeight="1">
      <c r="A33" s="384"/>
      <c r="B33" s="119" t="s">
        <v>26</v>
      </c>
      <c r="C33" s="590">
        <v>199.11733403634165</v>
      </c>
      <c r="D33" s="590">
        <v>374.67895188965974</v>
      </c>
      <c r="E33" s="880">
        <v>467.94415827034464</v>
      </c>
      <c r="F33" s="880">
        <v>465.34245573236512</v>
      </c>
      <c r="G33" s="880">
        <v>457.89790613828478</v>
      </c>
      <c r="H33" s="880">
        <v>438.36582863006663</v>
      </c>
      <c r="I33" s="880">
        <v>435.40291709429243</v>
      </c>
      <c r="J33" s="880">
        <v>444.96525574903535</v>
      </c>
      <c r="K33" s="880">
        <v>462.84191882137594</v>
      </c>
      <c r="L33" s="880">
        <v>486.33348141023049</v>
      </c>
      <c r="M33" s="880">
        <v>509.1254642525534</v>
      </c>
      <c r="N33" s="880">
        <v>542.58929435332141</v>
      </c>
      <c r="O33" s="880">
        <v>560.89581840832022</v>
      </c>
      <c r="P33" s="880">
        <v>557.84698595481109</v>
      </c>
      <c r="Q33" s="880">
        <v>560.61441184729142</v>
      </c>
      <c r="R33" s="880">
        <v>574.28158447190003</v>
      </c>
      <c r="S33" s="880">
        <v>597.55021680853747</v>
      </c>
      <c r="T33" s="880">
        <v>625.03376226695696</v>
      </c>
      <c r="U33" s="880">
        <v>641.28357471593131</v>
      </c>
      <c r="V33" s="880">
        <v>657.81290120110702</v>
      </c>
      <c r="W33" s="880">
        <v>656.73455073770708</v>
      </c>
      <c r="X33" s="880">
        <v>646.46916223278652</v>
      </c>
      <c r="Y33" s="880">
        <v>642.9100774999057</v>
      </c>
      <c r="Z33" s="880">
        <v>644.95658296174611</v>
      </c>
      <c r="AA33" s="880">
        <v>652.68115964543256</v>
      </c>
      <c r="AB33" s="880">
        <v>654.38126207123139</v>
      </c>
      <c r="AC33" s="880">
        <v>660.75357034336071</v>
      </c>
      <c r="AD33" s="880">
        <v>680.60530059032442</v>
      </c>
      <c r="AE33" s="880">
        <v>710.77496904084239</v>
      </c>
      <c r="AF33" s="880">
        <v>737.83900129143365</v>
      </c>
      <c r="AG33" s="880">
        <v>748.99087091831439</v>
      </c>
      <c r="AH33" s="880">
        <v>741.00468508845643</v>
      </c>
      <c r="AI33" s="880">
        <v>731.0760537104926</v>
      </c>
      <c r="AJ33" s="880">
        <v>768.15557823563176</v>
      </c>
      <c r="AK33" s="880">
        <v>741.10140861052514</v>
      </c>
      <c r="AL33" s="119" t="s">
        <v>26</v>
      </c>
      <c r="AM33" s="10"/>
      <c r="AN33" s="979">
        <v>-3.5219648716536085</v>
      </c>
    </row>
    <row r="34" spans="1:40" ht="12.75" customHeight="1">
      <c r="A34" s="384"/>
      <c r="B34" s="585" t="s">
        <v>65</v>
      </c>
      <c r="C34" s="588"/>
      <c r="D34" s="588"/>
      <c r="E34" s="584">
        <v>581.80628272251306</v>
      </c>
      <c r="F34" s="584">
        <v>589.668549649493</v>
      </c>
      <c r="G34" s="584">
        <v>591.90437926878258</v>
      </c>
      <c r="H34" s="584">
        <v>586.17617947871986</v>
      </c>
      <c r="I34" s="584">
        <v>596.03643605733134</v>
      </c>
      <c r="J34" s="584">
        <v>608.60847912556994</v>
      </c>
      <c r="K34" s="584">
        <v>620.04302732556266</v>
      </c>
      <c r="L34" s="584">
        <v>636.20689655172407</v>
      </c>
      <c r="M34" s="584">
        <v>639.35655161642978</v>
      </c>
      <c r="N34" s="584">
        <v>652.25436378214999</v>
      </c>
      <c r="O34" s="584">
        <v>662.87314000547724</v>
      </c>
      <c r="P34" s="584">
        <v>674.89932885906046</v>
      </c>
      <c r="Q34" s="584">
        <v>687.03304491628035</v>
      </c>
      <c r="R34" s="584">
        <v>685.95089520032661</v>
      </c>
      <c r="S34" s="584">
        <v>691.76300578034682</v>
      </c>
      <c r="T34" s="584">
        <v>698.83970777825527</v>
      </c>
      <c r="U34" s="584">
        <v>690.77001819836221</v>
      </c>
      <c r="V34" s="584">
        <v>689.21823735716714</v>
      </c>
      <c r="W34" s="584">
        <v>715.44578380960399</v>
      </c>
      <c r="X34" s="584">
        <v>721.81980275254909</v>
      </c>
      <c r="Y34" s="584">
        <v>743.86566710005809</v>
      </c>
      <c r="Z34" s="584">
        <v>749.19808087731326</v>
      </c>
      <c r="AA34" s="584">
        <v>760.19327867962431</v>
      </c>
      <c r="AB34" s="584">
        <v>756.87468016913999</v>
      </c>
      <c r="AC34" s="584">
        <v>762.02965262538135</v>
      </c>
      <c r="AD34" s="584">
        <v>765.56270267396735</v>
      </c>
      <c r="AE34" s="584">
        <v>773.36683417085419</v>
      </c>
      <c r="AF34" s="584">
        <v>778.61153381959377</v>
      </c>
      <c r="AG34" s="584">
        <v>780.36896138412635</v>
      </c>
      <c r="AH34" s="584">
        <v>774.25349059282019</v>
      </c>
      <c r="AI34" s="584">
        <v>768.14748431698888</v>
      </c>
      <c r="AJ34" s="584">
        <v>776.96652081001321</v>
      </c>
      <c r="AK34" s="584">
        <v>772.71467096806714</v>
      </c>
      <c r="AL34" s="585" t="s">
        <v>65</v>
      </c>
      <c r="AM34" s="10"/>
      <c r="AN34" s="978">
        <v>-0.54723720109760166</v>
      </c>
    </row>
    <row r="35" spans="1:40" ht="12.75" customHeight="1">
      <c r="A35" s="384"/>
      <c r="B35" s="119" t="s">
        <v>56</v>
      </c>
      <c r="C35" s="590">
        <v>177.45521506157567</v>
      </c>
      <c r="D35" s="590">
        <v>300.56153692019723</v>
      </c>
      <c r="E35" s="880">
        <v>379.55329977904995</v>
      </c>
      <c r="F35" s="880">
        <v>377.81031319013277</v>
      </c>
      <c r="G35" s="880">
        <v>376.68646042361235</v>
      </c>
      <c r="H35" s="880">
        <v>377.60875320678457</v>
      </c>
      <c r="I35" s="880">
        <v>380.29486639944253</v>
      </c>
      <c r="J35" s="880">
        <v>385.51042950765873</v>
      </c>
      <c r="K35" s="880">
        <v>378.18237199143857</v>
      </c>
      <c r="L35" s="880">
        <v>397.95395643651676</v>
      </c>
      <c r="M35" s="880">
        <v>401.86091963047056</v>
      </c>
      <c r="N35" s="880">
        <v>404.96666627218912</v>
      </c>
      <c r="O35" s="880">
        <v>411.22578404578195</v>
      </c>
      <c r="P35" s="880">
        <v>413.97760333293104</v>
      </c>
      <c r="Q35" s="880">
        <v>417.32465601640683</v>
      </c>
      <c r="R35" s="880">
        <v>422.43105724422975</v>
      </c>
      <c r="S35" s="880">
        <v>429.3890863572845</v>
      </c>
      <c r="T35" s="880">
        <v>437.2442335157026</v>
      </c>
      <c r="U35" s="880">
        <v>445.23250135544083</v>
      </c>
      <c r="V35" s="880">
        <v>454.87844960631566</v>
      </c>
      <c r="W35" s="880">
        <v>457.81988526545388</v>
      </c>
      <c r="X35" s="880">
        <v>461.89956401538927</v>
      </c>
      <c r="Y35" s="880">
        <v>469.18798733005372</v>
      </c>
      <c r="Z35" s="880">
        <v>476.54672103364106</v>
      </c>
      <c r="AA35" s="880">
        <v>483.64026904098466</v>
      </c>
      <c r="AB35" s="880">
        <v>489.4831018976227</v>
      </c>
      <c r="AC35" s="880">
        <v>494.61849653139956</v>
      </c>
      <c r="AD35" s="880">
        <v>500.95792885475919</v>
      </c>
      <c r="AE35" s="880">
        <v>506.41868871732152</v>
      </c>
      <c r="AF35" s="880">
        <v>513.51806087258171</v>
      </c>
      <c r="AG35" s="880">
        <v>516.4862058791955</v>
      </c>
      <c r="AH35" s="880">
        <v>521.8366563702823</v>
      </c>
      <c r="AI35" s="880">
        <v>544.36693166429529</v>
      </c>
      <c r="AJ35" s="880">
        <v>553.52176020732611</v>
      </c>
      <c r="AK35" s="880">
        <v>549.96115856777863</v>
      </c>
      <c r="AL35" s="119" t="s">
        <v>56</v>
      </c>
      <c r="AM35" s="10"/>
      <c r="AN35" s="979">
        <v>-0.64326317328767857</v>
      </c>
    </row>
    <row r="36" spans="1:40" ht="12.75" customHeight="1">
      <c r="A36" s="384"/>
      <c r="B36" s="592" t="s">
        <v>27</v>
      </c>
      <c r="C36" s="593">
        <v>223.34764076011609</v>
      </c>
      <c r="D36" s="593">
        <v>354.64338147723771</v>
      </c>
      <c r="E36" s="594">
        <v>441.81055788295367</v>
      </c>
      <c r="F36" s="594">
        <v>446.8656543667708</v>
      </c>
      <c r="G36" s="594">
        <v>447.48789041741566</v>
      </c>
      <c r="H36" s="594">
        <v>446.22110418636828</v>
      </c>
      <c r="I36" s="594">
        <v>450.92369745686682</v>
      </c>
      <c r="J36" s="594">
        <v>457.23791245808405</v>
      </c>
      <c r="K36" s="594">
        <v>461.50731795904335</v>
      </c>
      <c r="L36" s="594">
        <v>468.32542681461825</v>
      </c>
      <c r="M36" s="594">
        <v>474.94762784274161</v>
      </c>
      <c r="N36" s="594">
        <v>483.96093262784944</v>
      </c>
      <c r="O36" s="594">
        <v>492.11825839752748</v>
      </c>
      <c r="P36" s="594">
        <v>500.26000416502836</v>
      </c>
      <c r="Q36" s="594">
        <v>506.01933071392057</v>
      </c>
      <c r="R36" s="594">
        <v>509.75211253223046</v>
      </c>
      <c r="S36" s="594">
        <v>513.99845882093064</v>
      </c>
      <c r="T36" s="594">
        <v>517.68008271208112</v>
      </c>
      <c r="U36" s="594">
        <v>519.39666567182587</v>
      </c>
      <c r="V36" s="594">
        <v>520.94424516566414</v>
      </c>
      <c r="W36" s="594">
        <v>518.03240673416906</v>
      </c>
      <c r="X36" s="594">
        <v>514.98868582135231</v>
      </c>
      <c r="Y36" s="594">
        <v>517.8850830239993</v>
      </c>
      <c r="Z36" s="984">
        <v>523.34090373670188</v>
      </c>
      <c r="AA36" s="594">
        <v>529.25652999231261</v>
      </c>
      <c r="AB36" s="594">
        <v>530.84531718944027</v>
      </c>
      <c r="AC36" s="594">
        <v>532.2490618094979</v>
      </c>
      <c r="AD36" s="594">
        <v>535.36706421879535</v>
      </c>
      <c r="AE36" s="594">
        <v>537.32432255880667</v>
      </c>
      <c r="AF36" s="594">
        <v>538.74975984573553</v>
      </c>
      <c r="AG36" s="594">
        <v>538.67089424610629</v>
      </c>
      <c r="AH36" s="594">
        <v>537.29192067936526</v>
      </c>
      <c r="AI36" s="594">
        <v>537.2749501170664</v>
      </c>
      <c r="AJ36" s="594">
        <v>538.90360806203046</v>
      </c>
      <c r="AK36" s="594">
        <v>535.57275150206146</v>
      </c>
      <c r="AL36" s="592" t="s">
        <v>27</v>
      </c>
      <c r="AM36" s="11"/>
      <c r="AN36" s="980">
        <v>-0.61808021140315361</v>
      </c>
    </row>
    <row r="37" spans="1:40" ht="12.75" customHeight="1">
      <c r="A37" s="384"/>
      <c r="B37" s="119" t="s">
        <v>311</v>
      </c>
      <c r="C37" s="590"/>
      <c r="D37" s="590"/>
      <c r="E37" s="880"/>
      <c r="F37" s="880"/>
      <c r="G37" s="880"/>
      <c r="H37" s="880"/>
      <c r="I37" s="880"/>
      <c r="J37" s="880"/>
      <c r="K37" s="880"/>
      <c r="L37" s="880"/>
      <c r="M37" s="880"/>
      <c r="N37" s="880"/>
      <c r="O37" s="880"/>
      <c r="P37" s="880"/>
      <c r="Q37" s="880"/>
      <c r="R37" s="880"/>
      <c r="S37" s="880"/>
      <c r="T37" s="880"/>
      <c r="U37" s="880"/>
      <c r="V37" s="880"/>
      <c r="W37" s="880"/>
      <c r="X37" s="880"/>
      <c r="Y37" s="880"/>
      <c r="Z37" s="880"/>
      <c r="AA37" s="880"/>
      <c r="AB37" s="880">
        <v>216.98130643269747</v>
      </c>
      <c r="AC37" s="880">
        <v>226.9629580027262</v>
      </c>
      <c r="AD37" s="880">
        <v>237.64071444125315</v>
      </c>
      <c r="AE37" s="880">
        <v>249.99077042127865</v>
      </c>
      <c r="AF37" s="880">
        <v>259.69573507358103</v>
      </c>
      <c r="AG37" s="880">
        <v>273.52128760848524</v>
      </c>
      <c r="AH37" s="880">
        <v>283.05238025353731</v>
      </c>
      <c r="AI37" s="880">
        <v>286.28349683867924</v>
      </c>
      <c r="AJ37" s="880">
        <v>284.7022878656241</v>
      </c>
      <c r="AK37" s="880">
        <v>291.38198667825083</v>
      </c>
      <c r="AL37" s="119" t="s">
        <v>311</v>
      </c>
      <c r="AM37" s="10"/>
      <c r="AN37" s="206">
        <v>2.3462048242406439</v>
      </c>
    </row>
    <row r="38" spans="1:40" ht="12.75" customHeight="1">
      <c r="A38" s="384"/>
      <c r="B38" s="585" t="s">
        <v>139</v>
      </c>
      <c r="C38" s="588"/>
      <c r="D38" s="588"/>
      <c r="E38" s="584"/>
      <c r="F38" s="584"/>
      <c r="G38" s="584"/>
      <c r="H38" s="584"/>
      <c r="I38" s="584"/>
      <c r="J38" s="584"/>
      <c r="K38" s="584"/>
      <c r="L38" s="584"/>
      <c r="M38" s="584"/>
      <c r="N38" s="584"/>
      <c r="O38" s="584"/>
      <c r="P38" s="584"/>
      <c r="Q38" s="584"/>
      <c r="R38" s="584"/>
      <c r="S38" s="584"/>
      <c r="T38" s="584"/>
      <c r="U38" s="584"/>
      <c r="V38" s="584"/>
      <c r="W38" s="584"/>
      <c r="X38" s="584"/>
      <c r="Y38" s="584">
        <v>265.63362103734772</v>
      </c>
      <c r="Z38" s="584">
        <v>277.23808172714206</v>
      </c>
      <c r="AA38" s="584">
        <v>280.02409432865244</v>
      </c>
      <c r="AB38" s="882">
        <v>280.02409432865244</v>
      </c>
      <c r="AC38" s="584">
        <v>279.81559205206889</v>
      </c>
      <c r="AD38" s="584">
        <v>282.71763272679351</v>
      </c>
      <c r="AE38" s="584">
        <v>296.81532551290434</v>
      </c>
      <c r="AF38" s="584">
        <v>310.49924561225913</v>
      </c>
      <c r="AG38" s="584">
        <v>331.82091413766392</v>
      </c>
      <c r="AH38" s="584">
        <v>350.487961368318</v>
      </c>
      <c r="AI38" s="584">
        <v>338.48847905480403</v>
      </c>
      <c r="AJ38" s="584">
        <v>358.44438004607542</v>
      </c>
      <c r="AK38" s="584">
        <v>369.25222354648571</v>
      </c>
      <c r="AL38" s="585" t="s">
        <v>139</v>
      </c>
      <c r="AM38" s="10"/>
      <c r="AN38" s="978">
        <v>3.015207965883306</v>
      </c>
    </row>
    <row r="39" spans="1:40" ht="12.75" customHeight="1">
      <c r="A39" s="384"/>
      <c r="B39" s="119" t="s">
        <v>313</v>
      </c>
      <c r="C39" s="590"/>
      <c r="D39" s="590"/>
      <c r="E39" s="880"/>
      <c r="F39" s="880"/>
      <c r="G39" s="880"/>
      <c r="H39" s="880"/>
      <c r="I39" s="880"/>
      <c r="J39" s="880"/>
      <c r="K39" s="880"/>
      <c r="L39" s="880"/>
      <c r="M39" s="880"/>
      <c r="N39" s="880"/>
      <c r="O39" s="880"/>
      <c r="P39" s="880"/>
      <c r="Q39" s="880"/>
      <c r="R39" s="880"/>
      <c r="S39" s="880"/>
      <c r="T39" s="880"/>
      <c r="U39" s="880"/>
      <c r="V39" s="880"/>
      <c r="W39" s="880"/>
      <c r="X39" s="880"/>
      <c r="Y39" s="880"/>
      <c r="Z39" s="880"/>
      <c r="AA39" s="880">
        <v>128.21446400994299</v>
      </c>
      <c r="AB39" s="880">
        <v>169.89194841408155</v>
      </c>
      <c r="AC39" s="877">
        <v>180.09873506676038</v>
      </c>
      <c r="AD39" s="880">
        <v>187.54442477876105</v>
      </c>
      <c r="AE39" s="880">
        <v>196.68381294964027</v>
      </c>
      <c r="AF39" s="880">
        <v>215.50714547453279</v>
      </c>
      <c r="AG39" s="880">
        <v>229.80625931445601</v>
      </c>
      <c r="AH39" s="880">
        <v>245.47105561861522</v>
      </c>
      <c r="AI39" s="880">
        <v>258.06169078446305</v>
      </c>
      <c r="AJ39" s="880">
        <v>275.41529004994231</v>
      </c>
      <c r="AK39" s="880">
        <v>296.87299771804533</v>
      </c>
      <c r="AL39" s="119" t="s">
        <v>313</v>
      </c>
      <c r="AM39" s="10"/>
      <c r="AN39" s="206">
        <v>7.7910371875911295</v>
      </c>
    </row>
    <row r="40" spans="1:40" ht="12.75" customHeight="1">
      <c r="A40" s="384"/>
      <c r="B40" s="585" t="s">
        <v>0</v>
      </c>
      <c r="C40" s="588"/>
      <c r="D40" s="588"/>
      <c r="E40" s="584"/>
      <c r="F40" s="584"/>
      <c r="G40" s="584"/>
      <c r="H40" s="584">
        <v>149.72523429823605</v>
      </c>
      <c r="I40" s="584">
        <v>134.46365208594645</v>
      </c>
      <c r="J40" s="584">
        <v>145.00628142296418</v>
      </c>
      <c r="K40" s="584">
        <v>142.6244276633802</v>
      </c>
      <c r="L40" s="584">
        <v>144.43301337435202</v>
      </c>
      <c r="M40" s="584">
        <v>143.42787442769804</v>
      </c>
      <c r="N40" s="584">
        <v>143.45229320857271</v>
      </c>
      <c r="O40" s="584">
        <v>147.70234236221341</v>
      </c>
      <c r="P40" s="584">
        <v>152.06133860086888</v>
      </c>
      <c r="Q40" s="584">
        <v>152.19993141119974</v>
      </c>
      <c r="R40" s="584">
        <v>147.69702033408677</v>
      </c>
      <c r="S40" s="584">
        <v>122.54495390124588</v>
      </c>
      <c r="T40" s="584">
        <v>124.2248029692217</v>
      </c>
      <c r="U40" s="584">
        <v>118.6552402836321</v>
      </c>
      <c r="V40" s="584">
        <v>121.63934955263042</v>
      </c>
      <c r="W40" s="584">
        <v>128.43383762427277</v>
      </c>
      <c r="X40" s="584">
        <v>137.47404665609858</v>
      </c>
      <c r="Y40" s="584">
        <v>150.79638980325515</v>
      </c>
      <c r="Z40" s="584">
        <v>151.99578210248208</v>
      </c>
      <c r="AA40" s="584">
        <v>146.32297819806487</v>
      </c>
      <c r="AB40" s="584">
        <v>167.87840266748123</v>
      </c>
      <c r="AC40" s="584">
        <v>179.51576765972089</v>
      </c>
      <c r="AD40" s="584">
        <v>185.31215993217717</v>
      </c>
      <c r="AE40" s="584">
        <v>190.44877229225801</v>
      </c>
      <c r="AF40" s="584">
        <v>194.34096547922445</v>
      </c>
      <c r="AG40" s="584">
        <v>199.82456579552959</v>
      </c>
      <c r="AH40" s="584">
        <v>205.19878338643375</v>
      </c>
      <c r="AI40" s="584">
        <v>207.46052799486466</v>
      </c>
      <c r="AJ40" s="584">
        <v>260.09273240528353</v>
      </c>
      <c r="AK40" s="879">
        <v>264.20445541254043</v>
      </c>
      <c r="AL40" s="585" t="s">
        <v>0</v>
      </c>
      <c r="AM40" s="10"/>
      <c r="AN40" s="978">
        <v>1.5808680885592423</v>
      </c>
    </row>
    <row r="41" spans="1:40" ht="12.75" customHeight="1">
      <c r="A41" s="384"/>
      <c r="B41" s="939" t="s">
        <v>346</v>
      </c>
      <c r="C41" s="590"/>
      <c r="D41" s="590"/>
      <c r="E41" s="880"/>
      <c r="F41" s="880"/>
      <c r="G41" s="880"/>
      <c r="H41" s="880"/>
      <c r="I41" s="880"/>
      <c r="J41" s="880"/>
      <c r="K41" s="880"/>
      <c r="L41" s="880"/>
      <c r="M41" s="880"/>
      <c r="N41" s="880"/>
      <c r="O41" s="880"/>
      <c r="P41" s="880"/>
      <c r="Q41" s="880"/>
      <c r="R41" s="880"/>
      <c r="S41" s="880"/>
      <c r="T41" s="880"/>
      <c r="U41" s="880"/>
      <c r="V41" s="880"/>
      <c r="W41" s="880"/>
      <c r="X41" s="880"/>
      <c r="Y41" s="880"/>
      <c r="Z41" s="880"/>
      <c r="AA41" s="880"/>
      <c r="AB41" s="880">
        <v>164.50291259454966</v>
      </c>
      <c r="AC41" s="880">
        <v>220.16356079903474</v>
      </c>
      <c r="AD41" s="880">
        <v>240.48489409740887</v>
      </c>
      <c r="AE41" s="880">
        <v>261.76644612984779</v>
      </c>
      <c r="AF41" s="880">
        <v>276.27946234924457</v>
      </c>
      <c r="AG41" s="880">
        <v>291.56667017594367</v>
      </c>
      <c r="AH41" s="880">
        <v>320.18172338033895</v>
      </c>
      <c r="AI41" s="880">
        <v>319.17572755045967</v>
      </c>
      <c r="AJ41" s="880">
        <v>343.17921991451067</v>
      </c>
      <c r="AK41" s="880">
        <v>356.76783562170317</v>
      </c>
      <c r="AL41" s="939" t="s">
        <v>346</v>
      </c>
      <c r="AM41" s="939"/>
      <c r="AN41" s="979">
        <v>3.9596266086791445</v>
      </c>
    </row>
    <row r="42" spans="1:40" ht="12.75" customHeight="1">
      <c r="A42" s="384"/>
      <c r="B42" s="935" t="s">
        <v>145</v>
      </c>
      <c r="C42" s="989"/>
      <c r="D42" s="989"/>
      <c r="E42" s="584"/>
      <c r="F42" s="584"/>
      <c r="G42" s="584"/>
      <c r="H42" s="584">
        <v>17.615695383363715</v>
      </c>
      <c r="I42" s="584">
        <v>20.918261186468015</v>
      </c>
      <c r="J42" s="584">
        <v>17.874505025890954</v>
      </c>
      <c r="K42" s="584">
        <v>20.238142150703439</v>
      </c>
      <c r="L42" s="584">
        <v>22.902263067469885</v>
      </c>
      <c r="M42" s="584">
        <v>26.906026332132289</v>
      </c>
      <c r="N42" s="584">
        <v>30.162527542122813</v>
      </c>
      <c r="O42" s="584">
        <v>37.388217612405889</v>
      </c>
      <c r="P42" s="584">
        <v>43.296560346650026</v>
      </c>
      <c r="Q42" s="584">
        <v>47.870281531310141</v>
      </c>
      <c r="R42" s="584">
        <v>56.027988670153498</v>
      </c>
      <c r="S42" s="584">
        <v>60.607819839073677</v>
      </c>
      <c r="T42" s="584">
        <v>61.961301852599263</v>
      </c>
      <c r="U42" s="584">
        <v>71.405257523492324</v>
      </c>
      <c r="V42" s="584">
        <v>75.056229397012672</v>
      </c>
      <c r="W42" s="584">
        <v>83.156315145440644</v>
      </c>
      <c r="X42" s="584">
        <v>92.32867295178545</v>
      </c>
      <c r="Y42" s="584">
        <v>101.37337606165866</v>
      </c>
      <c r="Z42" s="584">
        <v>103.67660027116702</v>
      </c>
      <c r="AA42" s="584">
        <v>102.61028307974753</v>
      </c>
      <c r="AB42" s="584">
        <v>118.13432056628523</v>
      </c>
      <c r="AC42" s="584">
        <v>131.00475570691759</v>
      </c>
      <c r="AD42" s="584">
        <v>140.36414067086011</v>
      </c>
      <c r="AE42" s="584">
        <v>151.43376308971278</v>
      </c>
      <c r="AF42" s="584">
        <v>145.42818162688252</v>
      </c>
      <c r="AG42" s="584">
        <v>160.71222078327239</v>
      </c>
      <c r="AH42" s="584">
        <v>175.54388597149287</v>
      </c>
      <c r="AI42" s="584">
        <v>190.65243073482696</v>
      </c>
      <c r="AJ42" s="584">
        <v>212.37174218711968</v>
      </c>
      <c r="AK42" s="584">
        <v>231.50933182706112</v>
      </c>
      <c r="AL42" s="935" t="s">
        <v>145</v>
      </c>
      <c r="AM42" s="935"/>
      <c r="AN42" s="978">
        <v>9.0113634906659996</v>
      </c>
    </row>
    <row r="43" spans="1:40" ht="12.75" customHeight="1">
      <c r="A43" s="384"/>
      <c r="B43" s="939" t="s">
        <v>138</v>
      </c>
      <c r="C43" s="590"/>
      <c r="D43" s="590"/>
      <c r="E43" s="880"/>
      <c r="F43" s="880"/>
      <c r="G43" s="880"/>
      <c r="H43" s="880"/>
      <c r="I43" s="880"/>
      <c r="J43" s="880"/>
      <c r="K43" s="880"/>
      <c r="L43" s="880"/>
      <c r="M43" s="880"/>
      <c r="N43" s="880"/>
      <c r="O43" s="880"/>
      <c r="P43" s="880">
        <v>184.26723304833857</v>
      </c>
      <c r="Q43" s="880">
        <v>179.37160705804015</v>
      </c>
      <c r="R43" s="880">
        <v>185.81795580691067</v>
      </c>
      <c r="S43" s="880">
        <v>194.45188806405537</v>
      </c>
      <c r="T43" s="880">
        <v>199.51526411668351</v>
      </c>
      <c r="U43" s="880">
        <v>204.36717006520044</v>
      </c>
      <c r="V43" s="880">
        <v>200.48070010659146</v>
      </c>
      <c r="W43" s="880">
        <v>202.67495140040057</v>
      </c>
      <c r="X43" s="880">
        <v>224.04192767793074</v>
      </c>
      <c r="Y43" s="876">
        <v>215.891804633741</v>
      </c>
      <c r="Z43" s="880">
        <v>232.44999167896344</v>
      </c>
      <c r="AA43" s="880">
        <v>240.36605140565942</v>
      </c>
      <c r="AB43" s="880"/>
      <c r="AC43" s="880">
        <v>252.64657153463409</v>
      </c>
      <c r="AD43" s="880">
        <v>259.29812621495876</v>
      </c>
      <c r="AE43" s="880">
        <v>268.21335880204629</v>
      </c>
      <c r="AF43" s="880">
        <v>281.19727873278714</v>
      </c>
      <c r="AG43" s="880">
        <v>287.16811770186354</v>
      </c>
      <c r="AH43" s="880">
        <v>300.82889339159095</v>
      </c>
      <c r="AI43" s="880">
        <v>315.04084888017218</v>
      </c>
      <c r="AJ43" s="880">
        <v>328.93327379818317</v>
      </c>
      <c r="AK43" s="880">
        <v>351.96938142325848</v>
      </c>
      <c r="AL43" s="939" t="s">
        <v>138</v>
      </c>
      <c r="AM43" s="939"/>
      <c r="AN43" s="979">
        <v>7.0032767920004062</v>
      </c>
    </row>
    <row r="44" spans="1:40" ht="12.75" customHeight="1">
      <c r="A44" s="384"/>
      <c r="B44" s="935" t="s">
        <v>40</v>
      </c>
      <c r="C44" s="989"/>
      <c r="D44" s="989"/>
      <c r="E44" s="584"/>
      <c r="F44" s="584"/>
      <c r="G44" s="584"/>
      <c r="H44" s="584">
        <v>43.606740851138483</v>
      </c>
      <c r="I44" s="584">
        <v>46.756085395260513</v>
      </c>
      <c r="J44" s="584">
        <v>49.063649641916861</v>
      </c>
      <c r="K44" s="584">
        <v>51.57396997047838</v>
      </c>
      <c r="L44" s="584">
        <v>55.229153638113488</v>
      </c>
      <c r="M44" s="584">
        <v>58.344558903312823</v>
      </c>
      <c r="N44" s="584">
        <v>60.881462204227347</v>
      </c>
      <c r="O44" s="584">
        <v>68.317844749027188</v>
      </c>
      <c r="P44" s="584">
        <v>69.124764721699378</v>
      </c>
      <c r="Q44" s="584">
        <v>69.277285658798888</v>
      </c>
      <c r="R44" s="584">
        <v>69.958852759134317</v>
      </c>
      <c r="S44" s="584">
        <v>79.406299826609882</v>
      </c>
      <c r="T44" s="584">
        <v>83.832410896464225</v>
      </c>
      <c r="U44" s="584">
        <v>88.06819025168906</v>
      </c>
      <c r="V44" s="584">
        <v>91.691447694860017</v>
      </c>
      <c r="W44" s="584">
        <v>95.035019596711834</v>
      </c>
      <c r="X44" s="584">
        <v>97.76510104999204</v>
      </c>
      <c r="Y44" s="584">
        <v>102.34081939272455</v>
      </c>
      <c r="Z44" s="584">
        <v>108.57397614689278</v>
      </c>
      <c r="AA44" s="584">
        <v>114.36168412224862</v>
      </c>
      <c r="AB44" s="584">
        <v>121.09275667312188</v>
      </c>
      <c r="AC44" s="584">
        <v>126.87818137748935</v>
      </c>
      <c r="AD44" s="584">
        <v>134.48305041081937</v>
      </c>
      <c r="AE44" s="584">
        <v>141.80312338035353</v>
      </c>
      <c r="AF44" s="584">
        <v>148.9407227585763</v>
      </c>
      <c r="AG44" s="584">
        <v>151.19028145521207</v>
      </c>
      <c r="AH44" s="584">
        <v>150.35836030395146</v>
      </c>
      <c r="AI44" s="584">
        <v>156.66017998199877</v>
      </c>
      <c r="AJ44" s="584">
        <v>161.85664635256904</v>
      </c>
      <c r="AK44" s="879">
        <v>167.32442300676692</v>
      </c>
      <c r="AL44" s="935" t="s">
        <v>40</v>
      </c>
      <c r="AM44" s="935"/>
      <c r="AN44" s="981">
        <v>3.3781601048915348</v>
      </c>
    </row>
    <row r="45" spans="1:40" ht="12.75" customHeight="1">
      <c r="A45" s="384"/>
      <c r="B45" s="939" t="s">
        <v>312</v>
      </c>
      <c r="C45" s="590"/>
      <c r="D45" s="590"/>
      <c r="E45" s="878"/>
      <c r="F45" s="878"/>
      <c r="G45" s="878"/>
      <c r="H45" s="878">
        <v>81.57907914655614</v>
      </c>
      <c r="I45" s="878">
        <v>85.107002531409677</v>
      </c>
      <c r="J45" s="878">
        <v>90.154687432674351</v>
      </c>
      <c r="K45" s="878">
        <v>96.300237574760942</v>
      </c>
      <c r="L45" s="878">
        <v>100.19066896668629</v>
      </c>
      <c r="M45" s="878">
        <v>103.21945081934211</v>
      </c>
      <c r="N45" s="878"/>
      <c r="O45" s="878"/>
      <c r="P45" s="878"/>
      <c r="Q45" s="878"/>
      <c r="R45" s="878"/>
      <c r="S45" s="878"/>
      <c r="T45" s="878">
        <v>118.4827880366646</v>
      </c>
      <c r="U45" s="878">
        <v>0</v>
      </c>
      <c r="V45" s="878">
        <v>0</v>
      </c>
      <c r="W45" s="878">
        <v>139.10869743005512</v>
      </c>
      <c r="X45" s="878">
        <v>146.3232356962227</v>
      </c>
      <c r="Y45" s="878">
        <v>148.45529247999136</v>
      </c>
      <c r="Z45" s="878">
        <v>151.81612188092379</v>
      </c>
      <c r="AA45" s="878"/>
      <c r="AB45" s="878"/>
      <c r="AC45" s="878"/>
      <c r="AD45" s="878"/>
      <c r="AE45" s="878"/>
      <c r="AF45" s="878"/>
      <c r="AG45" s="878"/>
      <c r="AH45" s="878"/>
      <c r="AI45" s="878"/>
      <c r="AJ45" s="878"/>
      <c r="AK45" s="878"/>
      <c r="AL45" s="939" t="s">
        <v>312</v>
      </c>
      <c r="AM45" s="939"/>
      <c r="AN45" s="532"/>
    </row>
    <row r="46" spans="1:40" ht="12.75" customHeight="1">
      <c r="A46" s="8"/>
      <c r="B46" s="567" t="s">
        <v>44</v>
      </c>
      <c r="C46" s="990">
        <v>213.33773155659458</v>
      </c>
      <c r="D46" s="990">
        <v>277.20998646713343</v>
      </c>
      <c r="E46" s="594">
        <v>361.39956192206176</v>
      </c>
      <c r="F46" s="594">
        <v>360.97069401345402</v>
      </c>
      <c r="G46" s="594">
        <v>363.7517322440325</v>
      </c>
      <c r="H46" s="594">
        <v>368.42752365079423</v>
      </c>
      <c r="I46" s="594">
        <v>375.2054933815495</v>
      </c>
      <c r="J46" s="594">
        <v>377.84604613851548</v>
      </c>
      <c r="K46" s="594">
        <v>391.80953923356788</v>
      </c>
      <c r="L46" s="594">
        <v>401.57825563173691</v>
      </c>
      <c r="M46" s="594">
        <v>408.37073466680471</v>
      </c>
      <c r="N46" s="594">
        <v>418.94767268644244</v>
      </c>
      <c r="O46" s="594">
        <v>424.86367873128211</v>
      </c>
      <c r="P46" s="594">
        <v>435.78480759919165</v>
      </c>
      <c r="Q46" s="594">
        <v>445.24323245267163</v>
      </c>
      <c r="R46" s="594">
        <v>451.42416953582057</v>
      </c>
      <c r="S46" s="594">
        <v>462.03550726504</v>
      </c>
      <c r="T46" s="594">
        <v>467.27364424636141</v>
      </c>
      <c r="U46" s="594">
        <v>465.77916669579832</v>
      </c>
      <c r="V46" s="594">
        <v>468.93855218782761</v>
      </c>
      <c r="W46" s="594">
        <v>468.22722346253107</v>
      </c>
      <c r="X46" s="594">
        <v>466.36077630662408</v>
      </c>
      <c r="Y46" s="594">
        <v>465.44585038252671</v>
      </c>
      <c r="Z46" s="594">
        <v>462.74782704451081</v>
      </c>
      <c r="AA46" s="594">
        <v>463.87636889573332</v>
      </c>
      <c r="AB46" s="594">
        <v>467.36400561151913</v>
      </c>
      <c r="AC46" s="594">
        <v>470.49658604600688</v>
      </c>
      <c r="AD46" s="594">
        <v>476.76897814535198</v>
      </c>
      <c r="AE46" s="594">
        <v>482.84173860143846</v>
      </c>
      <c r="AF46" s="594">
        <v>485.25976627547607</v>
      </c>
      <c r="AG46" s="594">
        <v>487.54250596785045</v>
      </c>
      <c r="AH46" s="985">
        <v>490.22510435301137</v>
      </c>
      <c r="AI46" s="594">
        <v>487.87538048343782</v>
      </c>
      <c r="AJ46" s="594">
        <v>488.32923044943652</v>
      </c>
      <c r="AK46" s="595">
        <v>490.93195266272193</v>
      </c>
      <c r="AL46" s="567" t="s">
        <v>44</v>
      </c>
      <c r="AM46" s="567"/>
      <c r="AN46" s="982">
        <v>0.53298513605054154</v>
      </c>
    </row>
    <row r="47" spans="1:40" ht="12.75" customHeight="1">
      <c r="A47" s="8"/>
      <c r="B47" s="1285" t="s">
        <v>124</v>
      </c>
      <c r="C47" s="1285"/>
      <c r="D47" s="1285"/>
      <c r="E47" s="1285"/>
      <c r="F47" s="1285"/>
      <c r="G47" s="1285"/>
      <c r="H47" s="1285"/>
      <c r="I47" s="1285"/>
      <c r="J47" s="1285"/>
      <c r="K47" s="1285"/>
      <c r="L47" s="1285"/>
      <c r="M47" s="1285"/>
      <c r="N47" s="1285"/>
      <c r="O47" s="1285"/>
      <c r="P47" s="1285"/>
      <c r="Q47" s="1285"/>
      <c r="R47" s="1285"/>
      <c r="S47" s="1285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522"/>
      <c r="AJ47" s="574"/>
      <c r="AK47" s="974"/>
      <c r="AL47" s="112"/>
      <c r="AM47" s="523"/>
    </row>
    <row r="48" spans="1:40" ht="15" customHeight="1">
      <c r="B48" s="1284" t="s">
        <v>291</v>
      </c>
      <c r="C48" s="1284"/>
      <c r="D48" s="1284"/>
      <c r="E48" s="1284"/>
      <c r="F48" s="1284"/>
      <c r="G48" s="1284"/>
      <c r="H48" s="1284"/>
      <c r="I48" s="1284"/>
      <c r="J48" s="1284"/>
      <c r="K48" s="1284"/>
      <c r="L48" s="1284"/>
      <c r="M48" s="1284"/>
      <c r="N48" s="1284"/>
      <c r="O48" s="1284"/>
      <c r="P48" s="1284"/>
      <c r="Q48" s="1284"/>
      <c r="R48" s="1284"/>
      <c r="S48" s="1284"/>
      <c r="T48" s="1284"/>
      <c r="U48" s="1284"/>
      <c r="V48" s="1284"/>
      <c r="W48" s="1284"/>
      <c r="X48" s="1284"/>
      <c r="Y48" s="1284"/>
      <c r="Z48" s="1284"/>
      <c r="AA48" s="1284"/>
      <c r="AB48" s="1284"/>
      <c r="AC48" s="1284"/>
      <c r="AD48" s="1284"/>
      <c r="AE48" s="1284"/>
      <c r="AF48" s="1284"/>
      <c r="AG48" s="1284"/>
      <c r="AH48" s="1284"/>
      <c r="AI48" s="1284"/>
      <c r="AJ48" s="1284"/>
      <c r="AK48" s="1284"/>
      <c r="AL48" s="1284"/>
      <c r="AM48" s="1284"/>
    </row>
    <row r="49" spans="2:31" ht="27" customHeight="1">
      <c r="B49"/>
      <c r="C49"/>
      <c r="D49"/>
      <c r="E49"/>
      <c r="F49"/>
      <c r="G49"/>
      <c r="H49"/>
      <c r="I49"/>
      <c r="J49"/>
      <c r="K49"/>
      <c r="L49"/>
      <c r="M49"/>
      <c r="N49"/>
      <c r="O49"/>
    </row>
    <row r="50" spans="2:31" ht="12.75" customHeight="1">
      <c r="M50" s="22"/>
      <c r="AA50" s="2"/>
      <c r="AB50" s="2"/>
      <c r="AC50" s="2"/>
      <c r="AD50" s="2"/>
      <c r="AE50" s="2"/>
    </row>
    <row r="51" spans="2:31">
      <c r="AA51" s="2"/>
      <c r="AB51" s="2"/>
      <c r="AC51" s="2"/>
      <c r="AD51" s="2"/>
      <c r="AE51" s="2"/>
    </row>
    <row r="52" spans="2:31">
      <c r="AA52" s="2"/>
      <c r="AB52" s="2"/>
      <c r="AC52" s="2"/>
      <c r="AD52" s="2"/>
      <c r="AE52" s="2"/>
    </row>
    <row r="53" spans="2:31">
      <c r="AA53" s="2"/>
      <c r="AB53" s="2"/>
      <c r="AC53" s="2"/>
      <c r="AD53" s="2"/>
      <c r="AE53" s="2"/>
    </row>
    <row r="54" spans="2:31">
      <c r="AA54" s="2"/>
      <c r="AB54" s="2"/>
      <c r="AC54" s="2"/>
      <c r="AD54" s="2"/>
      <c r="AE54" s="2"/>
    </row>
    <row r="55" spans="2:31">
      <c r="AA55" s="2"/>
      <c r="AB55" s="2"/>
      <c r="AC55" s="2"/>
      <c r="AD55" s="2"/>
      <c r="AE55" s="2"/>
    </row>
    <row r="56" spans="2:31">
      <c r="AA56" s="2"/>
      <c r="AB56" s="2"/>
      <c r="AC56" s="2"/>
      <c r="AD56" s="2"/>
      <c r="AE56" s="2"/>
    </row>
  </sheetData>
  <mergeCells count="5">
    <mergeCell ref="B48:AM48"/>
    <mergeCell ref="B47:S47"/>
    <mergeCell ref="B1:C1"/>
    <mergeCell ref="B2:AL2"/>
    <mergeCell ref="B3:AL3"/>
  </mergeCells>
  <phoneticPr fontId="9" type="noConversion"/>
  <printOptions horizontalCentered="1"/>
  <pageMargins left="0.6692913385826772" right="0.48" top="0.47" bottom="0.39" header="0.31" footer="0"/>
  <pageSetup paperSize="9" scale="9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66">
    <pageSetUpPr fitToPage="1"/>
  </sheetPr>
  <dimension ref="A1:AN55"/>
  <sheetViews>
    <sheetView topLeftCell="L1" zoomScaleNormal="100" workbookViewId="0">
      <selection activeCell="L61" sqref="L61"/>
    </sheetView>
  </sheetViews>
  <sheetFormatPr defaultRowHeight="11.25"/>
  <cols>
    <col min="1" max="1" width="2.7109375" style="3" customWidth="1"/>
    <col min="2" max="2" width="4" style="3" customWidth="1"/>
    <col min="3" max="4" width="6.7109375" style="3" customWidth="1"/>
    <col min="5" max="5" width="8.85546875" style="3" customWidth="1"/>
    <col min="6" max="6" width="8" style="3" customWidth="1"/>
    <col min="7" max="7" width="8.28515625" style="3" customWidth="1"/>
    <col min="8" max="8" width="8.42578125" style="3" customWidth="1"/>
    <col min="9" max="9" width="9.28515625" style="3" customWidth="1"/>
    <col min="10" max="10" width="7.5703125" style="3" customWidth="1"/>
    <col min="11" max="11" width="8.42578125" style="3" customWidth="1"/>
    <col min="12" max="13" width="8" style="3" customWidth="1"/>
    <col min="14" max="14" width="8.5703125" style="3" customWidth="1"/>
    <col min="15" max="15" width="9.7109375" style="3" customWidth="1"/>
    <col min="16" max="16" width="7.5703125" style="20" customWidth="1"/>
    <col min="17" max="17" width="7.85546875" style="25" customWidth="1"/>
    <col min="18" max="18" width="9" style="24" customWidth="1"/>
    <col min="19" max="19" width="8.28515625" style="24" customWidth="1"/>
    <col min="20" max="20" width="7.42578125" style="24" customWidth="1"/>
    <col min="21" max="21" width="8.5703125" style="24" customWidth="1"/>
    <col min="22" max="22" width="8.85546875" style="24" customWidth="1"/>
    <col min="23" max="23" width="8.28515625" style="24" customWidth="1"/>
    <col min="24" max="24" width="9" style="24" customWidth="1"/>
    <col min="25" max="25" width="9.140625" style="24" customWidth="1"/>
    <col min="26" max="26" width="9.85546875" style="3" customWidth="1"/>
    <col min="27" max="27" width="8.85546875" style="3" customWidth="1"/>
    <col min="28" max="28" width="9.140625" style="3" customWidth="1"/>
    <col min="29" max="29" width="8.42578125" style="2" customWidth="1"/>
    <col min="30" max="30" width="7.5703125" style="3" customWidth="1"/>
    <col min="31" max="31" width="7.7109375" style="3" customWidth="1"/>
    <col min="32" max="33" width="8.140625" style="3" customWidth="1"/>
    <col min="34" max="34" width="8.5703125" style="3" customWidth="1"/>
    <col min="35" max="35" width="8.42578125" style="3" customWidth="1"/>
    <col min="36" max="37" width="8.28515625" style="3" customWidth="1"/>
    <col min="38" max="38" width="7.28515625" style="934" customWidth="1"/>
    <col min="39" max="39" width="7.42578125" style="36" customWidth="1"/>
    <col min="40" max="40" width="6.140625" style="3" customWidth="1"/>
    <col min="41" max="16384" width="9.140625" style="3"/>
  </cols>
  <sheetData>
    <row r="1" spans="1:40" ht="14.25" customHeight="1"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113"/>
      <c r="Q1" s="114"/>
      <c r="R1" s="115"/>
      <c r="S1" s="115"/>
      <c r="AN1" s="17" t="s">
        <v>103</v>
      </c>
    </row>
    <row r="2" spans="1:40" s="48" customFormat="1" ht="30" customHeight="1">
      <c r="B2" s="1287" t="s">
        <v>261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  <c r="AD2" s="1287"/>
      <c r="AE2" s="1287"/>
      <c r="AF2" s="1287"/>
      <c r="AG2" s="1287"/>
      <c r="AH2" s="1287"/>
      <c r="AI2" s="1287"/>
      <c r="AJ2" s="1287"/>
      <c r="AK2" s="1287"/>
      <c r="AL2" s="1287"/>
      <c r="AM2" s="1287"/>
      <c r="AN2" s="1287"/>
    </row>
    <row r="3" spans="1:40" ht="20.100000000000001" customHeight="1">
      <c r="B3" s="1291" t="s">
        <v>87</v>
      </c>
      <c r="C3" s="1291"/>
      <c r="D3" s="1291"/>
      <c r="E3" s="1291"/>
      <c r="F3" s="1291"/>
      <c r="G3" s="1291"/>
      <c r="H3" s="1291"/>
      <c r="I3" s="1291"/>
      <c r="J3" s="1291"/>
      <c r="K3" s="1291"/>
      <c r="L3" s="1291"/>
      <c r="M3" s="1291"/>
      <c r="N3" s="1291"/>
      <c r="O3" s="1291"/>
      <c r="P3" s="1291"/>
      <c r="Q3" s="1291"/>
      <c r="R3" s="1291"/>
      <c r="S3" s="1291"/>
      <c r="T3" s="1291"/>
      <c r="U3" s="1291"/>
      <c r="V3" s="1291"/>
      <c r="W3" s="1291"/>
      <c r="X3" s="1291"/>
      <c r="Y3" s="1291"/>
      <c r="Z3" s="1291"/>
      <c r="AA3" s="1291"/>
      <c r="AB3" s="1291"/>
      <c r="AC3" s="1291"/>
      <c r="AD3" s="1291"/>
      <c r="AE3" s="1291"/>
      <c r="AF3" s="1291"/>
      <c r="AG3" s="1291"/>
      <c r="AH3" s="1291"/>
      <c r="AI3" s="1291"/>
      <c r="AJ3" s="1291"/>
      <c r="AK3" s="1291"/>
      <c r="AL3" s="1291"/>
      <c r="AM3" s="1291"/>
      <c r="AN3" s="1291"/>
    </row>
    <row r="4" spans="1:40" ht="12.75" customHeight="1">
      <c r="W4" s="35"/>
      <c r="Y4" s="35"/>
      <c r="AF4" s="338"/>
      <c r="AG4" s="338"/>
      <c r="AI4" s="1045"/>
      <c r="AJ4" s="1045"/>
      <c r="AL4" s="1045" t="s">
        <v>1</v>
      </c>
    </row>
    <row r="5" spans="1:40" ht="20.100000000000001" customHeight="1">
      <c r="B5" s="83"/>
      <c r="C5" s="85">
        <v>1970</v>
      </c>
      <c r="D5" s="85">
        <v>1980</v>
      </c>
      <c r="E5" s="74">
        <v>1990</v>
      </c>
      <c r="F5" s="75">
        <v>1991</v>
      </c>
      <c r="G5" s="75">
        <v>1992</v>
      </c>
      <c r="H5" s="75">
        <v>1993</v>
      </c>
      <c r="I5" s="75">
        <v>1994</v>
      </c>
      <c r="J5" s="75">
        <v>1995</v>
      </c>
      <c r="K5" s="75">
        <v>1996</v>
      </c>
      <c r="L5" s="75">
        <v>1997</v>
      </c>
      <c r="M5" s="75">
        <v>1998</v>
      </c>
      <c r="N5" s="75">
        <v>1999</v>
      </c>
      <c r="O5" s="75">
        <v>2000</v>
      </c>
      <c r="P5" s="75">
        <v>2001</v>
      </c>
      <c r="Q5" s="75">
        <v>2002</v>
      </c>
      <c r="R5" s="75">
        <v>2003</v>
      </c>
      <c r="S5" s="75">
        <v>2004</v>
      </c>
      <c r="T5" s="75">
        <v>2005</v>
      </c>
      <c r="U5" s="75">
        <v>2006</v>
      </c>
      <c r="V5" s="75">
        <v>2007</v>
      </c>
      <c r="W5" s="75">
        <v>2008</v>
      </c>
      <c r="X5" s="75">
        <v>2009</v>
      </c>
      <c r="Y5" s="75">
        <v>2010</v>
      </c>
      <c r="Z5" s="75">
        <v>2011</v>
      </c>
      <c r="AA5" s="75">
        <v>2012</v>
      </c>
      <c r="AB5" s="75">
        <v>2013</v>
      </c>
      <c r="AC5" s="75">
        <v>2014</v>
      </c>
      <c r="AD5" s="75">
        <v>2015</v>
      </c>
      <c r="AE5" s="75">
        <v>2016</v>
      </c>
      <c r="AF5" s="75">
        <v>2017</v>
      </c>
      <c r="AG5" s="75">
        <v>2018</v>
      </c>
      <c r="AH5" s="75">
        <v>2019</v>
      </c>
      <c r="AI5" s="75">
        <v>2020</v>
      </c>
      <c r="AJ5" s="75">
        <v>2021</v>
      </c>
      <c r="AK5" s="75">
        <v>2022</v>
      </c>
      <c r="AL5" s="343">
        <v>2023</v>
      </c>
      <c r="AM5" s="379" t="s">
        <v>370</v>
      </c>
      <c r="AN5" s="2"/>
    </row>
    <row r="6" spans="1:40" ht="9.9499999999999993" customHeight="1">
      <c r="B6" s="83"/>
      <c r="C6" s="86"/>
      <c r="D6" s="86"/>
      <c r="E6" s="106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196"/>
      <c r="Z6" s="197"/>
      <c r="AA6" s="197"/>
      <c r="AB6" s="197"/>
      <c r="AC6" s="197"/>
      <c r="AD6" s="197"/>
      <c r="AE6" s="197"/>
      <c r="AF6" s="197"/>
      <c r="AG6" s="197"/>
      <c r="AH6" s="197"/>
      <c r="AI6" s="197"/>
      <c r="AJ6" s="197"/>
      <c r="AK6" s="196"/>
      <c r="AL6" s="117"/>
      <c r="AM6" s="575" t="s">
        <v>80</v>
      </c>
      <c r="AN6" s="2"/>
    </row>
    <row r="7" spans="1:40" ht="9.9499999999999993" customHeight="1">
      <c r="B7" s="345" t="s">
        <v>238</v>
      </c>
      <c r="C7" s="346"/>
      <c r="D7" s="346"/>
      <c r="E7" s="385">
        <v>142905.84</v>
      </c>
      <c r="F7" s="385">
        <v>147715.546</v>
      </c>
      <c r="G7" s="385">
        <v>151935.88999999998</v>
      </c>
      <c r="H7" s="385">
        <v>154504.25600000002</v>
      </c>
      <c r="I7" s="385">
        <v>157225.75399999999</v>
      </c>
      <c r="J7" s="385">
        <v>160510.82700000002</v>
      </c>
      <c r="K7" s="385">
        <v>163940.296</v>
      </c>
      <c r="L7" s="385">
        <v>162964.19499999998</v>
      </c>
      <c r="M7" s="385">
        <v>167368.82200000001</v>
      </c>
      <c r="N7" s="385">
        <v>172409.592</v>
      </c>
      <c r="O7" s="385">
        <v>176925.68</v>
      </c>
      <c r="P7" s="385">
        <v>180942.44099999999</v>
      </c>
      <c r="Q7" s="385">
        <v>184398.49799999999</v>
      </c>
      <c r="R7" s="385">
        <v>186788.36999999997</v>
      </c>
      <c r="S7" s="385">
        <v>189431.42999999991</v>
      </c>
      <c r="T7" s="385">
        <v>193282.03199999998</v>
      </c>
      <c r="U7" s="385">
        <v>197443.94699999999</v>
      </c>
      <c r="V7" s="385">
        <v>202154.45699999997</v>
      </c>
      <c r="W7" s="385">
        <v>206337.81099999999</v>
      </c>
      <c r="X7" s="385">
        <v>208421.37599999996</v>
      </c>
      <c r="Y7" s="385">
        <v>211305.391</v>
      </c>
      <c r="Z7" s="385">
        <v>214258.79799999998</v>
      </c>
      <c r="AA7" s="385">
        <v>216028.24600000001</v>
      </c>
      <c r="AB7" s="385">
        <v>221705.16399999996</v>
      </c>
      <c r="AC7" s="385">
        <v>224317.33700000003</v>
      </c>
      <c r="AD7" s="385">
        <v>225651.59</v>
      </c>
      <c r="AE7" s="385">
        <v>231377.22299999997</v>
      </c>
      <c r="AF7" s="385">
        <v>234871.79000000004</v>
      </c>
      <c r="AG7" s="385">
        <v>240409.94099999999</v>
      </c>
      <c r="AH7" s="385">
        <v>244850.25100000002</v>
      </c>
      <c r="AI7" s="385">
        <v>247656.04500000001</v>
      </c>
      <c r="AJ7" s="385">
        <v>250246.87899999996</v>
      </c>
      <c r="AK7" s="385">
        <v>252612.22799999997</v>
      </c>
      <c r="AL7" s="1044">
        <v>256538.56800000006</v>
      </c>
      <c r="AM7" s="571">
        <v>1.5542953051346728</v>
      </c>
      <c r="AN7" s="392" t="s">
        <v>238</v>
      </c>
    </row>
    <row r="8" spans="1:40" ht="12.75" customHeight="1">
      <c r="B8" s="10" t="s">
        <v>45</v>
      </c>
      <c r="C8" s="121">
        <v>2059.616</v>
      </c>
      <c r="D8" s="121">
        <v>3158.7370000000001</v>
      </c>
      <c r="E8" s="235">
        <v>3864</v>
      </c>
      <c r="F8" s="235">
        <v>3970</v>
      </c>
      <c r="G8" s="235">
        <v>4021</v>
      </c>
      <c r="H8" s="235">
        <v>4110</v>
      </c>
      <c r="I8" s="235">
        <v>4210</v>
      </c>
      <c r="J8" s="235">
        <v>4273</v>
      </c>
      <c r="K8" s="235">
        <v>4339</v>
      </c>
      <c r="L8" s="235">
        <v>4415</v>
      </c>
      <c r="M8" s="235">
        <v>4492</v>
      </c>
      <c r="N8" s="235">
        <v>4584</v>
      </c>
      <c r="O8" s="235">
        <v>4678</v>
      </c>
      <c r="P8" s="235">
        <v>4740</v>
      </c>
      <c r="Q8" s="235">
        <v>4787</v>
      </c>
      <c r="R8" s="235">
        <v>4821</v>
      </c>
      <c r="S8" s="235">
        <v>4874</v>
      </c>
      <c r="T8" s="235">
        <v>4919</v>
      </c>
      <c r="U8" s="235">
        <v>4976</v>
      </c>
      <c r="V8" s="235">
        <v>5049</v>
      </c>
      <c r="W8" s="235">
        <v>5131</v>
      </c>
      <c r="X8" s="235">
        <v>5193</v>
      </c>
      <c r="Y8" s="235">
        <v>5276</v>
      </c>
      <c r="Z8" s="235">
        <v>5407</v>
      </c>
      <c r="AA8" s="235">
        <v>5444</v>
      </c>
      <c r="AB8" s="235">
        <v>5505.1</v>
      </c>
      <c r="AC8" s="235">
        <v>5584.69</v>
      </c>
      <c r="AD8" s="235">
        <v>5662.0590000000002</v>
      </c>
      <c r="AE8" s="235">
        <v>5731.2920000000004</v>
      </c>
      <c r="AF8" s="246">
        <v>5798.9390000000003</v>
      </c>
      <c r="AG8" s="235">
        <v>5848.4250000000002</v>
      </c>
      <c r="AH8" s="430">
        <v>5881.8739999999998</v>
      </c>
      <c r="AI8" s="430">
        <v>5897.4880000000003</v>
      </c>
      <c r="AJ8" s="410">
        <v>5926.009</v>
      </c>
      <c r="AK8" s="959">
        <v>5955.1270000000004</v>
      </c>
      <c r="AL8" s="479">
        <v>6047.5510000000004</v>
      </c>
      <c r="AM8" s="786">
        <v>1.5520072032048944</v>
      </c>
      <c r="AN8" s="403" t="s">
        <v>45</v>
      </c>
    </row>
    <row r="9" spans="1:40" ht="12.75" customHeight="1">
      <c r="B9" s="119" t="s">
        <v>28</v>
      </c>
      <c r="C9" s="122">
        <v>160</v>
      </c>
      <c r="D9" s="122">
        <v>820</v>
      </c>
      <c r="E9" s="236">
        <v>1317.4</v>
      </c>
      <c r="F9" s="236">
        <v>1359</v>
      </c>
      <c r="G9" s="236">
        <v>1411.3</v>
      </c>
      <c r="H9" s="236">
        <v>1505.451</v>
      </c>
      <c r="I9" s="236">
        <v>1587.873</v>
      </c>
      <c r="J9" s="236">
        <v>1647.5709999999999</v>
      </c>
      <c r="K9" s="236">
        <v>1707.0229999999999</v>
      </c>
      <c r="L9" s="236">
        <v>1730.5060000000001</v>
      </c>
      <c r="M9" s="236">
        <v>1809.35</v>
      </c>
      <c r="N9" s="236">
        <v>1908.4</v>
      </c>
      <c r="O9" s="236">
        <v>1992.7</v>
      </c>
      <c r="P9" s="236">
        <v>2085.6999999999998</v>
      </c>
      <c r="Q9" s="236">
        <v>2174.1</v>
      </c>
      <c r="R9" s="236">
        <v>2309.3000000000002</v>
      </c>
      <c r="S9" s="236">
        <v>2438.4</v>
      </c>
      <c r="T9" s="237">
        <v>2538.0920000000001</v>
      </c>
      <c r="U9" s="236">
        <v>1767.742</v>
      </c>
      <c r="V9" s="236">
        <v>2081.5169999999998</v>
      </c>
      <c r="W9" s="236">
        <v>2366.1959999999999</v>
      </c>
      <c r="X9" s="236">
        <v>2502</v>
      </c>
      <c r="Y9" s="236">
        <v>2602.4</v>
      </c>
      <c r="Z9" s="236">
        <v>2695</v>
      </c>
      <c r="AA9" s="236">
        <v>2807</v>
      </c>
      <c r="AB9" s="236">
        <v>2910.2350000000001</v>
      </c>
      <c r="AC9" s="236">
        <v>3013.8629999999998</v>
      </c>
      <c r="AD9" s="236">
        <v>3162.0369999999998</v>
      </c>
      <c r="AE9" s="236">
        <v>3143.5680000000002</v>
      </c>
      <c r="AF9" s="236">
        <v>2770.6149999999998</v>
      </c>
      <c r="AG9" s="236">
        <v>2773.3249999999998</v>
      </c>
      <c r="AH9" s="409">
        <v>2829.9459999999999</v>
      </c>
      <c r="AI9" s="409">
        <v>2866.7629999999999</v>
      </c>
      <c r="AJ9" s="409">
        <v>2830.4639999999999</v>
      </c>
      <c r="AK9" s="958">
        <v>2896.777</v>
      </c>
      <c r="AL9" s="494">
        <v>3006.2150000000001</v>
      </c>
      <c r="AM9" s="525">
        <v>3.7779228432150802</v>
      </c>
      <c r="AN9" s="209" t="s">
        <v>28</v>
      </c>
    </row>
    <row r="10" spans="1:40" ht="12.75" customHeight="1">
      <c r="A10" s="8"/>
      <c r="B10" s="10" t="s">
        <v>30</v>
      </c>
      <c r="C10" s="121">
        <v>685</v>
      </c>
      <c r="D10" s="121">
        <v>1780</v>
      </c>
      <c r="E10" s="235">
        <v>2410</v>
      </c>
      <c r="F10" s="235">
        <v>2480</v>
      </c>
      <c r="G10" s="235">
        <v>2580</v>
      </c>
      <c r="H10" s="235">
        <v>2833.143</v>
      </c>
      <c r="I10" s="235">
        <v>2923.9160000000002</v>
      </c>
      <c r="J10" s="235">
        <v>3043.3159999999998</v>
      </c>
      <c r="K10" s="235">
        <v>3192.5320000000002</v>
      </c>
      <c r="L10" s="235">
        <v>3391.5410000000002</v>
      </c>
      <c r="M10" s="235">
        <v>3492.9609999999998</v>
      </c>
      <c r="N10" s="235">
        <v>3439.7449999999999</v>
      </c>
      <c r="O10" s="235">
        <v>3438.87</v>
      </c>
      <c r="P10" s="235">
        <v>3529.7910000000002</v>
      </c>
      <c r="Q10" s="235">
        <v>3647.067</v>
      </c>
      <c r="R10" s="235">
        <v>3706.0120000000002</v>
      </c>
      <c r="S10" s="235">
        <v>3815.547</v>
      </c>
      <c r="T10" s="235">
        <v>3958.7080000000001</v>
      </c>
      <c r="U10" s="235">
        <v>4108.6099999999997</v>
      </c>
      <c r="V10" s="235">
        <v>4280.0810000000001</v>
      </c>
      <c r="W10" s="235">
        <v>4423.37</v>
      </c>
      <c r="X10" s="235">
        <v>4435.0519999999997</v>
      </c>
      <c r="Y10" s="235">
        <v>4496.232</v>
      </c>
      <c r="Z10" s="235">
        <v>4581.6419999999998</v>
      </c>
      <c r="AA10" s="235">
        <v>4706</v>
      </c>
      <c r="AB10" s="329">
        <v>4729.1850000000004</v>
      </c>
      <c r="AC10" s="235">
        <v>4833.3860000000004</v>
      </c>
      <c r="AD10" s="235">
        <v>5115.3159999999998</v>
      </c>
      <c r="AE10" s="235">
        <v>5307.808</v>
      </c>
      <c r="AF10" s="235">
        <v>5538.2219999999998</v>
      </c>
      <c r="AG10" s="235">
        <v>5747.9129999999996</v>
      </c>
      <c r="AH10" s="410">
        <v>5924.9949999999999</v>
      </c>
      <c r="AI10" s="410">
        <v>6049.2550000000001</v>
      </c>
      <c r="AJ10" s="410">
        <v>6088.73</v>
      </c>
      <c r="AK10" s="959">
        <v>6305.9340000000002</v>
      </c>
      <c r="AL10" s="479">
        <v>6512.7740000000003</v>
      </c>
      <c r="AM10" s="448">
        <v>3.280085075422619</v>
      </c>
      <c r="AN10" s="54" t="s">
        <v>30</v>
      </c>
    </row>
    <row r="11" spans="1:40" ht="12.75" customHeight="1">
      <c r="A11" s="8"/>
      <c r="B11" s="119" t="s">
        <v>41</v>
      </c>
      <c r="C11" s="122">
        <v>1076.875</v>
      </c>
      <c r="D11" s="122">
        <v>1390</v>
      </c>
      <c r="E11" s="236">
        <v>1590</v>
      </c>
      <c r="F11" s="236">
        <v>1594</v>
      </c>
      <c r="G11" s="236">
        <v>1604.0530000000001</v>
      </c>
      <c r="H11" s="236">
        <v>1617.7339999999999</v>
      </c>
      <c r="I11" s="236">
        <v>1611.191</v>
      </c>
      <c r="J11" s="236">
        <v>1679.0070000000001</v>
      </c>
      <c r="K11" s="236">
        <v>1738.854</v>
      </c>
      <c r="L11" s="236">
        <v>1783.098</v>
      </c>
      <c r="M11" s="236">
        <v>1817.1469999999999</v>
      </c>
      <c r="N11" s="236">
        <v>1843.2539999999999</v>
      </c>
      <c r="O11" s="236">
        <v>1854.06</v>
      </c>
      <c r="P11" s="236">
        <v>1872.6310000000001</v>
      </c>
      <c r="Q11" s="236">
        <v>1888.29</v>
      </c>
      <c r="R11" s="236">
        <v>1894.6489999999999</v>
      </c>
      <c r="S11" s="236">
        <v>1915.8209999999999</v>
      </c>
      <c r="T11" s="236">
        <v>1964.682</v>
      </c>
      <c r="U11" s="236">
        <v>2020.0129999999999</v>
      </c>
      <c r="V11" s="236">
        <v>2068.4929999999999</v>
      </c>
      <c r="W11" s="236">
        <v>2099.09</v>
      </c>
      <c r="X11" s="236">
        <v>2120.3220000000001</v>
      </c>
      <c r="Y11" s="236">
        <v>2163.6750000000002</v>
      </c>
      <c r="Z11" s="236">
        <v>2197.8310000000001</v>
      </c>
      <c r="AA11" s="236">
        <v>2237.1219999999998</v>
      </c>
      <c r="AB11" s="236">
        <v>2278.0210000000002</v>
      </c>
      <c r="AC11" s="236">
        <v>2319.2069999999999</v>
      </c>
      <c r="AD11" s="236">
        <v>2390.8229999999999</v>
      </c>
      <c r="AE11" s="236">
        <v>2465.5340000000001</v>
      </c>
      <c r="AF11" s="236">
        <v>2530.0520000000001</v>
      </c>
      <c r="AG11" s="236">
        <v>2594.482</v>
      </c>
      <c r="AH11" s="409">
        <v>2651.741</v>
      </c>
      <c r="AI11" s="409">
        <v>2723.6120000000001</v>
      </c>
      <c r="AJ11" s="409">
        <v>2787.5529999999999</v>
      </c>
      <c r="AK11" s="958">
        <v>2801.076</v>
      </c>
      <c r="AL11" s="494">
        <v>2827.864</v>
      </c>
      <c r="AM11" s="525">
        <v>0.95634677531062096</v>
      </c>
      <c r="AN11" s="209" t="s">
        <v>41</v>
      </c>
    </row>
    <row r="12" spans="1:40" ht="12.75" customHeight="1">
      <c r="A12" s="8"/>
      <c r="B12" s="10" t="s">
        <v>46</v>
      </c>
      <c r="C12" s="121">
        <v>15107.079</v>
      </c>
      <c r="D12" s="121">
        <v>25869.616000000005</v>
      </c>
      <c r="E12" s="235">
        <v>36772</v>
      </c>
      <c r="F12" s="235">
        <v>37947</v>
      </c>
      <c r="G12" s="235">
        <v>38892</v>
      </c>
      <c r="H12" s="235">
        <v>39202.065999999999</v>
      </c>
      <c r="I12" s="235">
        <v>39917.576999999997</v>
      </c>
      <c r="J12" s="235">
        <v>40499.442000000003</v>
      </c>
      <c r="K12" s="238">
        <v>41045.216999999997</v>
      </c>
      <c r="L12" s="235">
        <v>36924.646999999997</v>
      </c>
      <c r="M12" s="235">
        <v>37553.548999999999</v>
      </c>
      <c r="N12" s="235">
        <v>38426.775999999998</v>
      </c>
      <c r="O12" s="235">
        <v>39058.936999999998</v>
      </c>
      <c r="P12" s="235">
        <v>39388.319000000003</v>
      </c>
      <c r="Q12" s="235">
        <v>39720.951000000001</v>
      </c>
      <c r="R12" s="235">
        <v>40017.482000000004</v>
      </c>
      <c r="S12" s="235">
        <v>40179.476999999999</v>
      </c>
      <c r="T12" s="235">
        <v>40659.5</v>
      </c>
      <c r="U12" s="235">
        <v>41019.699999999997</v>
      </c>
      <c r="V12" s="235">
        <v>41183.593999999997</v>
      </c>
      <c r="W12" s="235">
        <v>41321.171000000002</v>
      </c>
      <c r="X12" s="235">
        <v>41737.627</v>
      </c>
      <c r="Y12" s="235">
        <v>42301.563000000002</v>
      </c>
      <c r="Z12" s="235">
        <v>42928</v>
      </c>
      <c r="AA12" s="235">
        <v>43431</v>
      </c>
      <c r="AB12" s="235">
        <v>43851</v>
      </c>
      <c r="AC12" s="235">
        <v>44403</v>
      </c>
      <c r="AD12" s="235">
        <v>45071</v>
      </c>
      <c r="AE12" s="235">
        <v>45803.56</v>
      </c>
      <c r="AF12" s="235">
        <v>46474.593999999997</v>
      </c>
      <c r="AG12" s="235">
        <v>47095.784</v>
      </c>
      <c r="AH12" s="410">
        <v>47715.976999999999</v>
      </c>
      <c r="AI12" s="410">
        <v>48248.584000000003</v>
      </c>
      <c r="AJ12" s="410">
        <v>48540.877999999997</v>
      </c>
      <c r="AK12" s="959">
        <v>48763.036</v>
      </c>
      <c r="AL12" s="479">
        <v>49098.684999999998</v>
      </c>
      <c r="AM12" s="448">
        <v>0.68832670713938171</v>
      </c>
      <c r="AN12" s="54" t="s">
        <v>46</v>
      </c>
    </row>
    <row r="13" spans="1:40" ht="12.75" customHeight="1">
      <c r="A13" s="8"/>
      <c r="B13" s="119" t="s">
        <v>31</v>
      </c>
      <c r="C13" s="122">
        <v>30</v>
      </c>
      <c r="D13" s="122">
        <v>127</v>
      </c>
      <c r="E13" s="236">
        <v>241</v>
      </c>
      <c r="F13" s="236">
        <v>261</v>
      </c>
      <c r="G13" s="236">
        <v>284</v>
      </c>
      <c r="H13" s="236">
        <v>317.42500000000001</v>
      </c>
      <c r="I13" s="236">
        <v>337.81200000000001</v>
      </c>
      <c r="J13" s="236">
        <v>383.44400000000002</v>
      </c>
      <c r="K13" s="236">
        <v>406.59800000000001</v>
      </c>
      <c r="L13" s="236">
        <v>427.678</v>
      </c>
      <c r="M13" s="236">
        <v>450.95400000000001</v>
      </c>
      <c r="N13" s="236">
        <v>458.7</v>
      </c>
      <c r="O13" s="236">
        <v>463.9</v>
      </c>
      <c r="P13" s="236">
        <v>407.3</v>
      </c>
      <c r="Q13" s="236">
        <v>400.7</v>
      </c>
      <c r="R13" s="236">
        <v>434</v>
      </c>
      <c r="S13" s="236">
        <v>471.2</v>
      </c>
      <c r="T13" s="236">
        <v>493.78</v>
      </c>
      <c r="U13" s="237">
        <v>554.01199999999994</v>
      </c>
      <c r="V13" s="236">
        <v>523.76599999999996</v>
      </c>
      <c r="W13" s="236">
        <v>551.83000000000004</v>
      </c>
      <c r="X13" s="236">
        <v>545.70000000000005</v>
      </c>
      <c r="Y13" s="236">
        <v>552.70000000000005</v>
      </c>
      <c r="Z13" s="236">
        <v>574</v>
      </c>
      <c r="AA13" s="236">
        <v>602.1</v>
      </c>
      <c r="AB13" s="236">
        <v>628.56500000000005</v>
      </c>
      <c r="AC13" s="236">
        <v>652.95000000000005</v>
      </c>
      <c r="AD13" s="236">
        <v>676.596</v>
      </c>
      <c r="AE13" s="236">
        <v>703.15099999999995</v>
      </c>
      <c r="AF13" s="236">
        <v>725.94399999999996</v>
      </c>
      <c r="AG13" s="236">
        <v>746.46400000000006</v>
      </c>
      <c r="AH13" s="409">
        <v>794.92600000000004</v>
      </c>
      <c r="AI13" s="409">
        <v>808.68899999999996</v>
      </c>
      <c r="AJ13" s="409">
        <v>825.93600000000004</v>
      </c>
      <c r="AK13" s="958">
        <v>849.29399999999998</v>
      </c>
      <c r="AL13" s="494">
        <v>865.77300000000002</v>
      </c>
      <c r="AM13" s="525">
        <v>1.9403174872305868</v>
      </c>
      <c r="AN13" s="209" t="s">
        <v>31</v>
      </c>
    </row>
    <row r="14" spans="1:40" ht="12.75" customHeight="1">
      <c r="A14" s="8"/>
      <c r="B14" s="10" t="s">
        <v>49</v>
      </c>
      <c r="C14" s="121">
        <v>393.459</v>
      </c>
      <c r="D14" s="121">
        <v>738.11400000000003</v>
      </c>
      <c r="E14" s="235">
        <v>801.38499999999999</v>
      </c>
      <c r="F14" s="235">
        <v>841.94600000000003</v>
      </c>
      <c r="G14" s="235">
        <v>864.20900000000006</v>
      </c>
      <c r="H14" s="235">
        <v>897.17100000000005</v>
      </c>
      <c r="I14" s="235">
        <v>945.947</v>
      </c>
      <c r="J14" s="235">
        <v>998.47</v>
      </c>
      <c r="K14" s="235">
        <v>1066.6020000000001</v>
      </c>
      <c r="L14" s="235">
        <v>1144.769</v>
      </c>
      <c r="M14" s="235">
        <v>1208.1500000000001</v>
      </c>
      <c r="N14" s="235">
        <v>1282.3209999999999</v>
      </c>
      <c r="O14" s="235">
        <v>1332.8869999999999</v>
      </c>
      <c r="P14" s="235">
        <v>1401.251</v>
      </c>
      <c r="Q14" s="235">
        <v>1466.1599999999999</v>
      </c>
      <c r="R14" s="235">
        <v>1526.962</v>
      </c>
      <c r="S14" s="235">
        <v>1603.577</v>
      </c>
      <c r="T14" s="235">
        <v>1684.0449999999998</v>
      </c>
      <c r="U14" s="235">
        <v>1802.1450000000002</v>
      </c>
      <c r="V14" s="235">
        <v>1909.5550000000001</v>
      </c>
      <c r="W14" s="235">
        <v>1953.3340000000001</v>
      </c>
      <c r="X14" s="235">
        <v>1930.7130000000002</v>
      </c>
      <c r="Y14" s="235">
        <v>1899.395</v>
      </c>
      <c r="Z14" s="235">
        <v>1912.9389999999999</v>
      </c>
      <c r="AA14" s="235">
        <v>1906.73</v>
      </c>
      <c r="AB14" s="235">
        <v>1981.83</v>
      </c>
      <c r="AC14" s="235">
        <v>2018.31</v>
      </c>
      <c r="AD14" s="235">
        <v>2060.17</v>
      </c>
      <c r="AE14" s="235">
        <v>2102.7199999999998</v>
      </c>
      <c r="AF14" s="235">
        <v>2142.39</v>
      </c>
      <c r="AG14" s="235">
        <v>2182.92</v>
      </c>
      <c r="AH14" s="410">
        <v>2253.21</v>
      </c>
      <c r="AI14" s="410">
        <v>2291.94</v>
      </c>
      <c r="AJ14" s="410">
        <v>2309.7600000000002</v>
      </c>
      <c r="AK14" s="959">
        <v>2335.13</v>
      </c>
      <c r="AL14" s="479">
        <v>2418.9470000000001</v>
      </c>
      <c r="AM14" s="448">
        <v>3.5893933100084325</v>
      </c>
      <c r="AN14" s="54" t="s">
        <v>49</v>
      </c>
    </row>
    <row r="15" spans="1:40" ht="12.75" customHeight="1">
      <c r="A15" s="8"/>
      <c r="B15" s="119" t="s">
        <v>42</v>
      </c>
      <c r="C15" s="122">
        <v>226.893</v>
      </c>
      <c r="D15" s="122">
        <v>862.60900000000004</v>
      </c>
      <c r="E15" s="236">
        <v>1735.5229999999999</v>
      </c>
      <c r="F15" s="236">
        <v>1777.4839999999999</v>
      </c>
      <c r="G15" s="236">
        <v>1829.1</v>
      </c>
      <c r="H15" s="236">
        <v>1958.5440000000001</v>
      </c>
      <c r="I15" s="236">
        <v>2074.0810000000001</v>
      </c>
      <c r="J15" s="236">
        <v>2204.761</v>
      </c>
      <c r="K15" s="236">
        <v>2339.4209999999998</v>
      </c>
      <c r="L15" s="236">
        <v>2500.0990000000002</v>
      </c>
      <c r="M15" s="236">
        <v>2675.6759999999999</v>
      </c>
      <c r="N15" s="236">
        <v>2928.8809999999999</v>
      </c>
      <c r="O15" s="236">
        <v>3195.0650000000001</v>
      </c>
      <c r="P15" s="236">
        <v>3423.7040000000002</v>
      </c>
      <c r="Q15" s="236">
        <v>3646.069</v>
      </c>
      <c r="R15" s="236">
        <v>3839.549</v>
      </c>
      <c r="S15" s="236">
        <v>4073.511</v>
      </c>
      <c r="T15" s="236">
        <v>4303.1289999999999</v>
      </c>
      <c r="U15" s="236">
        <v>4543.0159999999996</v>
      </c>
      <c r="V15" s="236">
        <v>4798.53</v>
      </c>
      <c r="W15" s="236">
        <v>5023.9440000000004</v>
      </c>
      <c r="X15" s="236">
        <v>5131.96</v>
      </c>
      <c r="Y15" s="236">
        <v>5216.8729999999996</v>
      </c>
      <c r="Z15" s="236">
        <v>5203.5910000000003</v>
      </c>
      <c r="AA15" s="236">
        <v>5167.5569999999998</v>
      </c>
      <c r="AB15" s="236">
        <v>5124.2079999999996</v>
      </c>
      <c r="AC15" s="236">
        <v>5110.8729999999996</v>
      </c>
      <c r="AD15" s="236">
        <v>5107.62</v>
      </c>
      <c r="AE15" s="236">
        <v>5160.0559999999996</v>
      </c>
      <c r="AF15" s="236">
        <v>5235.9279999999999</v>
      </c>
      <c r="AG15" s="236">
        <v>5282.6949999999997</v>
      </c>
      <c r="AH15" s="409">
        <v>5406.5510000000004</v>
      </c>
      <c r="AI15" s="409">
        <v>5492.1760000000004</v>
      </c>
      <c r="AJ15" s="409">
        <v>5604.192</v>
      </c>
      <c r="AK15" s="958">
        <v>5726.0119999999997</v>
      </c>
      <c r="AL15" s="494">
        <v>5877.759</v>
      </c>
      <c r="AM15" s="525">
        <v>2.6501341596909072</v>
      </c>
      <c r="AN15" s="209" t="s">
        <v>42</v>
      </c>
    </row>
    <row r="16" spans="1:40" ht="12.75" customHeight="1">
      <c r="A16" s="8"/>
      <c r="B16" s="10" t="s">
        <v>47</v>
      </c>
      <c r="C16" s="121">
        <v>2378</v>
      </c>
      <c r="D16" s="121">
        <v>7556.5110000000004</v>
      </c>
      <c r="E16" s="235">
        <v>11995.64</v>
      </c>
      <c r="F16" s="235">
        <v>12537.099</v>
      </c>
      <c r="G16" s="235">
        <v>13102.285</v>
      </c>
      <c r="H16" s="235">
        <v>13440.694</v>
      </c>
      <c r="I16" s="235">
        <v>13733.794</v>
      </c>
      <c r="J16" s="235">
        <v>14212.259</v>
      </c>
      <c r="K16" s="235">
        <v>14753.808999999999</v>
      </c>
      <c r="L16" s="235">
        <v>15297.366</v>
      </c>
      <c r="M16" s="235">
        <v>16050.057000000001</v>
      </c>
      <c r="N16" s="235">
        <v>16847.397000000001</v>
      </c>
      <c r="O16" s="235">
        <v>17449.235000000001</v>
      </c>
      <c r="P16" s="235">
        <v>18150.88</v>
      </c>
      <c r="Q16" s="238">
        <v>18732.632000000001</v>
      </c>
      <c r="R16" s="235">
        <v>18688.32</v>
      </c>
      <c r="S16" s="235">
        <v>19541.918000000001</v>
      </c>
      <c r="T16" s="235">
        <v>20250.377</v>
      </c>
      <c r="U16" s="235">
        <v>20908.724999999999</v>
      </c>
      <c r="V16" s="235">
        <v>21760.173999999999</v>
      </c>
      <c r="W16" s="235">
        <v>22145.364000000001</v>
      </c>
      <c r="X16" s="235">
        <v>21983.485000000001</v>
      </c>
      <c r="Y16" s="235">
        <v>22147.455000000002</v>
      </c>
      <c r="Z16" s="235">
        <v>22277</v>
      </c>
      <c r="AA16" s="235">
        <v>22247.527999999998</v>
      </c>
      <c r="AB16" s="235">
        <v>22025</v>
      </c>
      <c r="AC16" s="235">
        <v>22029.511999999999</v>
      </c>
      <c r="AD16" s="235">
        <v>22355.548999999999</v>
      </c>
      <c r="AE16" s="235">
        <v>24004.934000000001</v>
      </c>
      <c r="AF16" s="235">
        <v>23500.401000000002</v>
      </c>
      <c r="AG16" s="235">
        <v>25304.19</v>
      </c>
      <c r="AH16" s="410">
        <v>25836.585999999999</v>
      </c>
      <c r="AI16" s="410">
        <v>26034.347000000002</v>
      </c>
      <c r="AJ16" s="410">
        <v>26293.882000000001</v>
      </c>
      <c r="AK16" s="959">
        <v>26605.477999999999</v>
      </c>
      <c r="AL16" s="479">
        <v>26778.142</v>
      </c>
      <c r="AM16" s="448">
        <v>0.64897913129019003</v>
      </c>
      <c r="AN16" s="54" t="s">
        <v>47</v>
      </c>
    </row>
    <row r="17" spans="1:40" ht="12.75" customHeight="1">
      <c r="A17" s="8"/>
      <c r="B17" s="119" t="s">
        <v>48</v>
      </c>
      <c r="C17" s="122">
        <v>11900</v>
      </c>
      <c r="D17" s="122">
        <v>19130</v>
      </c>
      <c r="E17" s="236">
        <v>27071.642</v>
      </c>
      <c r="F17" s="236">
        <v>27309.644</v>
      </c>
      <c r="G17" s="236">
        <v>27596.041000000001</v>
      </c>
      <c r="H17" s="236">
        <v>27680.285</v>
      </c>
      <c r="I17" s="236">
        <v>27761.921999999999</v>
      </c>
      <c r="J17" s="236">
        <v>27872.066999999999</v>
      </c>
      <c r="K17" s="236">
        <v>28017.221000000001</v>
      </c>
      <c r="L17" s="236">
        <v>28201.321</v>
      </c>
      <c r="M17" s="236">
        <v>28627.360000000001</v>
      </c>
      <c r="N17" s="236">
        <v>29272.165000000001</v>
      </c>
      <c r="O17" s="236">
        <v>29807.798999999999</v>
      </c>
      <c r="P17" s="236">
        <v>30330.382000000001</v>
      </c>
      <c r="Q17" s="236">
        <v>30590.742999999999</v>
      </c>
      <c r="R17" s="236">
        <v>30582.717000000001</v>
      </c>
      <c r="S17" s="236">
        <v>30537.243999999999</v>
      </c>
      <c r="T17" s="236">
        <v>30497.012999999999</v>
      </c>
      <c r="U17" s="236">
        <v>31002.304</v>
      </c>
      <c r="V17" s="236">
        <v>31442.880000000001</v>
      </c>
      <c r="W17" s="236">
        <v>31109.080999999998</v>
      </c>
      <c r="X17" s="240">
        <v>31394</v>
      </c>
      <c r="Y17" s="236">
        <v>31657</v>
      </c>
      <c r="Z17" s="236">
        <v>31754</v>
      </c>
      <c r="AA17" s="236">
        <v>32132</v>
      </c>
      <c r="AB17" s="236">
        <v>36149.230000000003</v>
      </c>
      <c r="AC17" s="236">
        <v>36647.883000000002</v>
      </c>
      <c r="AD17" s="236">
        <v>37180.101000000002</v>
      </c>
      <c r="AE17" s="236">
        <v>37673.476000000002</v>
      </c>
      <c r="AF17" s="236">
        <v>38117.663</v>
      </c>
      <c r="AG17" s="236">
        <v>38229.305</v>
      </c>
      <c r="AH17" s="236">
        <v>38421.218000000001</v>
      </c>
      <c r="AI17" s="236">
        <v>38467.642999999996</v>
      </c>
      <c r="AJ17" s="236">
        <v>38814.659</v>
      </c>
      <c r="AK17" s="236">
        <v>38856.491999999998</v>
      </c>
      <c r="AL17" s="242">
        <v>39511.536</v>
      </c>
      <c r="AM17" s="525">
        <v>1.685803237204226</v>
      </c>
      <c r="AN17" s="209" t="s">
        <v>48</v>
      </c>
    </row>
    <row r="18" spans="1:40" ht="12.75" customHeight="1">
      <c r="A18" s="8"/>
      <c r="B18" s="10" t="s">
        <v>59</v>
      </c>
      <c r="C18" s="121" t="s">
        <v>57</v>
      </c>
      <c r="D18" s="121" t="s">
        <v>57</v>
      </c>
      <c r="E18" s="239">
        <v>580</v>
      </c>
      <c r="F18" s="239">
        <v>600</v>
      </c>
      <c r="G18" s="239">
        <v>620</v>
      </c>
      <c r="H18" s="235">
        <v>646.21</v>
      </c>
      <c r="I18" s="235">
        <v>698.39099999999996</v>
      </c>
      <c r="J18" s="235">
        <v>710.91</v>
      </c>
      <c r="K18" s="235">
        <v>835.71400000000006</v>
      </c>
      <c r="L18" s="235">
        <v>932.27800000000002</v>
      </c>
      <c r="M18" s="235">
        <v>1000.052</v>
      </c>
      <c r="N18" s="235">
        <v>1063.546</v>
      </c>
      <c r="O18" s="235">
        <v>1124.825</v>
      </c>
      <c r="P18" s="235">
        <v>1195.45</v>
      </c>
      <c r="Q18" s="235">
        <v>1244.252</v>
      </c>
      <c r="R18" s="235">
        <v>1293.421</v>
      </c>
      <c r="S18" s="235">
        <v>1337.538</v>
      </c>
      <c r="T18" s="235">
        <v>1384.6990000000001</v>
      </c>
      <c r="U18" s="235">
        <v>1435.7809999999999</v>
      </c>
      <c r="V18" s="235">
        <v>1491.127</v>
      </c>
      <c r="W18" s="238">
        <v>1535.28</v>
      </c>
      <c r="X18" s="235">
        <v>1532.549</v>
      </c>
      <c r="Y18" s="235">
        <v>1515.4490000000001</v>
      </c>
      <c r="Z18" s="235">
        <v>1518.278</v>
      </c>
      <c r="AA18" s="235">
        <v>1445.22</v>
      </c>
      <c r="AB18" s="235">
        <v>1448.3</v>
      </c>
      <c r="AC18" s="235">
        <v>1474.4949999999999</v>
      </c>
      <c r="AD18" s="235">
        <v>1499.8019999999999</v>
      </c>
      <c r="AE18" s="235">
        <v>1552.904</v>
      </c>
      <c r="AF18" s="235">
        <v>1596.087</v>
      </c>
      <c r="AG18" s="235">
        <v>1666.413</v>
      </c>
      <c r="AH18" s="410">
        <v>1724.9</v>
      </c>
      <c r="AI18" s="410">
        <v>1746.2850000000001</v>
      </c>
      <c r="AJ18" s="410">
        <v>1795.4649999999999</v>
      </c>
      <c r="AK18" s="959">
        <v>1840.7670000000001</v>
      </c>
      <c r="AL18" s="479">
        <v>1910.1310000000001</v>
      </c>
      <c r="AM18" s="448">
        <v>3.7682118377828431</v>
      </c>
      <c r="AN18" s="54" t="s">
        <v>59</v>
      </c>
    </row>
    <row r="19" spans="1:40" ht="12.75" customHeight="1">
      <c r="A19" s="8"/>
      <c r="B19" s="119" t="s">
        <v>50</v>
      </c>
      <c r="C19" s="122">
        <v>10181.191999999999</v>
      </c>
      <c r="D19" s="122">
        <v>17686.236000000001</v>
      </c>
      <c r="E19" s="236">
        <v>27415.828000000001</v>
      </c>
      <c r="F19" s="236">
        <v>28434.922999999999</v>
      </c>
      <c r="G19" s="236">
        <v>29429.628000000001</v>
      </c>
      <c r="H19" s="236">
        <v>29652.024000000001</v>
      </c>
      <c r="I19" s="236">
        <v>29665.308000000001</v>
      </c>
      <c r="J19" s="236">
        <v>30301.423999999999</v>
      </c>
      <c r="K19" s="236">
        <v>30467.172999999999</v>
      </c>
      <c r="L19" s="236">
        <v>30741.953000000001</v>
      </c>
      <c r="M19" s="236">
        <v>31370.764999999999</v>
      </c>
      <c r="N19" s="236">
        <v>32038.291000000001</v>
      </c>
      <c r="O19" s="236">
        <v>32583.814999999999</v>
      </c>
      <c r="P19" s="236">
        <v>33239.029000000002</v>
      </c>
      <c r="Q19" s="236">
        <v>33706.152999999998</v>
      </c>
      <c r="R19" s="236">
        <v>34310.446000000004</v>
      </c>
      <c r="S19" s="236">
        <v>33973.146999999997</v>
      </c>
      <c r="T19" s="236">
        <v>34667.485000000001</v>
      </c>
      <c r="U19" s="236">
        <v>35297.281999999999</v>
      </c>
      <c r="V19" s="236">
        <v>35680.097000000002</v>
      </c>
      <c r="W19" s="236">
        <v>36105.182999999997</v>
      </c>
      <c r="X19" s="236">
        <v>36372</v>
      </c>
      <c r="Y19" s="236">
        <v>36751.311000000002</v>
      </c>
      <c r="Z19" s="236">
        <v>37113.300000000003</v>
      </c>
      <c r="AA19" s="236">
        <v>37078</v>
      </c>
      <c r="AB19" s="236">
        <v>36963</v>
      </c>
      <c r="AC19" s="236">
        <v>37080.752999999997</v>
      </c>
      <c r="AD19" s="236">
        <v>37351.233</v>
      </c>
      <c r="AE19" s="236">
        <v>37876.137999999999</v>
      </c>
      <c r="AF19" s="236">
        <v>38520.321000000004</v>
      </c>
      <c r="AG19" s="236">
        <v>39018.17</v>
      </c>
      <c r="AH19" s="409">
        <v>39545.232000000004</v>
      </c>
      <c r="AI19" s="409">
        <v>39717.874000000003</v>
      </c>
      <c r="AJ19" s="409">
        <v>39822.722999999998</v>
      </c>
      <c r="AK19" s="958">
        <v>40213.061000000002</v>
      </c>
      <c r="AL19" s="494">
        <v>40915.228999999999</v>
      </c>
      <c r="AM19" s="525">
        <v>1.7461192521504216</v>
      </c>
      <c r="AN19" s="209" t="s">
        <v>50</v>
      </c>
    </row>
    <row r="20" spans="1:40" ht="12.75" customHeight="1">
      <c r="A20" s="8"/>
      <c r="B20" s="10" t="s">
        <v>29</v>
      </c>
      <c r="C20" s="121">
        <v>60</v>
      </c>
      <c r="D20" s="121">
        <v>90</v>
      </c>
      <c r="E20" s="235">
        <v>178.602</v>
      </c>
      <c r="F20" s="235">
        <v>190</v>
      </c>
      <c r="G20" s="235">
        <v>200</v>
      </c>
      <c r="H20" s="235">
        <v>203.61</v>
      </c>
      <c r="I20" s="235">
        <v>210.36500000000001</v>
      </c>
      <c r="J20" s="235">
        <v>219.749</v>
      </c>
      <c r="K20" s="235">
        <v>226.83199999999999</v>
      </c>
      <c r="L20" s="235">
        <v>234.976</v>
      </c>
      <c r="M20" s="235">
        <v>249.22499999999999</v>
      </c>
      <c r="N20" s="235">
        <v>256.98899999999998</v>
      </c>
      <c r="O20" s="235">
        <v>267.589</v>
      </c>
      <c r="P20" s="238">
        <v>280.06900000000002</v>
      </c>
      <c r="Q20" s="235">
        <v>287.62200000000001</v>
      </c>
      <c r="R20" s="235">
        <v>302.50099999999998</v>
      </c>
      <c r="S20" s="235">
        <v>335.63400000000001</v>
      </c>
      <c r="T20" s="235">
        <v>355.13400000000001</v>
      </c>
      <c r="U20" s="235">
        <v>372.94499999999999</v>
      </c>
      <c r="V20" s="235">
        <v>410.93599999999998</v>
      </c>
      <c r="W20" s="235">
        <v>443.517</v>
      </c>
      <c r="X20" s="235">
        <v>460.50400000000002</v>
      </c>
      <c r="Y20" s="235">
        <v>462.65199999999999</v>
      </c>
      <c r="Z20" s="235">
        <v>470</v>
      </c>
      <c r="AA20" s="235">
        <v>475.46199999999999</v>
      </c>
      <c r="AB20" s="235">
        <v>474.56099999999998</v>
      </c>
      <c r="AC20" s="235">
        <v>478.49200000000002</v>
      </c>
      <c r="AD20" s="235">
        <v>487.69200000000001</v>
      </c>
      <c r="AE20" s="235">
        <v>508.28399999999999</v>
      </c>
      <c r="AF20" s="235">
        <v>526.61699999999996</v>
      </c>
      <c r="AG20" s="235">
        <v>550.69500000000005</v>
      </c>
      <c r="AH20" s="410">
        <v>572.50099999999998</v>
      </c>
      <c r="AI20" s="410">
        <v>578.15800000000002</v>
      </c>
      <c r="AJ20" s="410">
        <v>592.15599999999995</v>
      </c>
      <c r="AK20" s="959">
        <v>601.13099999999997</v>
      </c>
      <c r="AL20" s="479">
        <v>621.11599999999999</v>
      </c>
      <c r="AM20" s="448">
        <v>3.3245665254328856</v>
      </c>
      <c r="AN20" s="54" t="s">
        <v>29</v>
      </c>
    </row>
    <row r="21" spans="1:40" ht="12.75" customHeight="1">
      <c r="A21" s="8"/>
      <c r="B21" s="119" t="s">
        <v>33</v>
      </c>
      <c r="C21" s="122">
        <v>40</v>
      </c>
      <c r="D21" s="122">
        <v>166</v>
      </c>
      <c r="E21" s="236">
        <v>283</v>
      </c>
      <c r="F21" s="236">
        <v>329</v>
      </c>
      <c r="G21" s="236">
        <v>350</v>
      </c>
      <c r="H21" s="237">
        <v>367.47500000000002</v>
      </c>
      <c r="I21" s="236">
        <v>251.59299999999999</v>
      </c>
      <c r="J21" s="236">
        <v>332</v>
      </c>
      <c r="K21" s="236">
        <v>379.89499999999998</v>
      </c>
      <c r="L21" s="236">
        <v>431.81599999999997</v>
      </c>
      <c r="M21" s="236">
        <v>482.67</v>
      </c>
      <c r="N21" s="236">
        <v>525.572</v>
      </c>
      <c r="O21" s="236">
        <v>556.79999999999995</v>
      </c>
      <c r="P21" s="236">
        <v>586.20000000000005</v>
      </c>
      <c r="Q21" s="236">
        <v>619.1</v>
      </c>
      <c r="R21" s="236">
        <v>648.9</v>
      </c>
      <c r="S21" s="236">
        <v>686.12800000000004</v>
      </c>
      <c r="T21" s="236">
        <v>742.447</v>
      </c>
      <c r="U21" s="236">
        <v>822.01099999999997</v>
      </c>
      <c r="V21" s="236">
        <v>904.86900000000003</v>
      </c>
      <c r="W21" s="236">
        <v>932.82799999999997</v>
      </c>
      <c r="X21" s="236">
        <v>904.30799999999999</v>
      </c>
      <c r="Y21" s="240">
        <v>636.66399999999999</v>
      </c>
      <c r="Z21" s="236">
        <v>612.32000000000005</v>
      </c>
      <c r="AA21" s="236">
        <v>618.274</v>
      </c>
      <c r="AB21" s="236">
        <v>634.6</v>
      </c>
      <c r="AC21" s="236">
        <v>657.79899999999998</v>
      </c>
      <c r="AD21" s="236">
        <v>679.048</v>
      </c>
      <c r="AE21" s="236">
        <v>664.17700000000002</v>
      </c>
      <c r="AF21" s="236">
        <v>689.53599999999994</v>
      </c>
      <c r="AG21" s="236">
        <v>707.84100000000001</v>
      </c>
      <c r="AH21" s="409">
        <v>727.16399999999999</v>
      </c>
      <c r="AI21" s="409">
        <v>739.12400000000002</v>
      </c>
      <c r="AJ21" s="409">
        <v>758.68799999999999</v>
      </c>
      <c r="AK21" s="958">
        <v>769.72299999999996</v>
      </c>
      <c r="AL21" s="494">
        <v>781.69</v>
      </c>
      <c r="AM21" s="525">
        <v>1.554715137783333</v>
      </c>
      <c r="AN21" s="209" t="s">
        <v>33</v>
      </c>
    </row>
    <row r="22" spans="1:40" ht="12.75" customHeight="1">
      <c r="A22" s="8"/>
      <c r="B22" s="10" t="s">
        <v>34</v>
      </c>
      <c r="C22" s="121">
        <v>43.7</v>
      </c>
      <c r="D22" s="121">
        <v>247</v>
      </c>
      <c r="E22" s="235">
        <v>493</v>
      </c>
      <c r="F22" s="235">
        <v>531</v>
      </c>
      <c r="G22" s="235">
        <v>565</v>
      </c>
      <c r="H22" s="235">
        <v>597.73500000000001</v>
      </c>
      <c r="I22" s="235">
        <v>652.80999999999995</v>
      </c>
      <c r="J22" s="235">
        <v>718.46900000000005</v>
      </c>
      <c r="K22" s="235">
        <v>785.08799999999997</v>
      </c>
      <c r="L22" s="235">
        <v>882.101</v>
      </c>
      <c r="M22" s="235">
        <v>980.91</v>
      </c>
      <c r="N22" s="235">
        <v>1089.3340000000001</v>
      </c>
      <c r="O22" s="235">
        <v>1172.394</v>
      </c>
      <c r="P22" s="235">
        <v>1133.4770000000001</v>
      </c>
      <c r="Q22" s="235">
        <v>1180.9449999999999</v>
      </c>
      <c r="R22" s="235">
        <v>1256.8530000000001</v>
      </c>
      <c r="S22" s="235">
        <v>1315.914</v>
      </c>
      <c r="T22" s="235">
        <v>1455.2760000000001</v>
      </c>
      <c r="U22" s="235">
        <v>1592.2380000000001</v>
      </c>
      <c r="V22" s="235">
        <v>1587.903</v>
      </c>
      <c r="W22" s="235">
        <v>1671.0650000000001</v>
      </c>
      <c r="X22" s="235">
        <v>1695.2860000000001</v>
      </c>
      <c r="Y22" s="235">
        <v>1691.855</v>
      </c>
      <c r="Z22" s="235">
        <v>1713.3</v>
      </c>
      <c r="AA22" s="235">
        <v>1753.4069999999999</v>
      </c>
      <c r="AB22" s="235">
        <v>1808.982</v>
      </c>
      <c r="AC22" s="329">
        <v>1205.6679999999999</v>
      </c>
      <c r="AD22" s="235">
        <v>1244.0630000000001</v>
      </c>
      <c r="AE22" s="235">
        <v>1298.7370000000001</v>
      </c>
      <c r="AF22" s="235">
        <v>1356.9870000000001</v>
      </c>
      <c r="AG22" s="235">
        <v>1430.52</v>
      </c>
      <c r="AH22" s="410">
        <v>1498.6880000000001</v>
      </c>
      <c r="AI22" s="410">
        <v>1565.4649999999999</v>
      </c>
      <c r="AJ22" s="410">
        <v>1611.143</v>
      </c>
      <c r="AK22" s="959">
        <v>1650.384</v>
      </c>
      <c r="AL22" s="479">
        <v>1700.5239999999999</v>
      </c>
      <c r="AM22" s="448">
        <v>3.038080834520926</v>
      </c>
      <c r="AN22" s="54" t="s">
        <v>34</v>
      </c>
    </row>
    <row r="23" spans="1:40" ht="12.75" customHeight="1">
      <c r="A23" s="8"/>
      <c r="B23" s="119" t="s">
        <v>51</v>
      </c>
      <c r="C23" s="122">
        <v>72</v>
      </c>
      <c r="D23" s="122">
        <v>128.6</v>
      </c>
      <c r="E23" s="236">
        <v>183.404</v>
      </c>
      <c r="F23" s="236">
        <v>192</v>
      </c>
      <c r="G23" s="236">
        <v>201</v>
      </c>
      <c r="H23" s="236">
        <v>208</v>
      </c>
      <c r="I23" s="236">
        <v>217.75399999999999</v>
      </c>
      <c r="J23" s="236">
        <v>229.03700000000001</v>
      </c>
      <c r="K23" s="236">
        <v>231.666</v>
      </c>
      <c r="L23" s="236">
        <v>236.834</v>
      </c>
      <c r="M23" s="236">
        <v>253.40600000000001</v>
      </c>
      <c r="N23" s="236">
        <v>263.47500000000002</v>
      </c>
      <c r="O23" s="236">
        <v>273.08600000000001</v>
      </c>
      <c r="P23" s="236">
        <v>280.709</v>
      </c>
      <c r="Q23" s="236">
        <v>287.245</v>
      </c>
      <c r="R23" s="236">
        <v>293.39800000000002</v>
      </c>
      <c r="S23" s="236">
        <v>299.75900000000001</v>
      </c>
      <c r="T23" s="236">
        <v>307.26500000000004</v>
      </c>
      <c r="U23" s="236">
        <v>314.70400000000001</v>
      </c>
      <c r="V23" s="236">
        <v>321.52</v>
      </c>
      <c r="W23" s="236">
        <v>329.03800000000001</v>
      </c>
      <c r="X23" s="236">
        <v>331.50299999999999</v>
      </c>
      <c r="Y23" s="236">
        <v>337.23900000000003</v>
      </c>
      <c r="Z23" s="236">
        <v>345.57500000000005</v>
      </c>
      <c r="AA23" s="236">
        <v>355.84999999999997</v>
      </c>
      <c r="AB23" s="236">
        <v>363.24700000000001</v>
      </c>
      <c r="AC23" s="236">
        <v>372.827</v>
      </c>
      <c r="AD23" s="236">
        <v>381.10300000000001</v>
      </c>
      <c r="AE23" s="236">
        <v>390.935</v>
      </c>
      <c r="AF23" s="236">
        <v>403.28199999999998</v>
      </c>
      <c r="AG23" s="236">
        <v>415.14499999999998</v>
      </c>
      <c r="AH23" s="409">
        <v>426.346</v>
      </c>
      <c r="AI23" s="409">
        <v>433.18299999999999</v>
      </c>
      <c r="AJ23" s="409">
        <v>439.91899999999998</v>
      </c>
      <c r="AK23" s="958">
        <v>444.81799999999998</v>
      </c>
      <c r="AL23" s="494">
        <v>453.61399999999998</v>
      </c>
      <c r="AM23" s="525">
        <v>1.9774379633917647</v>
      </c>
      <c r="AN23" s="209" t="s">
        <v>51</v>
      </c>
    </row>
    <row r="24" spans="1:40" s="22" customFormat="1" ht="12.75" customHeight="1">
      <c r="A24" s="203"/>
      <c r="B24" s="10" t="s">
        <v>32</v>
      </c>
      <c r="C24" s="121">
        <v>240</v>
      </c>
      <c r="D24" s="121">
        <v>1010</v>
      </c>
      <c r="E24" s="235">
        <v>1944</v>
      </c>
      <c r="F24" s="235">
        <v>2020</v>
      </c>
      <c r="G24" s="235">
        <v>2058</v>
      </c>
      <c r="H24" s="235">
        <v>2093.529</v>
      </c>
      <c r="I24" s="235">
        <v>2178.8910000000001</v>
      </c>
      <c r="J24" s="235">
        <v>2244.9459999999999</v>
      </c>
      <c r="K24" s="235">
        <v>2265.1799999999998</v>
      </c>
      <c r="L24" s="235">
        <v>2297.9639999999999</v>
      </c>
      <c r="M24" s="235">
        <v>2218.1239999999998</v>
      </c>
      <c r="N24" s="235">
        <v>2255.5259999999998</v>
      </c>
      <c r="O24" s="235">
        <v>2364.7060000000001</v>
      </c>
      <c r="P24" s="235">
        <v>2482.8270000000002</v>
      </c>
      <c r="Q24" s="235">
        <v>2629.5259999999998</v>
      </c>
      <c r="R24" s="235">
        <v>2777.2190000000001</v>
      </c>
      <c r="S24" s="235">
        <v>2828.433</v>
      </c>
      <c r="T24" s="235">
        <v>2888.7350000000001</v>
      </c>
      <c r="U24" s="235">
        <v>2953.7370000000001</v>
      </c>
      <c r="V24" s="235">
        <v>3012.165</v>
      </c>
      <c r="W24" s="235">
        <v>3055.4270000000001</v>
      </c>
      <c r="X24" s="235">
        <v>3013.7190000000001</v>
      </c>
      <c r="Y24" s="235">
        <v>2984.0630000000001</v>
      </c>
      <c r="Z24" s="235">
        <v>2967.808</v>
      </c>
      <c r="AA24" s="235">
        <v>2986.0279999999998</v>
      </c>
      <c r="AB24" s="235">
        <v>3040.732</v>
      </c>
      <c r="AC24" s="235">
        <v>3107.6950000000002</v>
      </c>
      <c r="AD24" s="235">
        <v>3196.8560000000002</v>
      </c>
      <c r="AE24" s="235">
        <v>3313.2060000000001</v>
      </c>
      <c r="AF24" s="235">
        <v>3471.9969999999998</v>
      </c>
      <c r="AG24" s="235">
        <v>3641.8229999999999</v>
      </c>
      <c r="AH24" s="410">
        <v>3812.0129999999999</v>
      </c>
      <c r="AI24" s="410">
        <v>3920.799</v>
      </c>
      <c r="AJ24" s="410">
        <v>4020.1590000000001</v>
      </c>
      <c r="AK24" s="959">
        <v>4094.1289999999999</v>
      </c>
      <c r="AL24" s="479">
        <v>4168.6509999999998</v>
      </c>
      <c r="AM24" s="448">
        <v>1.820216216929154</v>
      </c>
      <c r="AN24" s="54" t="s">
        <v>32</v>
      </c>
    </row>
    <row r="25" spans="1:40" ht="12.75" customHeight="1">
      <c r="A25" s="8"/>
      <c r="B25" s="119" t="s">
        <v>35</v>
      </c>
      <c r="C25" s="122" t="s">
        <v>57</v>
      </c>
      <c r="D25" s="122" t="s">
        <v>57</v>
      </c>
      <c r="E25" s="241">
        <v>120</v>
      </c>
      <c r="F25" s="236">
        <v>122</v>
      </c>
      <c r="G25" s="236">
        <v>125</v>
      </c>
      <c r="H25" s="236">
        <v>152.613</v>
      </c>
      <c r="I25" s="236">
        <v>170.63499999999999</v>
      </c>
      <c r="J25" s="236">
        <v>180.851</v>
      </c>
      <c r="K25" s="236">
        <v>182</v>
      </c>
      <c r="L25" s="236">
        <v>183.774</v>
      </c>
      <c r="M25" s="236">
        <v>174.786</v>
      </c>
      <c r="N25" s="236">
        <v>182.25200000000001</v>
      </c>
      <c r="O25" s="236">
        <v>189.12299999999999</v>
      </c>
      <c r="P25" s="236">
        <v>195.37900000000002</v>
      </c>
      <c r="Q25" s="236">
        <v>201.92100000000002</v>
      </c>
      <c r="R25" s="236">
        <v>208.81200000000001</v>
      </c>
      <c r="S25" s="236">
        <v>211.38300000000001</v>
      </c>
      <c r="T25" s="236">
        <v>212.56100000000001</v>
      </c>
      <c r="U25" s="236">
        <v>218.15300000000002</v>
      </c>
      <c r="V25" s="236">
        <v>224.89599999999999</v>
      </c>
      <c r="W25" s="236">
        <v>229.38899999999998</v>
      </c>
      <c r="X25" s="236">
        <v>233.48600000000002</v>
      </c>
      <c r="Y25" s="240">
        <v>240.95999999999998</v>
      </c>
      <c r="Z25" s="236">
        <v>247.37499999999997</v>
      </c>
      <c r="AA25" s="236">
        <v>250.03499999999997</v>
      </c>
      <c r="AB25" s="236">
        <v>256.096</v>
      </c>
      <c r="AC25" s="236">
        <v>265.95</v>
      </c>
      <c r="AD25" s="236">
        <v>275.38</v>
      </c>
      <c r="AE25" s="236">
        <v>282.92099999999999</v>
      </c>
      <c r="AF25" s="236">
        <v>291.798</v>
      </c>
      <c r="AG25" s="236">
        <v>300.14</v>
      </c>
      <c r="AH25" s="409">
        <v>307.13</v>
      </c>
      <c r="AI25" s="409">
        <v>308.358</v>
      </c>
      <c r="AJ25" s="409">
        <v>313.17700000000002</v>
      </c>
      <c r="AK25" s="958">
        <v>317.23399999999998</v>
      </c>
      <c r="AL25" s="494">
        <v>323.85199999999998</v>
      </c>
      <c r="AM25" s="525">
        <v>2.0861572214832051</v>
      </c>
      <c r="AN25" s="209" t="s">
        <v>35</v>
      </c>
    </row>
    <row r="26" spans="1:40" s="22" customFormat="1" ht="12.75" customHeight="1">
      <c r="A26" s="203"/>
      <c r="B26" s="10" t="s">
        <v>43</v>
      </c>
      <c r="C26" s="121">
        <v>2564</v>
      </c>
      <c r="D26" s="121">
        <v>4550</v>
      </c>
      <c r="E26" s="235">
        <v>5509.1729999999998</v>
      </c>
      <c r="F26" s="235">
        <v>5554</v>
      </c>
      <c r="G26" s="235">
        <v>5658</v>
      </c>
      <c r="H26" s="235">
        <v>5755</v>
      </c>
      <c r="I26" s="235">
        <v>5884</v>
      </c>
      <c r="J26" s="235">
        <v>5633</v>
      </c>
      <c r="K26" s="235">
        <v>5740</v>
      </c>
      <c r="L26" s="235">
        <v>5931.3869999999997</v>
      </c>
      <c r="M26" s="235">
        <v>6119.5810000000001</v>
      </c>
      <c r="N26" s="235">
        <v>6343.1949999999997</v>
      </c>
      <c r="O26" s="235">
        <v>6539.2120000000004</v>
      </c>
      <c r="P26" s="235">
        <v>6710.6019999999999</v>
      </c>
      <c r="Q26" s="235">
        <v>6854.7430000000004</v>
      </c>
      <c r="R26" s="235">
        <v>6908.473</v>
      </c>
      <c r="S26" s="235">
        <v>6991.991</v>
      </c>
      <c r="T26" s="235">
        <v>7092.2929999999997</v>
      </c>
      <c r="U26" s="235">
        <v>7230.1779999999999</v>
      </c>
      <c r="V26" s="235">
        <v>7391.9030000000002</v>
      </c>
      <c r="W26" s="235">
        <v>7542.3310000000001</v>
      </c>
      <c r="X26" s="235">
        <v>7622</v>
      </c>
      <c r="Y26" s="235">
        <v>7736</v>
      </c>
      <c r="Z26" s="235">
        <v>7859</v>
      </c>
      <c r="AA26" s="235">
        <v>7915.6130000000003</v>
      </c>
      <c r="AB26" s="235">
        <v>7932.29</v>
      </c>
      <c r="AC26" s="235">
        <v>7979.0829999999996</v>
      </c>
      <c r="AD26" s="235">
        <v>8100.8639999999996</v>
      </c>
      <c r="AE26" s="235">
        <v>8222.9740000000002</v>
      </c>
      <c r="AF26" s="235">
        <v>8373.2440000000006</v>
      </c>
      <c r="AG26" s="235">
        <v>8442.982</v>
      </c>
      <c r="AH26" s="410">
        <v>8584.3909999999996</v>
      </c>
      <c r="AI26" s="410">
        <v>8686.4189999999999</v>
      </c>
      <c r="AJ26" s="410">
        <v>8827.7090000000007</v>
      </c>
      <c r="AK26" s="959">
        <v>8917.107</v>
      </c>
      <c r="AL26" s="479">
        <v>8932.8459999999995</v>
      </c>
      <c r="AM26" s="448">
        <v>0.17650343323232676</v>
      </c>
      <c r="AN26" s="54" t="s">
        <v>43</v>
      </c>
    </row>
    <row r="27" spans="1:40" ht="12.75" customHeight="1">
      <c r="A27" s="8"/>
      <c r="B27" s="119" t="s">
        <v>52</v>
      </c>
      <c r="C27" s="122">
        <v>1197</v>
      </c>
      <c r="D27" s="122">
        <v>2247</v>
      </c>
      <c r="E27" s="236">
        <v>2991</v>
      </c>
      <c r="F27" s="236">
        <v>3100</v>
      </c>
      <c r="G27" s="236">
        <v>3245</v>
      </c>
      <c r="H27" s="236">
        <v>3367.6260000000002</v>
      </c>
      <c r="I27" s="236">
        <v>3479.5949999999998</v>
      </c>
      <c r="J27" s="236">
        <v>3593.5880000000002</v>
      </c>
      <c r="K27" s="236">
        <v>3690.692</v>
      </c>
      <c r="L27" s="236">
        <v>3782.5430000000001</v>
      </c>
      <c r="M27" s="236">
        <v>3887.174</v>
      </c>
      <c r="N27" s="236">
        <v>4009.6039999999998</v>
      </c>
      <c r="O27" s="236">
        <v>4097.1450000000004</v>
      </c>
      <c r="P27" s="237">
        <v>4182.027</v>
      </c>
      <c r="Q27" s="236">
        <v>3987.0929999999998</v>
      </c>
      <c r="R27" s="236">
        <v>4054.308</v>
      </c>
      <c r="S27" s="236">
        <v>4109.1289999999999</v>
      </c>
      <c r="T27" s="236">
        <v>4156.7430000000004</v>
      </c>
      <c r="U27" s="236">
        <v>4204.9690000000001</v>
      </c>
      <c r="V27" s="236">
        <v>4245.5829999999996</v>
      </c>
      <c r="W27" s="236">
        <v>4284.9189999999999</v>
      </c>
      <c r="X27" s="236">
        <v>4359.9440000000004</v>
      </c>
      <c r="Y27" s="236">
        <v>4441.027</v>
      </c>
      <c r="Z27" s="236">
        <v>4513.4210000000003</v>
      </c>
      <c r="AA27" s="236">
        <v>4584.2020000000002</v>
      </c>
      <c r="AB27" s="236">
        <v>4641.308</v>
      </c>
      <c r="AC27" s="236">
        <v>4694.9210000000003</v>
      </c>
      <c r="AD27" s="236">
        <v>4748.0479999999998</v>
      </c>
      <c r="AE27" s="236">
        <v>4821.5569999999998</v>
      </c>
      <c r="AF27" s="236">
        <v>4898.5780000000004</v>
      </c>
      <c r="AG27" s="236">
        <v>4978.8519999999999</v>
      </c>
      <c r="AH27" s="409">
        <v>5039.5479999999998</v>
      </c>
      <c r="AI27" s="409">
        <v>5091.8270000000002</v>
      </c>
      <c r="AJ27" s="409">
        <v>5133.8360000000002</v>
      </c>
      <c r="AK27" s="958">
        <v>5150.8900000000003</v>
      </c>
      <c r="AL27" s="494">
        <v>5185.0060000000003</v>
      </c>
      <c r="AM27" s="525">
        <v>0.66233214065918844</v>
      </c>
      <c r="AN27" s="209" t="s">
        <v>52</v>
      </c>
    </row>
    <row r="28" spans="1:40" s="22" customFormat="1" ht="12.75" customHeight="1">
      <c r="A28" s="203"/>
      <c r="B28" s="10" t="s">
        <v>36</v>
      </c>
      <c r="C28" s="121">
        <v>479</v>
      </c>
      <c r="D28" s="121">
        <v>2380</v>
      </c>
      <c r="E28" s="235">
        <v>5261</v>
      </c>
      <c r="F28" s="235">
        <v>6110</v>
      </c>
      <c r="G28" s="235">
        <v>6505</v>
      </c>
      <c r="H28" s="235">
        <v>6770.5569999999998</v>
      </c>
      <c r="I28" s="235">
        <v>7153.1409999999996</v>
      </c>
      <c r="J28" s="235">
        <v>7517.2659999999996</v>
      </c>
      <c r="K28" s="235">
        <v>8054.4480000000003</v>
      </c>
      <c r="L28" s="235">
        <v>8533.4490000000005</v>
      </c>
      <c r="M28" s="235">
        <v>8890.7630000000008</v>
      </c>
      <c r="N28" s="235">
        <v>9282.9</v>
      </c>
      <c r="O28" s="235">
        <v>9991.2999999999993</v>
      </c>
      <c r="P28" s="235">
        <v>10503.1</v>
      </c>
      <c r="Q28" s="235">
        <v>11028.9</v>
      </c>
      <c r="R28" s="235">
        <v>11243.8</v>
      </c>
      <c r="S28" s="235">
        <v>11975.191000000001</v>
      </c>
      <c r="T28" s="235">
        <v>12339.352999999999</v>
      </c>
      <c r="U28" s="235">
        <v>13384.228999999999</v>
      </c>
      <c r="V28" s="235">
        <v>14588.739</v>
      </c>
      <c r="W28" s="235">
        <v>16079.532999999999</v>
      </c>
      <c r="X28" s="235">
        <v>16495</v>
      </c>
      <c r="Y28" s="235">
        <v>17239.8</v>
      </c>
      <c r="Z28" s="235">
        <v>18125</v>
      </c>
      <c r="AA28" s="235">
        <v>18744</v>
      </c>
      <c r="AB28" s="235">
        <v>19389.446</v>
      </c>
      <c r="AC28" s="235">
        <v>20003.863000000001</v>
      </c>
      <c r="AD28" s="235">
        <v>18011.775000000001</v>
      </c>
      <c r="AE28" s="329">
        <v>18718.407999999999</v>
      </c>
      <c r="AF28" s="235">
        <v>19266.116999999998</v>
      </c>
      <c r="AG28" s="235">
        <v>19911.107</v>
      </c>
      <c r="AH28" s="410">
        <v>20544.344000000001</v>
      </c>
      <c r="AI28" s="410">
        <v>20985.865000000002</v>
      </c>
      <c r="AJ28" s="410">
        <v>21356.007000000001</v>
      </c>
      <c r="AK28" s="959">
        <v>21458.100999999999</v>
      </c>
      <c r="AL28" s="479">
        <v>21992.800999999999</v>
      </c>
      <c r="AM28" s="448">
        <v>2.4918328047761662</v>
      </c>
      <c r="AN28" s="54" t="s">
        <v>36</v>
      </c>
    </row>
    <row r="29" spans="1:40" ht="12.75" customHeight="1">
      <c r="A29" s="8"/>
      <c r="B29" s="119" t="s">
        <v>53</v>
      </c>
      <c r="C29" s="122">
        <v>421</v>
      </c>
      <c r="D29" s="122">
        <v>1269</v>
      </c>
      <c r="E29" s="236">
        <v>1849</v>
      </c>
      <c r="F29" s="241">
        <v>1950</v>
      </c>
      <c r="G29" s="241">
        <v>2100</v>
      </c>
      <c r="H29" s="241">
        <v>2250</v>
      </c>
      <c r="I29" s="241">
        <v>2410</v>
      </c>
      <c r="J29" s="236">
        <v>2560</v>
      </c>
      <c r="K29" s="236">
        <v>2750</v>
      </c>
      <c r="L29" s="236">
        <v>2950</v>
      </c>
      <c r="M29" s="236">
        <v>3150</v>
      </c>
      <c r="N29" s="236">
        <v>3350</v>
      </c>
      <c r="O29" s="236">
        <v>3443</v>
      </c>
      <c r="P29" s="236">
        <v>3589</v>
      </c>
      <c r="Q29" s="236">
        <v>3885</v>
      </c>
      <c r="R29" s="236">
        <v>3966</v>
      </c>
      <c r="S29" s="236">
        <v>4100</v>
      </c>
      <c r="T29" s="236">
        <v>4200</v>
      </c>
      <c r="U29" s="236">
        <v>4290</v>
      </c>
      <c r="V29" s="236">
        <v>4379</v>
      </c>
      <c r="W29" s="236">
        <v>4408</v>
      </c>
      <c r="X29" s="236">
        <v>4457</v>
      </c>
      <c r="Y29" s="240">
        <v>4692</v>
      </c>
      <c r="Z29" s="236">
        <v>4712</v>
      </c>
      <c r="AA29" s="236">
        <v>4259</v>
      </c>
      <c r="AB29" s="236">
        <v>4327.4780000000001</v>
      </c>
      <c r="AC29" s="236">
        <v>4699.6450000000004</v>
      </c>
      <c r="AD29" s="236">
        <v>4722.9629999999997</v>
      </c>
      <c r="AE29" s="236">
        <v>4850.2290000000003</v>
      </c>
      <c r="AF29" s="236">
        <v>5059.4719999999998</v>
      </c>
      <c r="AG29" s="236">
        <v>5282.97</v>
      </c>
      <c r="AH29" s="409">
        <v>5452.1189999999997</v>
      </c>
      <c r="AI29" s="409">
        <v>5565.9629999999997</v>
      </c>
      <c r="AJ29" s="409">
        <v>5632.6440000000002</v>
      </c>
      <c r="AK29" s="958">
        <v>5778.5839999999998</v>
      </c>
      <c r="AL29" s="494">
        <v>5931.7219999999998</v>
      </c>
      <c r="AM29" s="525">
        <v>2.6500955943532034</v>
      </c>
      <c r="AN29" s="209" t="s">
        <v>53</v>
      </c>
    </row>
    <row r="30" spans="1:40" s="22" customFormat="1" ht="12.75" customHeight="1">
      <c r="A30" s="203"/>
      <c r="B30" s="10" t="s">
        <v>37</v>
      </c>
      <c r="C30" s="121">
        <v>40</v>
      </c>
      <c r="D30" s="121">
        <v>240</v>
      </c>
      <c r="E30" s="235">
        <v>1292.2829999999999</v>
      </c>
      <c r="F30" s="235">
        <v>1431.566</v>
      </c>
      <c r="G30" s="235">
        <v>1593.029</v>
      </c>
      <c r="H30" s="235">
        <v>1793.0540000000001</v>
      </c>
      <c r="I30" s="235">
        <v>2020.0170000000001</v>
      </c>
      <c r="J30" s="235">
        <v>2197.4769999999999</v>
      </c>
      <c r="K30" s="235">
        <v>2326.1770000000001</v>
      </c>
      <c r="L30" s="235">
        <v>2447.087</v>
      </c>
      <c r="M30" s="235">
        <v>2594.5709999999999</v>
      </c>
      <c r="N30" s="235">
        <v>2702.0210000000002</v>
      </c>
      <c r="O30" s="235">
        <v>2777.5940000000001</v>
      </c>
      <c r="P30" s="235">
        <v>2881.1909999999998</v>
      </c>
      <c r="Q30" s="235">
        <v>2973.39</v>
      </c>
      <c r="R30" s="235">
        <v>3087.6280000000002</v>
      </c>
      <c r="S30" s="235">
        <v>3225.3670000000002</v>
      </c>
      <c r="T30" s="235">
        <v>3363.779</v>
      </c>
      <c r="U30" s="238">
        <v>3603.4369999999999</v>
      </c>
      <c r="V30" s="235">
        <v>3541.2620000000002</v>
      </c>
      <c r="W30" s="235">
        <v>4027.3629999999998</v>
      </c>
      <c r="X30" s="235">
        <v>4244.8999999999996</v>
      </c>
      <c r="Y30" s="235">
        <v>4319.701</v>
      </c>
      <c r="Z30" s="235">
        <v>4334.5469999999996</v>
      </c>
      <c r="AA30" s="235">
        <v>4487.2510000000002</v>
      </c>
      <c r="AB30" s="235">
        <v>4695.66</v>
      </c>
      <c r="AC30" s="235">
        <v>4907.5640000000003</v>
      </c>
      <c r="AD30" s="235">
        <v>5155.0590000000002</v>
      </c>
      <c r="AE30" s="235">
        <v>5472.4229999999998</v>
      </c>
      <c r="AF30" s="235">
        <v>5998.1940000000004</v>
      </c>
      <c r="AG30" s="235">
        <v>6452.5360000000001</v>
      </c>
      <c r="AH30" s="410">
        <v>6902.9840000000004</v>
      </c>
      <c r="AI30" s="410">
        <v>7274.7280000000001</v>
      </c>
      <c r="AJ30" s="410">
        <v>7611.0389999999998</v>
      </c>
      <c r="AK30" s="959">
        <v>7865.1859999999997</v>
      </c>
      <c r="AL30" s="479">
        <v>8106.57</v>
      </c>
      <c r="AM30" s="448">
        <v>3.0690183296364353</v>
      </c>
      <c r="AN30" s="54" t="s">
        <v>37</v>
      </c>
    </row>
    <row r="31" spans="1:40" ht="12.75" customHeight="1">
      <c r="A31" s="8"/>
      <c r="B31" s="119" t="s">
        <v>39</v>
      </c>
      <c r="C31" s="122">
        <v>150.80699999999999</v>
      </c>
      <c r="D31" s="122">
        <v>416.44799999999998</v>
      </c>
      <c r="E31" s="236">
        <v>587.10400000000004</v>
      </c>
      <c r="F31" s="236">
        <v>602.88400000000001</v>
      </c>
      <c r="G31" s="236">
        <v>606.245</v>
      </c>
      <c r="H31" s="236">
        <v>650.34400000000005</v>
      </c>
      <c r="I31" s="236">
        <v>668.30700000000002</v>
      </c>
      <c r="J31" s="236">
        <v>711.36400000000003</v>
      </c>
      <c r="K31" s="236">
        <v>743.05700000000002</v>
      </c>
      <c r="L31" s="236">
        <v>776.798</v>
      </c>
      <c r="M31" s="236">
        <v>811.67100000000005</v>
      </c>
      <c r="N31" s="236">
        <v>846.10900000000004</v>
      </c>
      <c r="O31" s="236">
        <v>866.096</v>
      </c>
      <c r="P31" s="236">
        <v>881.48699999999997</v>
      </c>
      <c r="Q31" s="236">
        <v>894.52099999999996</v>
      </c>
      <c r="R31" s="236">
        <v>910.42899999999997</v>
      </c>
      <c r="S31" s="236">
        <v>933.94100000000003</v>
      </c>
      <c r="T31" s="236">
        <v>960.21299999999997</v>
      </c>
      <c r="U31" s="236">
        <v>980.26099999999997</v>
      </c>
      <c r="V31" s="236">
        <v>1014.122</v>
      </c>
      <c r="W31" s="236">
        <v>1045.183</v>
      </c>
      <c r="X31" s="236">
        <v>1058.8579999999999</v>
      </c>
      <c r="Y31" s="236">
        <v>1061.646</v>
      </c>
      <c r="Z31" s="236">
        <v>1066.49</v>
      </c>
      <c r="AA31" s="236">
        <v>1066.028</v>
      </c>
      <c r="AB31" s="236">
        <v>1066.7950000000001</v>
      </c>
      <c r="AC31" s="236">
        <v>1068.3620000000001</v>
      </c>
      <c r="AD31" s="236">
        <v>1078.7370000000001</v>
      </c>
      <c r="AE31" s="236">
        <v>1096.5229999999999</v>
      </c>
      <c r="AF31" s="236">
        <v>1117.9349999999999</v>
      </c>
      <c r="AG31" s="236">
        <v>1143.1500000000001</v>
      </c>
      <c r="AH31" s="409">
        <v>1165.3710000000001</v>
      </c>
      <c r="AI31" s="409">
        <v>1170.69</v>
      </c>
      <c r="AJ31" s="409">
        <v>1189.4570000000001</v>
      </c>
      <c r="AK31" s="958">
        <v>1207.7550000000001</v>
      </c>
      <c r="AL31" s="494">
        <v>1230.5650000000001</v>
      </c>
      <c r="AM31" s="525">
        <v>1.8886280744025044</v>
      </c>
      <c r="AN31" s="209" t="s">
        <v>39</v>
      </c>
    </row>
    <row r="32" spans="1:40" s="22" customFormat="1" ht="12.75" customHeight="1">
      <c r="A32" s="203"/>
      <c r="B32" s="10" t="s">
        <v>38</v>
      </c>
      <c r="C32" s="121">
        <v>164</v>
      </c>
      <c r="D32" s="121">
        <v>552</v>
      </c>
      <c r="E32" s="235">
        <v>880</v>
      </c>
      <c r="F32" s="235">
        <v>929</v>
      </c>
      <c r="G32" s="235">
        <v>971</v>
      </c>
      <c r="H32" s="235">
        <v>994.93299999999999</v>
      </c>
      <c r="I32" s="235">
        <v>994.04600000000005</v>
      </c>
      <c r="J32" s="235">
        <v>1015.794</v>
      </c>
      <c r="K32" s="235">
        <v>1058.425</v>
      </c>
      <c r="L32" s="235">
        <v>1135.914</v>
      </c>
      <c r="M32" s="235">
        <v>1196.1089999999999</v>
      </c>
      <c r="N32" s="235">
        <v>1236.4000000000001</v>
      </c>
      <c r="O32" s="235">
        <v>1274.2</v>
      </c>
      <c r="P32" s="235">
        <v>1292.8</v>
      </c>
      <c r="Q32" s="235">
        <v>1326.9</v>
      </c>
      <c r="R32" s="238">
        <v>1356.2</v>
      </c>
      <c r="S32" s="235">
        <v>1197.03</v>
      </c>
      <c r="T32" s="235">
        <v>1303.704</v>
      </c>
      <c r="U32" s="235">
        <v>1333.749</v>
      </c>
      <c r="V32" s="235">
        <v>1433.9259999999999</v>
      </c>
      <c r="W32" s="235">
        <v>1544.8879999999999</v>
      </c>
      <c r="X32" s="244">
        <v>1589.0440000000001</v>
      </c>
      <c r="Y32" s="244">
        <v>1669.0650000000001</v>
      </c>
      <c r="Z32" s="244">
        <v>1749.3</v>
      </c>
      <c r="AA32" s="244">
        <v>1824.19</v>
      </c>
      <c r="AB32" s="244">
        <v>1879.8</v>
      </c>
      <c r="AC32" s="244">
        <v>1949.1</v>
      </c>
      <c r="AD32" s="244">
        <v>2034.5740000000001</v>
      </c>
      <c r="AE32" s="244">
        <v>2121.7739999999999</v>
      </c>
      <c r="AF32" s="244">
        <v>2223.1170000000002</v>
      </c>
      <c r="AG32" s="244">
        <v>2321.6080000000002</v>
      </c>
      <c r="AH32" s="408">
        <v>2393.5770000000002</v>
      </c>
      <c r="AI32" s="408">
        <v>2439.9859999999999</v>
      </c>
      <c r="AJ32" s="408">
        <v>2493.183</v>
      </c>
      <c r="AK32" s="408">
        <v>2555.491</v>
      </c>
      <c r="AL32" s="576">
        <v>2644.3609999999999</v>
      </c>
      <c r="AM32" s="448">
        <v>3.4776095865725978</v>
      </c>
      <c r="AN32" s="54" t="s">
        <v>38</v>
      </c>
    </row>
    <row r="33" spans="1:40" s="48" customFormat="1" ht="12.75" customHeight="1">
      <c r="A33" s="8"/>
      <c r="B33" s="119" t="s">
        <v>54</v>
      </c>
      <c r="C33" s="122">
        <v>712</v>
      </c>
      <c r="D33" s="122">
        <v>1226</v>
      </c>
      <c r="E33" s="236">
        <v>1938.856</v>
      </c>
      <c r="F33" s="236">
        <v>1923</v>
      </c>
      <c r="G33" s="236">
        <v>1936</v>
      </c>
      <c r="H33" s="236">
        <v>1872.933</v>
      </c>
      <c r="I33" s="236">
        <v>1872.588</v>
      </c>
      <c r="J33" s="236">
        <v>1900.855</v>
      </c>
      <c r="K33" s="236">
        <v>1942.752</v>
      </c>
      <c r="L33" s="236">
        <v>1948.126</v>
      </c>
      <c r="M33" s="236">
        <v>2021.116</v>
      </c>
      <c r="N33" s="236">
        <v>2082.58</v>
      </c>
      <c r="O33" s="236">
        <v>2134.7280000000001</v>
      </c>
      <c r="P33" s="236">
        <v>2160.6030000000001</v>
      </c>
      <c r="Q33" s="236">
        <v>2194.683</v>
      </c>
      <c r="R33" s="236">
        <v>2274.5770000000002</v>
      </c>
      <c r="S33" s="236">
        <v>2346.7260000000001</v>
      </c>
      <c r="T33" s="236">
        <v>2430.3449999999998</v>
      </c>
      <c r="U33" s="236">
        <v>2505.5430000000001</v>
      </c>
      <c r="V33" s="236">
        <v>2570.3560000000002</v>
      </c>
      <c r="W33" s="236">
        <v>2700.4920000000002</v>
      </c>
      <c r="X33" s="236">
        <v>2776.6640000000002</v>
      </c>
      <c r="Y33" s="236">
        <v>2877.4839999999999</v>
      </c>
      <c r="Z33" s="236">
        <v>2978.7289999999998</v>
      </c>
      <c r="AA33" s="236">
        <v>3057.4839999999999</v>
      </c>
      <c r="AB33" s="236">
        <v>3105.8339999999998</v>
      </c>
      <c r="AC33" s="236">
        <v>3172.7350000000001</v>
      </c>
      <c r="AD33" s="236">
        <v>3234.86</v>
      </c>
      <c r="AE33" s="236">
        <v>3322.672</v>
      </c>
      <c r="AF33" s="236">
        <v>3398.9369999999999</v>
      </c>
      <c r="AG33" s="236">
        <v>3470.5070000000001</v>
      </c>
      <c r="AH33" s="409">
        <v>3549.8029999999999</v>
      </c>
      <c r="AI33" s="409">
        <v>3607.5309999999999</v>
      </c>
      <c r="AJ33" s="409">
        <v>3641.5320000000002</v>
      </c>
      <c r="AK33" s="958">
        <v>3673.75</v>
      </c>
      <c r="AL33" s="494">
        <v>3718.2779999999998</v>
      </c>
      <c r="AM33" s="525">
        <v>1.2120585233072347</v>
      </c>
      <c r="AN33" s="209" t="s">
        <v>54</v>
      </c>
    </row>
    <row r="34" spans="1:40" s="22" customFormat="1" ht="12.75" customHeight="1">
      <c r="A34" s="203"/>
      <c r="B34" s="11" t="s">
        <v>55</v>
      </c>
      <c r="C34" s="227">
        <v>2288</v>
      </c>
      <c r="D34" s="227">
        <v>2883</v>
      </c>
      <c r="E34" s="247">
        <v>3601</v>
      </c>
      <c r="F34" s="247">
        <v>3619</v>
      </c>
      <c r="G34" s="247">
        <v>3589</v>
      </c>
      <c r="H34" s="247">
        <v>3566.1</v>
      </c>
      <c r="I34" s="247">
        <v>3594.2</v>
      </c>
      <c r="J34" s="247">
        <v>3630.76</v>
      </c>
      <c r="K34" s="247">
        <v>3654.92</v>
      </c>
      <c r="L34" s="247">
        <v>3701.17</v>
      </c>
      <c r="M34" s="247">
        <v>3790.6950000000002</v>
      </c>
      <c r="N34" s="247">
        <v>3890.1590000000001</v>
      </c>
      <c r="O34" s="247">
        <v>3998.614</v>
      </c>
      <c r="P34" s="247">
        <v>4018.5329999999999</v>
      </c>
      <c r="Q34" s="247">
        <v>4042.7919999999999</v>
      </c>
      <c r="R34" s="247">
        <v>4075.4140000000002</v>
      </c>
      <c r="S34" s="247">
        <v>4113.424</v>
      </c>
      <c r="T34" s="247">
        <v>4153.674</v>
      </c>
      <c r="U34" s="247">
        <v>4202.4629999999997</v>
      </c>
      <c r="V34" s="247">
        <v>4258.4629999999997</v>
      </c>
      <c r="W34" s="247">
        <v>4278.9949999999999</v>
      </c>
      <c r="X34" s="247">
        <v>4300.7520000000004</v>
      </c>
      <c r="Y34" s="247">
        <v>4335.1819999999998</v>
      </c>
      <c r="Z34" s="247">
        <v>4401.3519999999999</v>
      </c>
      <c r="AA34" s="247">
        <v>4447.165</v>
      </c>
      <c r="AB34" s="247">
        <v>4494.6610000000001</v>
      </c>
      <c r="AC34" s="247">
        <v>4584.7110000000002</v>
      </c>
      <c r="AD34" s="247">
        <v>4668.2619999999997</v>
      </c>
      <c r="AE34" s="247">
        <v>4767.2619999999997</v>
      </c>
      <c r="AF34" s="247">
        <v>4844.8230000000003</v>
      </c>
      <c r="AG34" s="247">
        <v>4869.9790000000003</v>
      </c>
      <c r="AH34" s="411">
        <v>4887.116</v>
      </c>
      <c r="AI34" s="411">
        <v>4943.2929999999997</v>
      </c>
      <c r="AJ34" s="411">
        <v>4985.9790000000003</v>
      </c>
      <c r="AK34" s="411">
        <v>4979.7610000000004</v>
      </c>
      <c r="AL34" s="577">
        <v>4976.366</v>
      </c>
      <c r="AM34" s="459">
        <v>-6.8175962661669587E-2</v>
      </c>
      <c r="AN34" s="55" t="s">
        <v>55</v>
      </c>
    </row>
    <row r="35" spans="1:40" ht="12.75" customHeight="1">
      <c r="A35" s="8"/>
      <c r="B35" s="118" t="s">
        <v>26</v>
      </c>
      <c r="C35" s="228">
        <v>40.786000000000001</v>
      </c>
      <c r="D35" s="228">
        <v>85.924000000000007</v>
      </c>
      <c r="E35" s="248">
        <v>119.73099999999999</v>
      </c>
      <c r="F35" s="248">
        <v>120.86199999999999</v>
      </c>
      <c r="G35" s="248">
        <v>120.146</v>
      </c>
      <c r="H35" s="248">
        <v>116.19499999999999</v>
      </c>
      <c r="I35" s="248">
        <v>116.24299999999999</v>
      </c>
      <c r="J35" s="248">
        <v>119.232</v>
      </c>
      <c r="K35" s="248">
        <v>124.90900000000001</v>
      </c>
      <c r="L35" s="248">
        <v>132.46799999999999</v>
      </c>
      <c r="M35" s="248">
        <v>140.37200000000001</v>
      </c>
      <c r="N35" s="248">
        <v>151.40899999999999</v>
      </c>
      <c r="O35" s="248">
        <v>158.93600000000001</v>
      </c>
      <c r="P35" s="248">
        <v>159.86500000000001</v>
      </c>
      <c r="Q35" s="248">
        <v>161.721</v>
      </c>
      <c r="R35" s="248">
        <v>166.869</v>
      </c>
      <c r="S35" s="248">
        <v>175.42699999999999</v>
      </c>
      <c r="T35" s="248">
        <v>187.44200000000001</v>
      </c>
      <c r="U35" s="248">
        <v>197.30500000000001</v>
      </c>
      <c r="V35" s="248">
        <v>207.51300000000001</v>
      </c>
      <c r="W35" s="248">
        <v>209.74</v>
      </c>
      <c r="X35" s="248">
        <v>205.33799999999999</v>
      </c>
      <c r="Y35" s="248">
        <v>204.73599999999999</v>
      </c>
      <c r="Z35" s="248">
        <v>206.11199999999999</v>
      </c>
      <c r="AA35" s="248">
        <v>210.07</v>
      </c>
      <c r="AB35" s="327">
        <v>213.113</v>
      </c>
      <c r="AC35" s="327">
        <v>217.45400000000001</v>
      </c>
      <c r="AD35" s="327">
        <v>226.321</v>
      </c>
      <c r="AE35" s="327">
        <v>240.49</v>
      </c>
      <c r="AF35" s="327">
        <v>257.10000000000002</v>
      </c>
      <c r="AG35" s="236">
        <v>267.38299999999998</v>
      </c>
      <c r="AH35" s="409">
        <v>269.82499999999999</v>
      </c>
      <c r="AI35" s="409">
        <v>269.61500000000001</v>
      </c>
      <c r="AJ35" s="409">
        <v>289.017</v>
      </c>
      <c r="AK35" s="958">
        <v>287.36799999999999</v>
      </c>
      <c r="AL35" s="494">
        <v>256</v>
      </c>
      <c r="AM35" s="787">
        <v>-10.915620389187382</v>
      </c>
      <c r="AN35" s="233" t="s">
        <v>26</v>
      </c>
    </row>
    <row r="36" spans="1:40" ht="12.75" customHeight="1">
      <c r="A36" s="8"/>
      <c r="B36" s="10" t="s">
        <v>65</v>
      </c>
      <c r="C36" s="121"/>
      <c r="D36" s="121"/>
      <c r="E36" s="235">
        <v>16.890999999999998</v>
      </c>
      <c r="F36" s="235">
        <v>17.327999999999999</v>
      </c>
      <c r="G36" s="235">
        <v>17.678999999999998</v>
      </c>
      <c r="H36" s="235">
        <v>17.766999999999999</v>
      </c>
      <c r="I36" s="235">
        <v>18.256</v>
      </c>
      <c r="J36" s="235">
        <v>18.82</v>
      </c>
      <c r="K36" s="235">
        <v>19.309999999999999</v>
      </c>
      <c r="L36" s="235">
        <v>19.925999999999998</v>
      </c>
      <c r="M36" s="235">
        <v>20.469000000000001</v>
      </c>
      <c r="N36" s="235">
        <v>21.15</v>
      </c>
      <c r="O36" s="235">
        <v>21.783999999999999</v>
      </c>
      <c r="P36" s="235">
        <v>22.626000000000001</v>
      </c>
      <c r="Q36" s="235">
        <v>23.265000000000001</v>
      </c>
      <c r="R36" s="235">
        <v>23.524000000000001</v>
      </c>
      <c r="S36" s="235">
        <v>23.934999999999999</v>
      </c>
      <c r="T36" s="235">
        <v>24.393000000000001</v>
      </c>
      <c r="U36" s="235">
        <v>24.292999999999999</v>
      </c>
      <c r="V36" s="235">
        <v>24.367999999999999</v>
      </c>
      <c r="W36" s="235">
        <v>25.462</v>
      </c>
      <c r="X36" s="235">
        <v>25.908999999999999</v>
      </c>
      <c r="Y36" s="235">
        <v>26.89</v>
      </c>
      <c r="Z36" s="235">
        <v>27.327000000000002</v>
      </c>
      <c r="AA36" s="235">
        <v>28.004000000000001</v>
      </c>
      <c r="AB36" s="235">
        <v>28.102</v>
      </c>
      <c r="AC36" s="235">
        <v>28.474</v>
      </c>
      <c r="AD36" s="235">
        <v>28.802</v>
      </c>
      <c r="AE36" s="235">
        <v>29.241</v>
      </c>
      <c r="AF36" s="235">
        <v>29.675999999999998</v>
      </c>
      <c r="AG36" s="235">
        <v>29.949000000000002</v>
      </c>
      <c r="AH36" s="410">
        <v>30</v>
      </c>
      <c r="AI36" s="410">
        <v>30</v>
      </c>
      <c r="AJ36" s="410">
        <v>30.541</v>
      </c>
      <c r="AK36" s="959">
        <v>30.658999999999999</v>
      </c>
      <c r="AL36" s="479">
        <v>30.963999999999999</v>
      </c>
      <c r="AM36" s="448">
        <v>0.99481392087153608</v>
      </c>
      <c r="AN36" s="54" t="s">
        <v>65</v>
      </c>
    </row>
    <row r="37" spans="1:40" ht="12.75" customHeight="1">
      <c r="A37" s="384"/>
      <c r="B37" s="119" t="s">
        <v>56</v>
      </c>
      <c r="C37" s="122">
        <v>690</v>
      </c>
      <c r="D37" s="122">
        <v>1230</v>
      </c>
      <c r="E37" s="236">
        <v>1613.037</v>
      </c>
      <c r="F37" s="236">
        <v>1614.623</v>
      </c>
      <c r="G37" s="236">
        <v>1619.4380000000001</v>
      </c>
      <c r="H37" s="236">
        <v>1633.088</v>
      </c>
      <c r="I37" s="236">
        <v>1653.6780000000001</v>
      </c>
      <c r="J37" s="236">
        <v>1684.664</v>
      </c>
      <c r="K37" s="236">
        <v>1661.2470000000001</v>
      </c>
      <c r="L37" s="236">
        <v>1758.001</v>
      </c>
      <c r="M37" s="236">
        <v>1786.404</v>
      </c>
      <c r="N37" s="236">
        <v>1813.6420000000001</v>
      </c>
      <c r="O37" s="236">
        <v>1851.9290000000001</v>
      </c>
      <c r="P37" s="236">
        <v>1872.8620000000001</v>
      </c>
      <c r="Q37" s="236">
        <v>1899.7670000000001</v>
      </c>
      <c r="R37" s="236">
        <v>1933.66</v>
      </c>
      <c r="S37" s="236">
        <v>1977.922</v>
      </c>
      <c r="T37" s="236">
        <v>2028.9090000000001</v>
      </c>
      <c r="U37" s="236">
        <v>2084.1930000000002</v>
      </c>
      <c r="V37" s="236">
        <v>2154.837</v>
      </c>
      <c r="W37" s="236">
        <v>2197.1930000000002</v>
      </c>
      <c r="X37" s="236">
        <v>2244</v>
      </c>
      <c r="Y37" s="236">
        <v>2308.5479999999998</v>
      </c>
      <c r="Z37" s="236">
        <v>2376</v>
      </c>
      <c r="AA37" s="236">
        <v>2443</v>
      </c>
      <c r="AB37" s="236">
        <v>2500.2649999999999</v>
      </c>
      <c r="AC37" s="236">
        <v>2555.4430000000002</v>
      </c>
      <c r="AD37" s="236">
        <v>2610.3519999999999</v>
      </c>
      <c r="AE37" s="236">
        <v>2662.91</v>
      </c>
      <c r="AF37" s="236">
        <v>2719.3960000000002</v>
      </c>
      <c r="AG37" s="236">
        <v>2751.9479999999999</v>
      </c>
      <c r="AH37" s="236">
        <v>2801</v>
      </c>
      <c r="AI37" s="236">
        <v>2934.8829999999998</v>
      </c>
      <c r="AJ37" s="236">
        <v>3003.0050000000001</v>
      </c>
      <c r="AK37" s="236">
        <v>3018.7280000000001</v>
      </c>
      <c r="AL37" s="242">
        <v>2886.7950000000001</v>
      </c>
      <c r="AM37" s="525">
        <v>-4.3704831968961741</v>
      </c>
      <c r="AN37" s="209" t="s">
        <v>56</v>
      </c>
    </row>
    <row r="38" spans="1:40" ht="12.75" customHeight="1">
      <c r="A38" s="8"/>
      <c r="B38" s="402" t="s">
        <v>27</v>
      </c>
      <c r="C38" s="526">
        <v>1383.204</v>
      </c>
      <c r="D38" s="526">
        <v>2246.752</v>
      </c>
      <c r="E38" s="527">
        <v>2985.3969999999999</v>
      </c>
      <c r="F38" s="527">
        <v>3057.7979999999998</v>
      </c>
      <c r="G38" s="527">
        <v>3091.2280000000001</v>
      </c>
      <c r="H38" s="527">
        <v>3109.5230000000001</v>
      </c>
      <c r="I38" s="527">
        <v>3165.0419999999999</v>
      </c>
      <c r="J38" s="527">
        <v>3229.1759999999999</v>
      </c>
      <c r="K38" s="527">
        <v>3268.0929999999998</v>
      </c>
      <c r="L38" s="527">
        <v>3323.4549999999999</v>
      </c>
      <c r="M38" s="527">
        <v>3383.3069999999998</v>
      </c>
      <c r="N38" s="527">
        <v>3467.3110000000001</v>
      </c>
      <c r="O38" s="527">
        <v>3545.2469999999998</v>
      </c>
      <c r="P38" s="527">
        <v>3629.7130000000002</v>
      </c>
      <c r="Q38" s="527">
        <v>3700.951</v>
      </c>
      <c r="R38" s="527">
        <v>3753.89</v>
      </c>
      <c r="S38" s="527">
        <v>3811.3510000000001</v>
      </c>
      <c r="T38" s="527">
        <v>3861.442</v>
      </c>
      <c r="U38" s="527">
        <v>3900.0140000000001</v>
      </c>
      <c r="V38" s="527">
        <v>3955.7869999999998</v>
      </c>
      <c r="W38" s="527">
        <v>3989.8110000000001</v>
      </c>
      <c r="X38" s="527">
        <v>4009.6019999999999</v>
      </c>
      <c r="Y38" s="527">
        <v>4075.8249999999998</v>
      </c>
      <c r="Z38" s="527">
        <v>4163</v>
      </c>
      <c r="AA38" s="527">
        <v>4254.7250000000004</v>
      </c>
      <c r="AB38" s="527">
        <v>4320.8850000000002</v>
      </c>
      <c r="AC38" s="527">
        <v>4384.49</v>
      </c>
      <c r="AD38" s="527">
        <v>4458.0690000000004</v>
      </c>
      <c r="AE38" s="527">
        <v>4524.0290000000005</v>
      </c>
      <c r="AF38" s="527">
        <v>4570.8230000000003</v>
      </c>
      <c r="AG38" s="527">
        <v>4602.6880000000001</v>
      </c>
      <c r="AH38" s="527">
        <v>4623.9520000000002</v>
      </c>
      <c r="AI38" s="527">
        <v>4658.335</v>
      </c>
      <c r="AJ38" s="527">
        <v>4709.366</v>
      </c>
      <c r="AK38" s="1254">
        <v>4721.28</v>
      </c>
      <c r="AL38" s="1253">
        <v>4760.8999999999996</v>
      </c>
      <c r="AM38" s="788">
        <v>0.83917920563914095</v>
      </c>
      <c r="AN38" s="871" t="s">
        <v>27</v>
      </c>
    </row>
    <row r="39" spans="1:40" ht="12.75" customHeight="1">
      <c r="A39" s="8"/>
      <c r="B39" s="119" t="s">
        <v>311</v>
      </c>
      <c r="C39" s="122"/>
      <c r="D39" s="122"/>
      <c r="E39" s="236"/>
      <c r="F39" s="236"/>
      <c r="G39" s="236"/>
      <c r="H39" s="236"/>
      <c r="I39" s="236"/>
      <c r="J39" s="236"/>
      <c r="K39" s="236"/>
      <c r="L39" s="236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/>
      <c r="X39" s="236"/>
      <c r="Y39" s="236"/>
      <c r="Z39" s="236"/>
      <c r="AA39" s="236"/>
      <c r="AB39" s="236">
        <v>774.85500000000002</v>
      </c>
      <c r="AC39" s="236">
        <v>799.89099999999996</v>
      </c>
      <c r="AD39" s="236">
        <v>827.22400000000005</v>
      </c>
      <c r="AE39" s="236">
        <v>859.97500000000002</v>
      </c>
      <c r="AF39" s="236">
        <v>882.99900000000002</v>
      </c>
      <c r="AG39" s="236">
        <v>919.226</v>
      </c>
      <c r="AH39" s="409">
        <v>939.28300000000002</v>
      </c>
      <c r="AI39" s="409">
        <v>936.41700000000003</v>
      </c>
      <c r="AJ39" s="409">
        <v>983.077</v>
      </c>
      <c r="AK39" s="958">
        <v>1006.1420000000001</v>
      </c>
      <c r="AL39" s="494">
        <v>1044.95</v>
      </c>
      <c r="AM39" s="525">
        <v>3.8571096326363516</v>
      </c>
      <c r="AN39" s="209" t="s">
        <v>311</v>
      </c>
    </row>
    <row r="40" spans="1:40" s="22" customFormat="1" ht="12.75" customHeight="1">
      <c r="A40" s="203"/>
      <c r="B40" s="10" t="s">
        <v>139</v>
      </c>
      <c r="C40" s="121"/>
      <c r="D40" s="121"/>
      <c r="E40" s="235"/>
      <c r="F40" s="235"/>
      <c r="G40" s="235"/>
      <c r="H40" s="235"/>
      <c r="I40" s="235"/>
      <c r="J40" s="235"/>
      <c r="K40" s="235"/>
      <c r="L40" s="235"/>
      <c r="M40" s="235"/>
      <c r="N40" s="235"/>
      <c r="O40" s="235"/>
      <c r="P40" s="235"/>
      <c r="Q40" s="235"/>
      <c r="R40" s="235"/>
      <c r="S40" s="235"/>
      <c r="T40" s="235"/>
      <c r="U40" s="235"/>
      <c r="V40" s="235"/>
      <c r="W40" s="235"/>
      <c r="X40" s="235"/>
      <c r="Y40" s="235">
        <v>164.65299999999999</v>
      </c>
      <c r="Z40" s="235">
        <v>171.97300000000001</v>
      </c>
      <c r="AA40" s="235">
        <v>173.86500000000001</v>
      </c>
      <c r="AB40" s="235">
        <v>178.66200000000001</v>
      </c>
      <c r="AC40" s="235">
        <v>174.07300000000001</v>
      </c>
      <c r="AD40" s="235">
        <v>175.91200000000001</v>
      </c>
      <c r="AE40" s="235">
        <v>184.73400000000001</v>
      </c>
      <c r="AF40" s="235">
        <v>193.24199999999999</v>
      </c>
      <c r="AG40" s="235">
        <v>206.453</v>
      </c>
      <c r="AH40" s="410">
        <v>217.959</v>
      </c>
      <c r="AI40" s="410">
        <v>210.113</v>
      </c>
      <c r="AJ40" s="410">
        <v>221.405</v>
      </c>
      <c r="AK40" s="959">
        <v>227.71600000000001</v>
      </c>
      <c r="AL40" s="479">
        <v>242.59899999999999</v>
      </c>
      <c r="AM40" s="448">
        <v>6.5357726290642688</v>
      </c>
      <c r="AN40" s="54" t="s">
        <v>139</v>
      </c>
    </row>
    <row r="41" spans="1:40" ht="12.75" customHeight="1">
      <c r="A41" s="8"/>
      <c r="B41" s="119" t="s">
        <v>313</v>
      </c>
      <c r="C41" s="122"/>
      <c r="D41" s="122"/>
      <c r="E41" s="236"/>
      <c r="F41" s="236"/>
      <c r="G41" s="236"/>
      <c r="H41" s="236"/>
      <c r="I41" s="236"/>
      <c r="J41" s="236"/>
      <c r="K41" s="236"/>
      <c r="L41" s="236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/>
      <c r="X41" s="236"/>
      <c r="Y41" s="236"/>
      <c r="Z41" s="236"/>
      <c r="AA41" s="236">
        <v>456.37900000000002</v>
      </c>
      <c r="AB41" s="236">
        <v>487.42</v>
      </c>
      <c r="AC41" s="236">
        <v>512.56100000000004</v>
      </c>
      <c r="AD41" s="236">
        <v>529.81299999999999</v>
      </c>
      <c r="AE41" s="236">
        <v>546.78099999999995</v>
      </c>
      <c r="AF41" s="236">
        <v>588.11900000000003</v>
      </c>
      <c r="AG41" s="236">
        <v>616.79999999999995</v>
      </c>
      <c r="AH41" s="236">
        <v>648.78</v>
      </c>
      <c r="AI41" s="236">
        <v>677.67</v>
      </c>
      <c r="AJ41" s="236">
        <v>716.90599999999995</v>
      </c>
      <c r="AK41" s="236">
        <v>745.97</v>
      </c>
      <c r="AL41" s="242">
        <v>788.50599999999997</v>
      </c>
      <c r="AM41" s="525">
        <v>5.7021059828143166</v>
      </c>
      <c r="AN41" s="209" t="s">
        <v>313</v>
      </c>
    </row>
    <row r="42" spans="1:40" s="22" customFormat="1" ht="12.75" customHeight="1">
      <c r="A42" s="203"/>
      <c r="B42" s="935" t="s">
        <v>0</v>
      </c>
      <c r="C42" s="121"/>
      <c r="D42" s="121"/>
      <c r="E42" s="235"/>
      <c r="F42" s="235"/>
      <c r="G42" s="235"/>
      <c r="H42" s="235">
        <v>289.97899999999998</v>
      </c>
      <c r="I42" s="235">
        <v>263.18099999999998</v>
      </c>
      <c r="J42" s="235">
        <v>285.90699999999998</v>
      </c>
      <c r="K42" s="235">
        <v>284.02199999999999</v>
      </c>
      <c r="L42" s="235">
        <v>289.20400000000001</v>
      </c>
      <c r="M42" s="235">
        <v>288.678</v>
      </c>
      <c r="N42" s="235">
        <v>290</v>
      </c>
      <c r="O42" s="235">
        <v>300</v>
      </c>
      <c r="P42" s="235">
        <v>310</v>
      </c>
      <c r="Q42" s="235">
        <v>308</v>
      </c>
      <c r="R42" s="238">
        <v>299.80900000000003</v>
      </c>
      <c r="S42" s="235">
        <v>249.40299999999999</v>
      </c>
      <c r="T42" s="235">
        <v>253.23400000000001</v>
      </c>
      <c r="U42" s="235">
        <v>242.28700000000001</v>
      </c>
      <c r="V42" s="235">
        <v>248.774</v>
      </c>
      <c r="W42" s="235">
        <v>263.11200000000002</v>
      </c>
      <c r="X42" s="244">
        <v>282.19600000000003</v>
      </c>
      <c r="Y42" s="244">
        <v>310.23099999999999</v>
      </c>
      <c r="Z42" s="244">
        <v>313.08</v>
      </c>
      <c r="AA42" s="244">
        <v>301.76100000000002</v>
      </c>
      <c r="AB42" s="244">
        <v>346.798</v>
      </c>
      <c r="AC42" s="244">
        <v>371.44900000000001</v>
      </c>
      <c r="AD42" s="244">
        <v>383.83300000000003</v>
      </c>
      <c r="AE42" s="244">
        <v>394.93400000000003</v>
      </c>
      <c r="AF42" s="244">
        <v>403.31599999999997</v>
      </c>
      <c r="AG42" s="244">
        <v>415.06200000000001</v>
      </c>
      <c r="AH42" s="408">
        <v>426.04500000000002</v>
      </c>
      <c r="AI42" s="408">
        <v>429.19600000000003</v>
      </c>
      <c r="AJ42" s="408">
        <v>477.82</v>
      </c>
      <c r="AK42" s="408">
        <v>483.48200000000003</v>
      </c>
      <c r="AL42" s="576"/>
      <c r="AM42" s="448"/>
      <c r="AN42" s="54" t="s">
        <v>0</v>
      </c>
    </row>
    <row r="43" spans="1:40" ht="12.75" customHeight="1">
      <c r="A43" s="8"/>
      <c r="B43" s="939" t="s">
        <v>346</v>
      </c>
      <c r="C43" s="122"/>
      <c r="D43" s="122"/>
      <c r="E43" s="236"/>
      <c r="F43" s="236"/>
      <c r="G43" s="236"/>
      <c r="H43" s="236"/>
      <c r="I43" s="236"/>
      <c r="J43" s="236"/>
      <c r="K43" s="236"/>
      <c r="L43" s="236"/>
      <c r="M43" s="236"/>
      <c r="N43" s="236"/>
      <c r="O43" s="236"/>
      <c r="P43" s="236"/>
      <c r="Q43" s="236"/>
      <c r="R43" s="236"/>
      <c r="S43" s="236"/>
      <c r="T43" s="236"/>
      <c r="U43" s="236"/>
      <c r="V43" s="236"/>
      <c r="W43" s="236"/>
      <c r="X43" s="783"/>
      <c r="Y43" s="783"/>
      <c r="Z43" s="783"/>
      <c r="AA43" s="783"/>
      <c r="AB43" s="783">
        <v>738.7</v>
      </c>
      <c r="AC43" s="783">
        <v>821.1</v>
      </c>
      <c r="AD43" s="783">
        <v>894.7</v>
      </c>
      <c r="AE43" s="783">
        <v>973.3</v>
      </c>
      <c r="AF43" s="783">
        <v>1030.421</v>
      </c>
      <c r="AG43" s="783">
        <v>1085.6379999999999</v>
      </c>
      <c r="AH43" s="784">
        <v>1190.07</v>
      </c>
      <c r="AI43" s="784">
        <v>1190.07</v>
      </c>
      <c r="AJ43" s="784">
        <v>1265.867</v>
      </c>
      <c r="AK43" s="784">
        <v>1333.0119999999999</v>
      </c>
      <c r="AL43" s="785">
        <v>1438.585</v>
      </c>
      <c r="AM43" s="525">
        <v>7.9198836919697584</v>
      </c>
      <c r="AN43" s="209" t="s">
        <v>346</v>
      </c>
    </row>
    <row r="44" spans="1:40" s="22" customFormat="1" ht="12" customHeight="1">
      <c r="A44" s="203"/>
      <c r="B44" s="935" t="s">
        <v>145</v>
      </c>
      <c r="C44" s="121"/>
      <c r="D44" s="121"/>
      <c r="E44" s="235"/>
      <c r="F44" s="235"/>
      <c r="G44" s="235"/>
      <c r="H44" s="235">
        <v>56.728000000000002</v>
      </c>
      <c r="I44" s="235">
        <v>67.959999999999994</v>
      </c>
      <c r="J44" s="235">
        <v>58.682000000000002</v>
      </c>
      <c r="K44" s="235">
        <v>67.278000000000006</v>
      </c>
      <c r="L44" s="235">
        <v>76.822000000000003</v>
      </c>
      <c r="M44" s="235">
        <v>90.766000000000005</v>
      </c>
      <c r="N44" s="235">
        <v>92.251999999999995</v>
      </c>
      <c r="O44" s="235">
        <v>114.532</v>
      </c>
      <c r="P44" s="235">
        <v>133.53299999999999</v>
      </c>
      <c r="Q44" s="235">
        <v>148.53100000000001</v>
      </c>
      <c r="R44" s="235">
        <v>174.78200000000001</v>
      </c>
      <c r="S44" s="235">
        <v>190.00399999999999</v>
      </c>
      <c r="T44" s="235">
        <v>195.125</v>
      </c>
      <c r="U44" s="235">
        <v>225.114</v>
      </c>
      <c r="V44" s="235">
        <v>237.93199999999999</v>
      </c>
      <c r="W44" s="235">
        <v>264.82799999999997</v>
      </c>
      <c r="X44" s="235">
        <v>281.23599999999999</v>
      </c>
      <c r="Y44" s="235">
        <v>294.72899999999998</v>
      </c>
      <c r="Z44" s="235">
        <v>300.97399999999999</v>
      </c>
      <c r="AA44" s="235">
        <v>297.34100000000001</v>
      </c>
      <c r="AB44" s="235">
        <v>341.69099999999997</v>
      </c>
      <c r="AC44" s="235">
        <v>378.053</v>
      </c>
      <c r="AD44" s="235">
        <v>403.63</v>
      </c>
      <c r="AE44" s="235">
        <v>435.613</v>
      </c>
      <c r="AF44" s="235">
        <v>417.42599999999999</v>
      </c>
      <c r="AG44" s="235">
        <v>460.02699999999999</v>
      </c>
      <c r="AH44" s="959">
        <v>499.59</v>
      </c>
      <c r="AI44" s="959">
        <v>539.49699999999996</v>
      </c>
      <c r="AJ44" s="959">
        <v>593.28</v>
      </c>
      <c r="AK44" s="959">
        <v>639.37900000000002</v>
      </c>
      <c r="AL44" s="479">
        <v>699.33699999999999</v>
      </c>
      <c r="AM44" s="448">
        <v>9.3775366410219902</v>
      </c>
      <c r="AN44" s="54" t="s">
        <v>145</v>
      </c>
    </row>
    <row r="45" spans="1:40" ht="12.75" customHeight="1">
      <c r="A45" s="8"/>
      <c r="B45" s="939" t="s">
        <v>138</v>
      </c>
      <c r="C45" s="122"/>
      <c r="D45" s="122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236">
        <v>1382.396</v>
      </c>
      <c r="Q45" s="236">
        <v>1343.6579999999999</v>
      </c>
      <c r="R45" s="237">
        <v>1388.1089999999999</v>
      </c>
      <c r="S45" s="236">
        <v>1449.8430000000001</v>
      </c>
      <c r="T45" s="236">
        <v>1481.498</v>
      </c>
      <c r="U45" s="236">
        <v>1511.837</v>
      </c>
      <c r="V45" s="236">
        <v>1476.6420000000001</v>
      </c>
      <c r="W45" s="236">
        <v>1486.6079999999999</v>
      </c>
      <c r="X45" s="783">
        <v>1637.002</v>
      </c>
      <c r="Y45" s="783">
        <v>1565.55</v>
      </c>
      <c r="Z45" s="783">
        <v>1677.51</v>
      </c>
      <c r="AA45" s="783">
        <v>1726.19</v>
      </c>
      <c r="AB45" s="783">
        <v>1770.2059999999999</v>
      </c>
      <c r="AC45" s="783">
        <v>1797.4269999999999</v>
      </c>
      <c r="AD45" s="783">
        <v>1834.89</v>
      </c>
      <c r="AE45" s="783">
        <v>1888.2950000000001</v>
      </c>
      <c r="AF45" s="783">
        <v>1968.787</v>
      </c>
      <c r="AG45" s="783">
        <v>1999.771</v>
      </c>
      <c r="AH45" s="784">
        <v>2083.7530000000002</v>
      </c>
      <c r="AI45" s="784">
        <v>2164.8180000000002</v>
      </c>
      <c r="AJ45" s="784">
        <v>2235.7939999999999</v>
      </c>
      <c r="AK45" s="784">
        <v>2337.498</v>
      </c>
      <c r="AL45" s="785">
        <v>2389.105</v>
      </c>
      <c r="AM45" s="525">
        <v>2.2077879852731428</v>
      </c>
      <c r="AN45" s="209" t="s">
        <v>138</v>
      </c>
    </row>
    <row r="46" spans="1:40" s="22" customFormat="1" ht="12.75" customHeight="1">
      <c r="A46" s="203"/>
      <c r="B46" s="935" t="s">
        <v>40</v>
      </c>
      <c r="C46" s="121" t="s">
        <v>57</v>
      </c>
      <c r="D46" s="121" t="s">
        <v>57</v>
      </c>
      <c r="E46" s="235"/>
      <c r="F46" s="235"/>
      <c r="G46" s="235"/>
      <c r="H46" s="235">
        <v>2619.8519999999999</v>
      </c>
      <c r="I46" s="235">
        <v>2861.64</v>
      </c>
      <c r="J46" s="235">
        <v>3058.5110000000004</v>
      </c>
      <c r="K46" s="235">
        <v>3274.1559999999999</v>
      </c>
      <c r="L46" s="235">
        <v>3570.105</v>
      </c>
      <c r="M46" s="235">
        <v>3838.288</v>
      </c>
      <c r="N46" s="235">
        <v>4072.326</v>
      </c>
      <c r="O46" s="235">
        <v>4422.18</v>
      </c>
      <c r="P46" s="235">
        <v>4534.8029999999999</v>
      </c>
      <c r="Q46" s="235">
        <v>4600.1400000000003</v>
      </c>
      <c r="R46" s="235">
        <v>4700.3429999999998</v>
      </c>
      <c r="S46" s="235">
        <v>5400.44</v>
      </c>
      <c r="T46" s="235">
        <v>5772.7449999999999</v>
      </c>
      <c r="U46" s="235">
        <v>6140.9920000000002</v>
      </c>
      <c r="V46" s="235">
        <v>6472.1559999999999</v>
      </c>
      <c r="W46" s="235">
        <v>6796.6289999999999</v>
      </c>
      <c r="X46" s="235">
        <v>7093.9639999999999</v>
      </c>
      <c r="Y46" s="235">
        <v>7544.8710000000001</v>
      </c>
      <c r="Z46" s="235">
        <v>8113.1109999999999</v>
      </c>
      <c r="AA46" s="235">
        <v>8648.875</v>
      </c>
      <c r="AB46" s="235">
        <v>9283.9230000000007</v>
      </c>
      <c r="AC46" s="235">
        <v>9857.9150000000009</v>
      </c>
      <c r="AD46" s="235">
        <v>10589.337</v>
      </c>
      <c r="AE46" s="235">
        <v>11317.998</v>
      </c>
      <c r="AF46" s="235">
        <v>12035.977999999999</v>
      </c>
      <c r="AG46" s="235">
        <v>12398.19</v>
      </c>
      <c r="AH46" s="959">
        <v>12503.049000000001</v>
      </c>
      <c r="AI46" s="959">
        <v>13099.040999999999</v>
      </c>
      <c r="AJ46" s="959">
        <v>13706.065000000001</v>
      </c>
      <c r="AK46" s="959">
        <v>14269.352000000001</v>
      </c>
      <c r="AL46" s="479">
        <v>15221.134</v>
      </c>
      <c r="AM46" s="448">
        <v>6.6701136814061357</v>
      </c>
      <c r="AN46" s="54" t="s">
        <v>40</v>
      </c>
    </row>
    <row r="47" spans="1:40" ht="12.75" customHeight="1">
      <c r="A47" s="8"/>
      <c r="B47" s="120" t="s">
        <v>312</v>
      </c>
      <c r="C47" s="1000"/>
      <c r="D47" s="1000"/>
      <c r="E47" s="245"/>
      <c r="F47" s="245"/>
      <c r="G47" s="245"/>
      <c r="H47" s="245">
        <v>4235.7</v>
      </c>
      <c r="I47" s="245">
        <v>4384.1000000000004</v>
      </c>
      <c r="J47" s="245">
        <v>4603.1000000000004</v>
      </c>
      <c r="K47" s="245">
        <v>4872.2719999999999</v>
      </c>
      <c r="L47" s="245">
        <v>5024.0110000000004</v>
      </c>
      <c r="M47" s="245">
        <v>5127.3230000000003</v>
      </c>
      <c r="N47" s="245"/>
      <c r="O47" s="245"/>
      <c r="P47" s="245"/>
      <c r="Q47" s="245"/>
      <c r="R47" s="245"/>
      <c r="S47" s="245"/>
      <c r="T47" s="245">
        <v>5538.9719999999998</v>
      </c>
      <c r="U47" s="245"/>
      <c r="V47" s="245"/>
      <c r="W47" s="245">
        <v>6393.9030000000002</v>
      </c>
      <c r="X47" s="245">
        <v>6699.0569999999998</v>
      </c>
      <c r="Y47" s="245">
        <v>6769.2910000000002</v>
      </c>
      <c r="Z47" s="245">
        <v>6900.5410000000002</v>
      </c>
      <c r="AA47" s="245"/>
      <c r="AB47" s="245"/>
      <c r="AC47" s="245"/>
      <c r="AD47" s="245"/>
      <c r="AE47" s="245"/>
      <c r="AF47" s="245"/>
      <c r="AG47" s="245"/>
      <c r="AH47" s="967"/>
      <c r="AI47" s="967"/>
      <c r="AJ47" s="967"/>
      <c r="AK47" s="967"/>
      <c r="AL47" s="579"/>
      <c r="AM47" s="460"/>
      <c r="AN47" s="210" t="s">
        <v>312</v>
      </c>
    </row>
    <row r="48" spans="1:40" s="22" customFormat="1" ht="12.75" customHeight="1">
      <c r="A48" s="203"/>
      <c r="B48" s="935" t="s">
        <v>44</v>
      </c>
      <c r="C48" s="121">
        <v>11900</v>
      </c>
      <c r="D48" s="121">
        <v>15619</v>
      </c>
      <c r="E48" s="235">
        <v>20722</v>
      </c>
      <c r="F48" s="235">
        <v>20760</v>
      </c>
      <c r="G48" s="235">
        <v>20970</v>
      </c>
      <c r="H48" s="235">
        <v>21290.696</v>
      </c>
      <c r="I48" s="235">
        <v>21740.708999999999</v>
      </c>
      <c r="J48" s="235">
        <v>21950.81</v>
      </c>
      <c r="K48" s="235">
        <v>22818.718000000001</v>
      </c>
      <c r="L48" s="235">
        <v>23450</v>
      </c>
      <c r="M48" s="235">
        <v>23922.228999999999</v>
      </c>
      <c r="N48" s="235">
        <v>24627.941999999999</v>
      </c>
      <c r="O48" s="235">
        <v>25066.864000000001</v>
      </c>
      <c r="P48" s="235">
        <v>25815.702000000001</v>
      </c>
      <c r="Q48" s="235">
        <v>26492.593000000001</v>
      </c>
      <c r="R48" s="238">
        <v>26992.347999999998</v>
      </c>
      <c r="S48" s="235">
        <v>27806.243999999999</v>
      </c>
      <c r="T48" s="235">
        <v>28326.297000000002</v>
      </c>
      <c r="U48" s="235">
        <v>28446.661</v>
      </c>
      <c r="V48" s="235">
        <v>28873.319</v>
      </c>
      <c r="W48" s="235">
        <v>29049.914000000001</v>
      </c>
      <c r="X48" s="244">
        <v>29152.304000000004</v>
      </c>
      <c r="Y48" s="244">
        <v>29333.576000000001</v>
      </c>
      <c r="Z48" s="244">
        <v>29382.213999999996</v>
      </c>
      <c r="AA48" s="244">
        <v>29644.178</v>
      </c>
      <c r="AB48" s="244">
        <v>30075.436000000005</v>
      </c>
      <c r="AC48" s="244">
        <v>30513.3</v>
      </c>
      <c r="AD48" s="244">
        <v>31170.7</v>
      </c>
      <c r="AE48" s="244">
        <v>31792.3</v>
      </c>
      <c r="AF48" s="244">
        <v>32159.9</v>
      </c>
      <c r="AG48" s="244">
        <v>32493.3</v>
      </c>
      <c r="AH48" s="408">
        <v>32884.300000000003</v>
      </c>
      <c r="AI48" s="408">
        <v>32697.407999999999</v>
      </c>
      <c r="AJ48" s="1001">
        <v>32889.462</v>
      </c>
      <c r="AK48" s="1001">
        <v>33187</v>
      </c>
      <c r="AL48" s="576">
        <v>33580</v>
      </c>
      <c r="AM48" s="448">
        <v>1.1841986319944624</v>
      </c>
      <c r="AN48" s="54" t="s">
        <v>44</v>
      </c>
    </row>
    <row r="49" spans="2:40" ht="17.25" customHeight="1">
      <c r="B49" s="1292" t="s">
        <v>324</v>
      </c>
      <c r="C49" s="1293"/>
      <c r="D49" s="1293"/>
      <c r="E49" s="1293"/>
      <c r="F49" s="1293"/>
      <c r="G49" s="1293"/>
      <c r="H49" s="1293"/>
      <c r="I49" s="1293"/>
      <c r="J49" s="1293"/>
      <c r="K49" s="1293"/>
      <c r="L49" s="1293"/>
      <c r="M49" s="1293"/>
      <c r="N49" s="1293"/>
      <c r="O49" s="1293"/>
      <c r="P49" s="1293"/>
      <c r="Q49" s="1293"/>
      <c r="R49" s="1293"/>
      <c r="S49" s="1293"/>
      <c r="T49" s="1293"/>
      <c r="U49" s="1293"/>
      <c r="V49" s="1293"/>
      <c r="W49" s="1293"/>
      <c r="X49" s="1293"/>
      <c r="Y49" s="1293"/>
      <c r="Z49" s="1293"/>
      <c r="AA49" s="1293"/>
      <c r="AB49" s="1293"/>
      <c r="AC49" s="1293"/>
      <c r="AD49" s="1293"/>
      <c r="AE49" s="1293"/>
      <c r="AF49" s="1293"/>
      <c r="AG49" s="1293"/>
      <c r="AH49" s="1293"/>
      <c r="AI49" s="1293"/>
      <c r="AJ49" s="1293"/>
      <c r="AK49" s="1293"/>
      <c r="AL49" s="1293"/>
      <c r="AM49" s="1293"/>
      <c r="AN49" s="1293"/>
    </row>
    <row r="50" spans="2:40" ht="12.75" customHeight="1">
      <c r="B50" s="1294" t="s">
        <v>290</v>
      </c>
      <c r="C50" s="1295"/>
      <c r="D50" s="1295"/>
      <c r="E50" s="1295"/>
      <c r="F50" s="1295"/>
      <c r="G50" s="1295"/>
      <c r="H50" s="1295"/>
      <c r="I50" s="1295"/>
      <c r="J50" s="1295"/>
      <c r="K50" s="1295"/>
      <c r="L50" s="1295"/>
      <c r="M50" s="1295"/>
      <c r="N50" s="1295"/>
      <c r="O50" s="1295"/>
      <c r="P50" s="1295"/>
      <c r="Q50" s="1295"/>
      <c r="R50" s="1295"/>
      <c r="S50" s="1295"/>
      <c r="T50" s="1295"/>
      <c r="U50" s="1295"/>
      <c r="V50" s="1295"/>
      <c r="W50" s="1295"/>
      <c r="X50" s="1295"/>
      <c r="Y50" s="1295"/>
      <c r="Z50" s="1295"/>
      <c r="AA50" s="1295"/>
      <c r="AB50" s="1295"/>
      <c r="AC50" s="1295"/>
      <c r="AD50" s="1295"/>
      <c r="AE50" s="1295"/>
      <c r="AF50" s="1295"/>
      <c r="AG50" s="1295"/>
      <c r="AH50" s="1295"/>
      <c r="AI50" s="1295"/>
      <c r="AJ50" s="1295"/>
      <c r="AK50" s="1295"/>
      <c r="AL50" s="1295"/>
      <c r="AM50" s="1295"/>
      <c r="AN50" s="1296"/>
    </row>
    <row r="51" spans="2:40" ht="12.75" customHeight="1">
      <c r="B51" s="1289" t="s">
        <v>140</v>
      </c>
      <c r="C51" s="1289"/>
      <c r="D51" s="1289"/>
      <c r="E51" s="1289"/>
      <c r="F51" s="1289"/>
      <c r="G51" s="1289"/>
      <c r="H51" s="1289"/>
      <c r="I51" s="1289"/>
      <c r="J51" s="1289"/>
      <c r="K51" s="1289"/>
      <c r="L51" s="1289"/>
      <c r="M51" s="1289"/>
      <c r="N51" s="1289"/>
      <c r="O51" s="1289"/>
      <c r="P51" s="1289"/>
      <c r="Q51" s="1289"/>
      <c r="R51" s="1289"/>
      <c r="S51" s="1289"/>
      <c r="T51" s="1289"/>
      <c r="U51" s="1289"/>
      <c r="V51" s="1289"/>
      <c r="W51" s="1289"/>
      <c r="X51" s="1289"/>
      <c r="Y51" s="1289"/>
      <c r="Z51" s="1289"/>
      <c r="AA51" s="1289"/>
      <c r="AB51" s="1289"/>
      <c r="AC51" s="1289"/>
      <c r="AD51" s="1289"/>
      <c r="AE51" s="1289"/>
      <c r="AF51" s="1289"/>
      <c r="AG51" s="1289"/>
      <c r="AH51" s="1289"/>
      <c r="AI51" s="1289"/>
      <c r="AJ51" s="1289"/>
      <c r="AK51" s="1289"/>
      <c r="AL51" s="1289"/>
      <c r="AM51" s="1289"/>
      <c r="AN51" s="1290"/>
    </row>
    <row r="52" spans="2:40" ht="12.75" customHeight="1">
      <c r="B52" s="3" t="s">
        <v>120</v>
      </c>
      <c r="P52"/>
      <c r="Q52"/>
      <c r="R52" s="3"/>
      <c r="S52" s="3"/>
      <c r="T52" s="3"/>
      <c r="U52" s="3"/>
      <c r="V52" s="3"/>
      <c r="W52" s="3"/>
      <c r="X52" s="3"/>
      <c r="Y52" s="3"/>
      <c r="AC52" s="3"/>
    </row>
    <row r="53" spans="2:40">
      <c r="B53" s="3" t="s">
        <v>295</v>
      </c>
      <c r="P53" s="3"/>
      <c r="Q53" s="3"/>
      <c r="R53" s="3"/>
      <c r="S53" s="2"/>
    </row>
    <row r="54" spans="2:40">
      <c r="B54" s="22" t="s">
        <v>354</v>
      </c>
      <c r="C54" s="22"/>
      <c r="D54" s="22"/>
      <c r="E54" s="22"/>
      <c r="F54" s="22"/>
      <c r="G54" s="22"/>
      <c r="H54" s="22"/>
      <c r="I54" s="22"/>
      <c r="J54" s="22"/>
      <c r="P54" s="3"/>
      <c r="Q54" s="3"/>
      <c r="R54" s="3"/>
      <c r="S54" s="3"/>
    </row>
    <row r="55" spans="2:40">
      <c r="P55" s="3"/>
      <c r="Q55" s="3"/>
      <c r="R55" s="3"/>
      <c r="S55" s="3"/>
    </row>
  </sheetData>
  <mergeCells count="5">
    <mergeCell ref="B51:AN51"/>
    <mergeCell ref="B2:AN2"/>
    <mergeCell ref="B3:AN3"/>
    <mergeCell ref="B49:AN49"/>
    <mergeCell ref="B50:AN50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scale="6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71">
    <tabColor rgb="FF92D050"/>
    <pageSetUpPr fitToPage="1"/>
  </sheetPr>
  <dimension ref="A1:AM53"/>
  <sheetViews>
    <sheetView topLeftCell="A19" zoomScaleNormal="100" workbookViewId="0">
      <selection activeCell="B51" sqref="B51:I52"/>
    </sheetView>
  </sheetViews>
  <sheetFormatPr defaultRowHeight="12.75"/>
  <cols>
    <col min="1" max="1" width="3.7109375" style="3" customWidth="1"/>
    <col min="2" max="2" width="4.42578125" style="3" customWidth="1"/>
    <col min="3" max="12" width="6.7109375" style="2" customWidth="1"/>
    <col min="13" max="13" width="6.5703125" style="2" customWidth="1"/>
    <col min="14" max="20" width="6.7109375" style="2" customWidth="1"/>
    <col min="21" max="25" width="7.28515625" style="2" customWidth="1"/>
    <col min="26" max="33" width="7" style="3" customWidth="1"/>
    <col min="34" max="34" width="7" style="20" customWidth="1"/>
    <col min="35" max="35" width="4.7109375" style="3" customWidth="1"/>
    <col min="36" max="36" width="8.28515625" style="372" customWidth="1"/>
    <col min="37" max="16384" width="9.140625" style="3"/>
  </cols>
  <sheetData>
    <row r="1" spans="1:39" ht="14.25" customHeight="1">
      <c r="B1" s="1286"/>
      <c r="C1" s="1286"/>
      <c r="D1" s="6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T1" s="33"/>
      <c r="AI1" s="33" t="s">
        <v>104</v>
      </c>
    </row>
    <row r="2" spans="1:39" s="48" customFormat="1" ht="30" customHeight="1">
      <c r="B2" s="1287" t="s">
        <v>4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  <c r="AD2" s="1287"/>
      <c r="AE2" s="1287"/>
      <c r="AF2" s="1287"/>
      <c r="AG2" s="1287"/>
      <c r="AH2" s="1287"/>
      <c r="AI2" s="1287"/>
      <c r="AJ2" s="372"/>
    </row>
    <row r="3" spans="1:39" ht="15" customHeight="1">
      <c r="B3" s="1297" t="s">
        <v>87</v>
      </c>
      <c r="C3" s="1297"/>
      <c r="D3" s="1297"/>
      <c r="E3" s="1297"/>
      <c r="F3" s="1297"/>
      <c r="G3" s="1297"/>
      <c r="H3" s="1297"/>
      <c r="I3" s="1297"/>
      <c r="J3" s="1297"/>
      <c r="K3" s="1297"/>
      <c r="L3" s="1297"/>
      <c r="M3" s="1297"/>
      <c r="N3" s="1297"/>
      <c r="O3" s="1297"/>
      <c r="P3" s="1297"/>
      <c r="Q3" s="1297"/>
      <c r="R3" s="1297"/>
      <c r="S3" s="1297"/>
      <c r="T3" s="1297"/>
      <c r="U3" s="1297"/>
      <c r="V3" s="1297"/>
      <c r="W3" s="1297"/>
      <c r="X3" s="1297"/>
      <c r="Y3" s="1297"/>
      <c r="Z3" s="1297"/>
      <c r="AA3" s="1297"/>
      <c r="AB3" s="1297"/>
      <c r="AC3" s="1297"/>
      <c r="AD3" s="1297"/>
      <c r="AE3" s="1297"/>
      <c r="AF3" s="1297"/>
      <c r="AG3" s="1297"/>
      <c r="AH3" s="1297"/>
      <c r="AI3" s="1297"/>
    </row>
    <row r="4" spans="1:39" ht="12.75" customHeight="1">
      <c r="B4" s="4"/>
      <c r="C4" s="4"/>
      <c r="E4" s="123"/>
      <c r="F4" s="123"/>
      <c r="G4" s="123"/>
      <c r="H4" s="123"/>
      <c r="I4" s="123"/>
      <c r="J4" s="21"/>
      <c r="K4" s="21"/>
      <c r="L4" s="21"/>
      <c r="M4" s="21"/>
      <c r="N4" s="21"/>
      <c r="O4" s="21"/>
      <c r="W4" s="31"/>
      <c r="Y4" s="49"/>
      <c r="AF4" s="31" t="s">
        <v>1</v>
      </c>
      <c r="AG4" s="49"/>
      <c r="AI4" s="34"/>
    </row>
    <row r="5" spans="1:39" ht="20.100000000000001" customHeight="1">
      <c r="B5" s="4"/>
      <c r="C5" s="74">
        <v>1970</v>
      </c>
      <c r="D5" s="85">
        <v>1980</v>
      </c>
      <c r="E5" s="74">
        <v>1990</v>
      </c>
      <c r="F5" s="75">
        <v>1991</v>
      </c>
      <c r="G5" s="75">
        <v>1992</v>
      </c>
      <c r="H5" s="75">
        <v>1993</v>
      </c>
      <c r="I5" s="75">
        <v>1994</v>
      </c>
      <c r="J5" s="75">
        <v>1995</v>
      </c>
      <c r="K5" s="75">
        <v>1996</v>
      </c>
      <c r="L5" s="75">
        <v>1997</v>
      </c>
      <c r="M5" s="75">
        <v>1998</v>
      </c>
      <c r="N5" s="75">
        <v>1999</v>
      </c>
      <c r="O5" s="75">
        <v>2000</v>
      </c>
      <c r="P5" s="75">
        <v>2001</v>
      </c>
      <c r="Q5" s="75">
        <v>2002</v>
      </c>
      <c r="R5" s="75">
        <v>2003</v>
      </c>
      <c r="S5" s="75">
        <v>2004</v>
      </c>
      <c r="T5" s="75">
        <v>2005</v>
      </c>
      <c r="U5" s="75">
        <v>2006</v>
      </c>
      <c r="V5" s="75">
        <v>2007</v>
      </c>
      <c r="W5" s="75">
        <v>2008</v>
      </c>
      <c r="X5" s="75">
        <v>2009</v>
      </c>
      <c r="Y5" s="75">
        <v>2010</v>
      </c>
      <c r="Z5" s="75">
        <v>2011</v>
      </c>
      <c r="AA5" s="75">
        <v>2012</v>
      </c>
      <c r="AB5" s="75">
        <v>2013</v>
      </c>
      <c r="AC5" s="75">
        <v>2014</v>
      </c>
      <c r="AD5" s="75">
        <v>2015</v>
      </c>
      <c r="AE5" s="75">
        <v>2016</v>
      </c>
      <c r="AF5" s="75">
        <v>2017</v>
      </c>
      <c r="AG5" s="343">
        <v>2018</v>
      </c>
      <c r="AH5" s="116" t="s">
        <v>241</v>
      </c>
      <c r="AI5" s="6"/>
    </row>
    <row r="6" spans="1:39" ht="9.9499999999999993" customHeight="1">
      <c r="B6" s="4"/>
      <c r="C6" s="106"/>
      <c r="D6" s="86"/>
      <c r="E6" s="106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196"/>
      <c r="Z6" s="197"/>
      <c r="AA6" s="197"/>
      <c r="AB6" s="196"/>
      <c r="AC6" s="196"/>
      <c r="AD6" s="196"/>
      <c r="AE6" s="196"/>
      <c r="AF6" s="196"/>
      <c r="AG6" s="117"/>
      <c r="AH6" s="117" t="s">
        <v>80</v>
      </c>
      <c r="AI6" s="6"/>
    </row>
    <row r="7" spans="1:39" ht="9.9499999999999993" customHeight="1">
      <c r="B7" s="348" t="s">
        <v>238</v>
      </c>
      <c r="C7" s="349"/>
      <c r="D7" s="347"/>
      <c r="E7" s="350">
        <f>SUM(E9:E35)</f>
        <v>665.30600000000015</v>
      </c>
      <c r="F7" s="350">
        <f t="shared" ref="F7:AG7" si="0">SUM(F9:F35)</f>
        <v>661.3475333333331</v>
      </c>
      <c r="G7" s="350">
        <f t="shared" si="0"/>
        <v>665.92006666666657</v>
      </c>
      <c r="H7" s="350">
        <f t="shared" si="0"/>
        <v>671.50059999999985</v>
      </c>
      <c r="I7" s="350">
        <f t="shared" si="0"/>
        <v>675.68080000000009</v>
      </c>
      <c r="J7" s="350">
        <f t="shared" si="0"/>
        <v>678.12</v>
      </c>
      <c r="K7" s="350">
        <f t="shared" si="0"/>
        <v>682.42499999999995</v>
      </c>
      <c r="L7" s="350">
        <f t="shared" si="0"/>
        <v>678.80100000000004</v>
      </c>
      <c r="M7" s="350">
        <f t="shared" si="0"/>
        <v>679.91600000000017</v>
      </c>
      <c r="N7" s="350">
        <f t="shared" si="0"/>
        <v>684.13799999999992</v>
      </c>
      <c r="O7" s="350">
        <f t="shared" si="0"/>
        <v>692.90200000000004</v>
      </c>
      <c r="P7" s="350">
        <f t="shared" si="0"/>
        <v>697.99399999999991</v>
      </c>
      <c r="Q7" s="350">
        <f t="shared" si="0"/>
        <v>703.81999999999994</v>
      </c>
      <c r="R7" s="350">
        <f t="shared" si="0"/>
        <v>706.38499999999999</v>
      </c>
      <c r="S7" s="350">
        <f t="shared" si="0"/>
        <v>697.67200000000025</v>
      </c>
      <c r="T7" s="350">
        <f t="shared" si="0"/>
        <v>689.56900000000007</v>
      </c>
      <c r="U7" s="350">
        <f t="shared" si="0"/>
        <v>686.08800000000008</v>
      </c>
      <c r="V7" s="350">
        <f t="shared" si="0"/>
        <v>690.69800000000021</v>
      </c>
      <c r="W7" s="350">
        <f t="shared" si="0"/>
        <v>707.80099999999993</v>
      </c>
      <c r="X7" s="350">
        <f t="shared" si="0"/>
        <v>708.91200000000015</v>
      </c>
      <c r="Y7" s="350">
        <f t="shared" si="0"/>
        <v>707.57299999999987</v>
      </c>
      <c r="Z7" s="350">
        <f t="shared" si="0"/>
        <v>709.9140000000001</v>
      </c>
      <c r="AA7" s="350">
        <f t="shared" si="0"/>
        <v>705.63599999999985</v>
      </c>
      <c r="AB7" s="350">
        <f t="shared" si="0"/>
        <v>709.43200000000002</v>
      </c>
      <c r="AC7" s="350">
        <f t="shared" si="0"/>
        <v>713.56000000000006</v>
      </c>
      <c r="AD7" s="350">
        <f t="shared" si="0"/>
        <v>726.8610000000001</v>
      </c>
      <c r="AE7" s="350">
        <f t="shared" si="0"/>
        <v>735.68600000000004</v>
      </c>
      <c r="AF7" s="388">
        <f t="shared" si="0"/>
        <v>745.79899999999998</v>
      </c>
      <c r="AG7" s="388">
        <f t="shared" si="0"/>
        <v>756.01500000000021</v>
      </c>
      <c r="AH7" s="364">
        <f>AG7/AF7*100-100</f>
        <v>1.3698060737545035</v>
      </c>
      <c r="AI7" s="348" t="s">
        <v>238</v>
      </c>
    </row>
    <row r="8" spans="1:39" ht="12.75" customHeight="1">
      <c r="B8" s="348" t="s">
        <v>146</v>
      </c>
      <c r="C8" s="349"/>
      <c r="D8" s="347"/>
      <c r="E8" s="350">
        <f t="shared" ref="E8:AE8" si="1">SUM(E9:E36)</f>
        <v>740.30600000000015</v>
      </c>
      <c r="F8" s="350">
        <f t="shared" si="1"/>
        <v>736.8475333333331</v>
      </c>
      <c r="G8" s="350">
        <f t="shared" si="1"/>
        <v>741.92006666666657</v>
      </c>
      <c r="H8" s="350">
        <f t="shared" si="1"/>
        <v>748.00059999999985</v>
      </c>
      <c r="I8" s="350">
        <f t="shared" si="1"/>
        <v>752.18080000000009</v>
      </c>
      <c r="J8" s="350">
        <f t="shared" si="1"/>
        <v>754.02</v>
      </c>
      <c r="K8" s="350">
        <f t="shared" si="1"/>
        <v>761.125</v>
      </c>
      <c r="L8" s="350">
        <f t="shared" si="1"/>
        <v>759.50099999999998</v>
      </c>
      <c r="M8" s="350">
        <f t="shared" si="1"/>
        <v>762.21600000000012</v>
      </c>
      <c r="N8" s="350">
        <f t="shared" si="1"/>
        <v>769.93799999999987</v>
      </c>
      <c r="O8" s="350">
        <f t="shared" si="1"/>
        <v>781.50200000000007</v>
      </c>
      <c r="P8" s="350">
        <f t="shared" si="1"/>
        <v>788.79399999999987</v>
      </c>
      <c r="Q8" s="350">
        <f t="shared" si="1"/>
        <v>798.42</v>
      </c>
      <c r="R8" s="350">
        <f t="shared" si="1"/>
        <v>804.88499999999999</v>
      </c>
      <c r="S8" s="350">
        <f t="shared" si="1"/>
        <v>799.8720000000003</v>
      </c>
      <c r="T8" s="350">
        <f t="shared" si="1"/>
        <v>795.1690000000001</v>
      </c>
      <c r="U8" s="350">
        <f t="shared" si="1"/>
        <v>792.6880000000001</v>
      </c>
      <c r="V8" s="350">
        <f t="shared" si="1"/>
        <v>799.89800000000025</v>
      </c>
      <c r="W8" s="350">
        <f t="shared" si="1"/>
        <v>818.70099999999991</v>
      </c>
      <c r="X8" s="350">
        <f t="shared" si="1"/>
        <v>820.39900000000011</v>
      </c>
      <c r="Y8" s="350">
        <f t="shared" si="1"/>
        <v>819.10799999999983</v>
      </c>
      <c r="Z8" s="350">
        <f t="shared" si="1"/>
        <v>820.1350000000001</v>
      </c>
      <c r="AA8" s="350">
        <f t="shared" si="1"/>
        <v>816.72999999999979</v>
      </c>
      <c r="AB8" s="350">
        <f t="shared" si="1"/>
        <v>821.04700000000003</v>
      </c>
      <c r="AC8" s="350">
        <f t="shared" si="1"/>
        <v>825.73100000000011</v>
      </c>
      <c r="AD8" s="350">
        <f t="shared" si="1"/>
        <v>840.20100000000014</v>
      </c>
      <c r="AE8" s="350">
        <f t="shared" si="1"/>
        <v>849.59500000000003</v>
      </c>
      <c r="AF8" s="388">
        <f>SUM(AF9:AF36)</f>
        <v>858.99900000000002</v>
      </c>
      <c r="AG8" s="388">
        <f>SUM(AG9:AG36)</f>
        <v>868.11500000000024</v>
      </c>
      <c r="AH8" s="364">
        <f t="shared" ref="AH8:AH45" si="2">AG8/AF8*100-100</f>
        <v>1.061235228446165</v>
      </c>
      <c r="AI8" s="348" t="s">
        <v>146</v>
      </c>
      <c r="AJ8" s="372">
        <v>2020</v>
      </c>
      <c r="AK8" s="6" t="s">
        <v>173</v>
      </c>
      <c r="AL8" s="6" t="s">
        <v>174</v>
      </c>
      <c r="AM8" s="6" t="s">
        <v>175</v>
      </c>
    </row>
    <row r="9" spans="1:39" ht="12.75" customHeight="1">
      <c r="B9" s="10" t="s">
        <v>45</v>
      </c>
      <c r="C9" s="331">
        <v>16.169</v>
      </c>
      <c r="D9" s="331">
        <v>17.175999999999998</v>
      </c>
      <c r="E9" s="104">
        <v>15.644</v>
      </c>
      <c r="F9" s="104">
        <v>15.378</v>
      </c>
      <c r="G9" s="104">
        <v>15.004</v>
      </c>
      <c r="H9" s="104">
        <v>14.981999999999999</v>
      </c>
      <c r="I9" s="104">
        <v>14.85</v>
      </c>
      <c r="J9" s="104">
        <v>14.646000000000001</v>
      </c>
      <c r="K9" s="104">
        <v>14.683999999999999</v>
      </c>
      <c r="L9" s="104">
        <v>14.667</v>
      </c>
      <c r="M9" s="104">
        <v>14.587999999999999</v>
      </c>
      <c r="N9" s="104">
        <v>14.673</v>
      </c>
      <c r="O9" s="104">
        <v>14.722</v>
      </c>
      <c r="P9" s="104">
        <v>14.676</v>
      </c>
      <c r="Q9" s="104">
        <v>14.769</v>
      </c>
      <c r="R9" s="104">
        <v>15.06</v>
      </c>
      <c r="S9" s="104">
        <v>15.327999999999999</v>
      </c>
      <c r="T9" s="104">
        <v>15.391</v>
      </c>
      <c r="U9" s="104">
        <v>15.329000000000001</v>
      </c>
      <c r="V9" s="104">
        <v>15.465999999999999</v>
      </c>
      <c r="W9" s="104">
        <v>15.997</v>
      </c>
      <c r="X9" s="104">
        <v>16.059000000000001</v>
      </c>
      <c r="Y9" s="104">
        <v>16.170000000000002</v>
      </c>
      <c r="Z9" s="104">
        <v>16.013000000000002</v>
      </c>
      <c r="AA9" s="104">
        <v>16.053999999999998</v>
      </c>
      <c r="AB9" s="104">
        <v>16.260999999999999</v>
      </c>
      <c r="AC9" s="104">
        <v>16.77</v>
      </c>
      <c r="AD9" s="104">
        <v>17.067</v>
      </c>
      <c r="AE9" s="104">
        <v>15.97</v>
      </c>
      <c r="AF9" s="104">
        <v>15.987</v>
      </c>
      <c r="AG9" s="387">
        <v>16.167000000000002</v>
      </c>
      <c r="AH9" s="183">
        <f t="shared" si="2"/>
        <v>1.1259148057797006</v>
      </c>
      <c r="AI9" s="183" t="s">
        <v>45</v>
      </c>
      <c r="AJ9" s="372" t="s">
        <v>236</v>
      </c>
      <c r="AK9" s="3" t="s">
        <v>209</v>
      </c>
      <c r="AL9" s="3" t="s">
        <v>176</v>
      </c>
      <c r="AM9" s="3" t="s">
        <v>177</v>
      </c>
    </row>
    <row r="10" spans="1:39" ht="12.75" customHeight="1">
      <c r="B10" s="119" t="s">
        <v>28</v>
      </c>
      <c r="C10" s="330"/>
      <c r="D10" s="330">
        <v>21</v>
      </c>
      <c r="E10" s="127">
        <f>33.8+0.8</f>
        <v>34.599999999999994</v>
      </c>
      <c r="F10" s="127">
        <f>35.6+0.8</f>
        <v>36.4</v>
      </c>
      <c r="G10" s="127">
        <f>37.1+0.8</f>
        <v>37.9</v>
      </c>
      <c r="H10" s="127">
        <f>39.3+0.8</f>
        <v>40.099999999999994</v>
      </c>
      <c r="I10" s="127">
        <v>41.432000000000002</v>
      </c>
      <c r="J10" s="127">
        <v>41.838999999999999</v>
      </c>
      <c r="K10" s="127">
        <v>41.642000000000003</v>
      </c>
      <c r="L10" s="127">
        <v>41.201999999999998</v>
      </c>
      <c r="M10" s="127">
        <v>42.264000000000003</v>
      </c>
      <c r="N10" s="127">
        <v>42.720999999999997</v>
      </c>
      <c r="O10" s="127">
        <v>43.005000000000003</v>
      </c>
      <c r="P10" s="127">
        <v>43.566000000000003</v>
      </c>
      <c r="Q10" s="127">
        <v>43.86</v>
      </c>
      <c r="R10" s="184">
        <v>44.3</v>
      </c>
      <c r="S10" s="127">
        <v>36.6</v>
      </c>
      <c r="T10" s="184">
        <v>37.799999999999997</v>
      </c>
      <c r="U10" s="127">
        <v>22.8</v>
      </c>
      <c r="V10" s="127">
        <v>23.9</v>
      </c>
      <c r="W10" s="127">
        <v>25.2</v>
      </c>
      <c r="X10" s="127">
        <v>25.1</v>
      </c>
      <c r="Y10" s="127">
        <v>24.5</v>
      </c>
      <c r="Z10" s="127">
        <v>23.651</v>
      </c>
      <c r="AA10" s="127">
        <v>23.289000000000001</v>
      </c>
      <c r="AB10" s="127">
        <v>23.3</v>
      </c>
      <c r="AC10" s="127">
        <v>23.6</v>
      </c>
      <c r="AD10" s="127">
        <v>24.1</v>
      </c>
      <c r="AE10" s="127">
        <v>23.4</v>
      </c>
      <c r="AF10" s="127">
        <v>21</v>
      </c>
      <c r="AG10" s="129">
        <v>20.818000000000001</v>
      </c>
      <c r="AH10" s="182">
        <f t="shared" si="2"/>
        <v>-0.86666666666666003</v>
      </c>
      <c r="AI10" s="182" t="s">
        <v>28</v>
      </c>
      <c r="AJ10" s="372" t="s">
        <v>235</v>
      </c>
      <c r="AK10" s="49" t="s">
        <v>178</v>
      </c>
      <c r="AL10" s="6" t="s">
        <v>179</v>
      </c>
      <c r="AM10" s="6" t="s">
        <v>179</v>
      </c>
    </row>
    <row r="11" spans="1:39" ht="12.75" customHeight="1">
      <c r="A11" s="8"/>
      <c r="B11" s="10" t="s">
        <v>30</v>
      </c>
      <c r="C11" s="331"/>
      <c r="D11" s="331">
        <v>20.3</v>
      </c>
      <c r="E11" s="104">
        <v>20.474</v>
      </c>
      <c r="F11" s="204">
        <f>$E$11+($H$11-$E$11)/3</f>
        <v>20.050333333333334</v>
      </c>
      <c r="G11" s="204">
        <f>$E$11+($H$11-$E$11)/3*2</f>
        <v>19.626666666666665</v>
      </c>
      <c r="H11" s="104">
        <v>19.202999999999999</v>
      </c>
      <c r="I11" s="104">
        <f>19.071+0.685</f>
        <v>19.756</v>
      </c>
      <c r="J11" s="104">
        <f>19.756+0.718</f>
        <v>20.474</v>
      </c>
      <c r="K11" s="104">
        <f>20.489+0.711</f>
        <v>21.2</v>
      </c>
      <c r="L11" s="104">
        <f>20.755+0.721</f>
        <v>21.475999999999999</v>
      </c>
      <c r="M11" s="104">
        <f>19.96+0.708</f>
        <v>20.667999999999999</v>
      </c>
      <c r="N11" s="104">
        <f>18.981+0.721</f>
        <v>19.702000000000002</v>
      </c>
      <c r="O11" s="104">
        <f>18.259+0.727</f>
        <v>18.986000000000001</v>
      </c>
      <c r="P11" s="104">
        <f>18.384+0.739</f>
        <v>19.123000000000001</v>
      </c>
      <c r="Q11" s="104">
        <f>21.34+0.726</f>
        <v>22.065999999999999</v>
      </c>
      <c r="R11" s="104">
        <f>20.627+0.723</f>
        <v>21.349999999999998</v>
      </c>
      <c r="S11" s="104">
        <f>19.948+0.726</f>
        <v>20.673999999999999</v>
      </c>
      <c r="T11" s="104">
        <f>20.134+0.719</f>
        <v>20.853000000000002</v>
      </c>
      <c r="U11" s="104">
        <f>20.331+0.744</f>
        <v>21.074999999999999</v>
      </c>
      <c r="V11" s="104">
        <f>20.416+0.74</f>
        <v>21.155999999999999</v>
      </c>
      <c r="W11" s="104">
        <f>20.375+0.738</f>
        <v>21.113</v>
      </c>
      <c r="X11" s="104">
        <f>19.943+0.733</f>
        <v>20.676000000000002</v>
      </c>
      <c r="Y11" s="104">
        <f>19.653+0.735</f>
        <v>20.387999999999998</v>
      </c>
      <c r="Z11" s="104">
        <v>20.402000000000001</v>
      </c>
      <c r="AA11" s="104">
        <f>19.882+0.728</f>
        <v>20.610000000000003</v>
      </c>
      <c r="AB11" s="104">
        <f>19.619+0.699</f>
        <v>20.318000000000001</v>
      </c>
      <c r="AC11" s="104">
        <f>19.808+0.703</f>
        <v>20.510999999999999</v>
      </c>
      <c r="AD11" s="104">
        <f>19.95+0.717</f>
        <v>20.666999999999998</v>
      </c>
      <c r="AE11" s="104">
        <f>20.097+0.779</f>
        <v>20.876000000000001</v>
      </c>
      <c r="AF11" s="104">
        <v>21.4</v>
      </c>
      <c r="AG11" s="130">
        <f>21.271+0.756</f>
        <v>22.027000000000001</v>
      </c>
      <c r="AH11" s="183">
        <f t="shared" si="2"/>
        <v>2.9299065420560879</v>
      </c>
      <c r="AI11" s="183" t="s">
        <v>30</v>
      </c>
      <c r="AJ11" s="372" t="s">
        <v>233</v>
      </c>
      <c r="AK11" s="3" t="s">
        <v>210</v>
      </c>
      <c r="AL11" s="3" t="s">
        <v>211</v>
      </c>
      <c r="AM11" s="3" t="s">
        <v>212</v>
      </c>
    </row>
    <row r="12" spans="1:39" ht="12.75" customHeight="1">
      <c r="A12" s="8"/>
      <c r="B12" s="119" t="s">
        <v>41</v>
      </c>
      <c r="C12" s="330">
        <v>5.0389999999999997</v>
      </c>
      <c r="D12" s="330">
        <v>7.351</v>
      </c>
      <c r="E12" s="127">
        <v>8.109</v>
      </c>
      <c r="F12" s="127">
        <v>9.9890000000000008</v>
      </c>
      <c r="G12" s="127">
        <v>11.259</v>
      </c>
      <c r="H12" s="127">
        <v>12.976000000000001</v>
      </c>
      <c r="I12" s="127">
        <v>13.614000000000001</v>
      </c>
      <c r="J12" s="127">
        <v>13.669</v>
      </c>
      <c r="K12" s="127">
        <v>13.786</v>
      </c>
      <c r="L12" s="127">
        <v>13.779</v>
      </c>
      <c r="M12" s="127">
        <v>13.911</v>
      </c>
      <c r="N12" s="127">
        <v>13.909000000000001</v>
      </c>
      <c r="O12" s="127">
        <v>13.968</v>
      </c>
      <c r="P12" s="127">
        <v>13.954000000000001</v>
      </c>
      <c r="Q12" s="127">
        <v>13.986000000000001</v>
      </c>
      <c r="R12" s="127">
        <v>14.132</v>
      </c>
      <c r="S12" s="127">
        <v>14.191000000000001</v>
      </c>
      <c r="T12" s="127">
        <v>14.401999999999999</v>
      </c>
      <c r="U12" s="127">
        <v>14.552</v>
      </c>
      <c r="V12" s="127">
        <v>14.481999999999999</v>
      </c>
      <c r="W12" s="127">
        <v>14.452</v>
      </c>
      <c r="X12" s="127">
        <f>14.51</f>
        <v>14.51</v>
      </c>
      <c r="Y12" s="127">
        <f>14.496</f>
        <v>14.496</v>
      </c>
      <c r="Z12" s="127">
        <v>14.013999999999999</v>
      </c>
      <c r="AA12" s="127">
        <v>13.484999999999999</v>
      </c>
      <c r="AB12" s="127">
        <v>13.27</v>
      </c>
      <c r="AC12" s="127">
        <v>13.407999999999999</v>
      </c>
      <c r="AD12" s="127">
        <v>13.382999999999999</v>
      </c>
      <c r="AE12" s="127">
        <v>13.417</v>
      </c>
      <c r="AF12" s="127">
        <v>13.5</v>
      </c>
      <c r="AG12" s="129">
        <v>13.157999999999999</v>
      </c>
      <c r="AH12" s="182">
        <f t="shared" si="2"/>
        <v>-2.5333333333333314</v>
      </c>
      <c r="AI12" s="182" t="s">
        <v>41</v>
      </c>
      <c r="AJ12" s="372" t="s">
        <v>234</v>
      </c>
      <c r="AK12" s="3" t="s">
        <v>180</v>
      </c>
      <c r="AL12" s="6" t="s">
        <v>180</v>
      </c>
      <c r="AM12" s="6" t="s">
        <v>180</v>
      </c>
    </row>
    <row r="13" spans="1:39" ht="12.75" customHeight="1">
      <c r="A13" s="8"/>
      <c r="B13" s="10" t="s">
        <v>46</v>
      </c>
      <c r="C13" s="331">
        <v>63.939</v>
      </c>
      <c r="D13" s="331">
        <v>95.757999999999996</v>
      </c>
      <c r="E13" s="104">
        <v>100.37</v>
      </c>
      <c r="F13" s="104">
        <v>89.59</v>
      </c>
      <c r="G13" s="104">
        <v>88.433000000000007</v>
      </c>
      <c r="H13" s="104">
        <v>88.745999999999995</v>
      </c>
      <c r="I13" s="104">
        <v>87.421000000000006</v>
      </c>
      <c r="J13" s="104">
        <v>85.433999999999997</v>
      </c>
      <c r="K13" s="185">
        <v>84.653999999999996</v>
      </c>
      <c r="L13" s="104">
        <v>75.453000000000003</v>
      </c>
      <c r="M13" s="104">
        <v>75.593999999999994</v>
      </c>
      <c r="N13" s="104">
        <v>76.63</v>
      </c>
      <c r="O13" s="104">
        <v>77.183000000000007</v>
      </c>
      <c r="P13" s="104">
        <v>77.088999999999999</v>
      </c>
      <c r="Q13" s="104">
        <v>77.06</v>
      </c>
      <c r="R13" s="104">
        <v>76.664000000000001</v>
      </c>
      <c r="S13" s="104">
        <v>76.028000000000006</v>
      </c>
      <c r="T13" s="104">
        <v>75.203000000000003</v>
      </c>
      <c r="U13" s="104">
        <v>75.084999999999994</v>
      </c>
      <c r="V13" s="104">
        <v>75.067999999999998</v>
      </c>
      <c r="W13" s="104">
        <v>75.27</v>
      </c>
      <c r="X13" s="104">
        <v>76.433000000000007</v>
      </c>
      <c r="Y13" s="104">
        <f>76.463</f>
        <v>76.462999999999994</v>
      </c>
      <c r="Z13" s="104">
        <v>75.988</v>
      </c>
      <c r="AA13" s="104">
        <v>76.022999999999996</v>
      </c>
      <c r="AB13" s="104">
        <v>76.793999999999997</v>
      </c>
      <c r="AC13" s="104">
        <v>77.501000000000005</v>
      </c>
      <c r="AD13" s="104">
        <v>78.344999999999999</v>
      </c>
      <c r="AE13" s="104">
        <f>78.949</f>
        <v>78.948999999999998</v>
      </c>
      <c r="AF13" s="104">
        <v>79.400000000000006</v>
      </c>
      <c r="AG13" s="130">
        <v>80.519000000000005</v>
      </c>
      <c r="AH13" s="183">
        <f t="shared" si="2"/>
        <v>1.4093198992443376</v>
      </c>
      <c r="AI13" s="183" t="s">
        <v>46</v>
      </c>
      <c r="AJ13" s="3" t="s">
        <v>181</v>
      </c>
      <c r="AK13" s="3" t="s">
        <v>181</v>
      </c>
      <c r="AL13" s="3" t="s">
        <v>182</v>
      </c>
      <c r="AM13" s="3" t="s">
        <v>183</v>
      </c>
    </row>
    <row r="14" spans="1:39" ht="12.75" customHeight="1">
      <c r="A14" s="8"/>
      <c r="B14" s="119" t="s">
        <v>31</v>
      </c>
      <c r="C14" s="330"/>
      <c r="D14" s="330">
        <v>6.4</v>
      </c>
      <c r="E14" s="127">
        <v>7.9</v>
      </c>
      <c r="F14" s="127">
        <v>8.6</v>
      </c>
      <c r="G14" s="127">
        <v>8.4</v>
      </c>
      <c r="H14" s="127">
        <v>8.6999999999999993</v>
      </c>
      <c r="I14" s="127">
        <v>6.3</v>
      </c>
      <c r="J14" s="127">
        <v>7</v>
      </c>
      <c r="K14" s="127">
        <v>6.7</v>
      </c>
      <c r="L14" s="127">
        <v>6.5</v>
      </c>
      <c r="M14" s="127">
        <v>6.3</v>
      </c>
      <c r="N14" s="127">
        <v>6.2</v>
      </c>
      <c r="O14" s="127">
        <v>6.1</v>
      </c>
      <c r="P14" s="127">
        <v>5.5</v>
      </c>
      <c r="Q14" s="127">
        <v>5.3</v>
      </c>
      <c r="R14" s="127">
        <v>5.4</v>
      </c>
      <c r="S14" s="127">
        <v>5.3</v>
      </c>
      <c r="T14" s="127">
        <v>5.194</v>
      </c>
      <c r="U14" s="184">
        <v>5.3780000000000001</v>
      </c>
      <c r="V14" s="127">
        <v>4.3099999999999996</v>
      </c>
      <c r="W14" s="127">
        <v>4.2919999999999998</v>
      </c>
      <c r="X14" s="127">
        <v>4.117</v>
      </c>
      <c r="Y14" s="127">
        <v>4.1669999999999998</v>
      </c>
      <c r="Z14" s="127">
        <v>4.1559999999999997</v>
      </c>
      <c r="AA14" s="127">
        <v>4.3109999999999999</v>
      </c>
      <c r="AB14" s="127">
        <v>4.5</v>
      </c>
      <c r="AC14" s="127">
        <v>4.5999999999999996</v>
      </c>
      <c r="AD14" s="127">
        <v>4.8</v>
      </c>
      <c r="AE14" s="127">
        <v>4.8</v>
      </c>
      <c r="AF14" s="127">
        <v>4.9000000000000004</v>
      </c>
      <c r="AG14" s="129">
        <v>5</v>
      </c>
      <c r="AH14" s="182">
        <f t="shared" si="2"/>
        <v>2.0408163265306172</v>
      </c>
      <c r="AI14" s="182" t="s">
        <v>31</v>
      </c>
      <c r="AJ14" s="6" t="s">
        <v>184</v>
      </c>
      <c r="AK14" s="6" t="s">
        <v>184</v>
      </c>
      <c r="AL14" s="6" t="s">
        <v>184</v>
      </c>
      <c r="AM14" s="6" t="s">
        <v>184</v>
      </c>
    </row>
    <row r="15" spans="1:39" ht="12.75" customHeight="1">
      <c r="A15" s="8"/>
      <c r="B15" s="10" t="s">
        <v>49</v>
      </c>
      <c r="C15" s="331">
        <v>2.012</v>
      </c>
      <c r="D15" s="331">
        <v>2.722</v>
      </c>
      <c r="E15" s="104">
        <v>4.0469999999999997</v>
      </c>
      <c r="F15" s="104">
        <v>4.3879999999999999</v>
      </c>
      <c r="G15" s="104">
        <v>4.5570000000000004</v>
      </c>
      <c r="H15" s="104">
        <v>4.835</v>
      </c>
      <c r="I15" s="104">
        <v>4.9850000000000003</v>
      </c>
      <c r="J15" s="104">
        <v>5.282</v>
      </c>
      <c r="K15" s="104">
        <v>5.5350000000000001</v>
      </c>
      <c r="L15" s="104">
        <v>5.8449999999999998</v>
      </c>
      <c r="M15" s="104">
        <v>6.0960000000000001</v>
      </c>
      <c r="N15" s="104">
        <v>6.5640000000000001</v>
      </c>
      <c r="O15" s="104">
        <v>6.9569999999999999</v>
      </c>
      <c r="P15" s="104">
        <v>7.0839999999999996</v>
      </c>
      <c r="Q15" s="104">
        <v>7.09</v>
      </c>
      <c r="R15" s="104">
        <v>7.3920000000000003</v>
      </c>
      <c r="S15" s="104">
        <v>7.43</v>
      </c>
      <c r="T15" s="104">
        <v>7.625</v>
      </c>
      <c r="U15" s="104">
        <v>7.9969999999999999</v>
      </c>
      <c r="V15" s="104">
        <v>8.4510000000000005</v>
      </c>
      <c r="W15" s="104">
        <v>8.9109999999999996</v>
      </c>
      <c r="X15" s="104">
        <f>8.556</f>
        <v>8.5559999999999992</v>
      </c>
      <c r="Y15" s="104">
        <f>8.245</f>
        <v>8.2449999999999992</v>
      </c>
      <c r="Z15" s="104">
        <v>8.2759999999999998</v>
      </c>
      <c r="AA15" s="104">
        <v>8.266</v>
      </c>
      <c r="AB15" s="104">
        <v>8.4879999999999995</v>
      </c>
      <c r="AC15" s="104">
        <v>8.8019999999999996</v>
      </c>
      <c r="AD15" s="104">
        <v>9.2590000000000003</v>
      </c>
      <c r="AE15" s="104">
        <v>9.8409999999999993</v>
      </c>
      <c r="AF15" s="104">
        <v>10.3</v>
      </c>
      <c r="AG15" s="130">
        <v>10.944000000000001</v>
      </c>
      <c r="AH15" s="183">
        <f t="shared" si="2"/>
        <v>6.2524271844660149</v>
      </c>
      <c r="AI15" s="183" t="s">
        <v>49</v>
      </c>
      <c r="AJ15" s="2" t="s">
        <v>185</v>
      </c>
      <c r="AK15" s="2" t="s">
        <v>185</v>
      </c>
      <c r="AL15" s="3" t="s">
        <v>213</v>
      </c>
      <c r="AM15" s="3" t="s">
        <v>213</v>
      </c>
    </row>
    <row r="16" spans="1:39" ht="12.75" customHeight="1">
      <c r="A16" s="8"/>
      <c r="B16" s="119" t="s">
        <v>42</v>
      </c>
      <c r="C16" s="330">
        <v>10.545999999999999</v>
      </c>
      <c r="D16" s="330">
        <v>18.010999999999999</v>
      </c>
      <c r="E16" s="127">
        <v>21.43</v>
      </c>
      <c r="F16" s="127">
        <v>22.08</v>
      </c>
      <c r="G16" s="127">
        <v>22.673999999999999</v>
      </c>
      <c r="H16" s="127">
        <v>23.206</v>
      </c>
      <c r="I16" s="127">
        <v>23.54</v>
      </c>
      <c r="J16" s="127">
        <v>24.6</v>
      </c>
      <c r="K16" s="127">
        <v>25.096</v>
      </c>
      <c r="L16" s="127">
        <v>25.622</v>
      </c>
      <c r="M16" s="127">
        <v>26.32</v>
      </c>
      <c r="N16" s="127">
        <v>26.768999999999998</v>
      </c>
      <c r="O16" s="127">
        <v>27.036999999999999</v>
      </c>
      <c r="P16" s="127">
        <v>27.114999999999998</v>
      </c>
      <c r="Q16" s="127">
        <v>27.247</v>
      </c>
      <c r="R16" s="127">
        <v>27.138999999999999</v>
      </c>
      <c r="S16" s="127">
        <v>26.78</v>
      </c>
      <c r="T16" s="127">
        <v>26.829000000000001</v>
      </c>
      <c r="U16" s="127">
        <v>26.937999999999999</v>
      </c>
      <c r="V16" s="127">
        <v>27.102</v>
      </c>
      <c r="W16" s="127">
        <v>27.186</v>
      </c>
      <c r="X16" s="127">
        <v>27.324000000000002</v>
      </c>
      <c r="Y16" s="127">
        <v>27.311</v>
      </c>
      <c r="Z16" s="127">
        <v>27.120999999999999</v>
      </c>
      <c r="AA16" s="127">
        <v>26.962</v>
      </c>
      <c r="AB16" s="127">
        <v>26.783000000000001</v>
      </c>
      <c r="AC16" s="127">
        <v>26.585999999999999</v>
      </c>
      <c r="AD16" s="127">
        <v>26.541</v>
      </c>
      <c r="AE16" s="127">
        <v>26.481000000000002</v>
      </c>
      <c r="AF16" s="127">
        <v>26.388999999999999</v>
      </c>
      <c r="AG16" s="129">
        <v>26.478999999999999</v>
      </c>
      <c r="AH16" s="182">
        <f t="shared" si="2"/>
        <v>0.34105119557391106</v>
      </c>
      <c r="AI16" s="182" t="s">
        <v>42</v>
      </c>
      <c r="AJ16" s="3" t="s">
        <v>186</v>
      </c>
      <c r="AK16" s="3" t="s">
        <v>186</v>
      </c>
      <c r="AL16" s="3" t="s">
        <v>186</v>
      </c>
      <c r="AM16" s="3" t="s">
        <v>186</v>
      </c>
    </row>
    <row r="17" spans="1:39" ht="12.75" customHeight="1">
      <c r="A17" s="8"/>
      <c r="B17" s="10" t="s">
        <v>47</v>
      </c>
      <c r="C17" s="331">
        <v>30.728000000000002</v>
      </c>
      <c r="D17" s="331">
        <v>42.631</v>
      </c>
      <c r="E17" s="104">
        <v>45.767000000000003</v>
      </c>
      <c r="F17" s="104">
        <v>46.603999999999999</v>
      </c>
      <c r="G17" s="104">
        <v>47.18</v>
      </c>
      <c r="H17" s="104">
        <v>47.027999999999999</v>
      </c>
      <c r="I17" s="104">
        <v>47.088000000000001</v>
      </c>
      <c r="J17" s="104">
        <v>47.375</v>
      </c>
      <c r="K17" s="104">
        <v>48.405000000000001</v>
      </c>
      <c r="L17" s="104">
        <v>50.034999999999997</v>
      </c>
      <c r="M17" s="104">
        <v>51.805</v>
      </c>
      <c r="N17" s="104">
        <v>53.54</v>
      </c>
      <c r="O17" s="104">
        <v>54.731999999999999</v>
      </c>
      <c r="P17" s="104">
        <v>56.146000000000001</v>
      </c>
      <c r="Q17" s="104">
        <v>56.953000000000003</v>
      </c>
      <c r="R17" s="104">
        <v>55.993000000000002</v>
      </c>
      <c r="S17" s="104">
        <v>56.957000000000001</v>
      </c>
      <c r="T17" s="104">
        <v>58.247999999999998</v>
      </c>
      <c r="U17" s="104">
        <v>59.104999999999997</v>
      </c>
      <c r="V17" s="104">
        <v>61.039000000000001</v>
      </c>
      <c r="W17" s="104">
        <v>62.195999999999998</v>
      </c>
      <c r="X17" s="104">
        <v>62.662999999999997</v>
      </c>
      <c r="Y17" s="104">
        <v>62.445</v>
      </c>
      <c r="Z17" s="104">
        <v>62.357999999999997</v>
      </c>
      <c r="AA17" s="104">
        <v>61.127000000000002</v>
      </c>
      <c r="AB17" s="104">
        <v>59.892000000000003</v>
      </c>
      <c r="AC17" s="104">
        <v>59.798999999999999</v>
      </c>
      <c r="AD17" s="104">
        <v>60.252000000000002</v>
      </c>
      <c r="AE17" s="104">
        <v>61.838000000000001</v>
      </c>
      <c r="AF17" s="104">
        <v>63.588999999999999</v>
      </c>
      <c r="AG17" s="130">
        <v>64.905000000000001</v>
      </c>
      <c r="AH17" s="183">
        <f t="shared" si="2"/>
        <v>2.0695403293022423</v>
      </c>
      <c r="AI17" s="183" t="s">
        <v>47</v>
      </c>
      <c r="AJ17" s="6" t="s">
        <v>187</v>
      </c>
      <c r="AK17" s="6" t="s">
        <v>187</v>
      </c>
      <c r="AL17" s="6" t="s">
        <v>188</v>
      </c>
      <c r="AM17" s="6" t="s">
        <v>188</v>
      </c>
    </row>
    <row r="18" spans="1:39" ht="12.75" customHeight="1">
      <c r="A18" s="8"/>
      <c r="B18" s="119" t="s">
        <v>48</v>
      </c>
      <c r="C18" s="330">
        <v>41</v>
      </c>
      <c r="D18" s="330">
        <v>59</v>
      </c>
      <c r="E18" s="127">
        <v>70</v>
      </c>
      <c r="F18" s="127">
        <v>76</v>
      </c>
      <c r="G18" s="127">
        <v>76</v>
      </c>
      <c r="H18" s="127">
        <v>76</v>
      </c>
      <c r="I18" s="127">
        <v>78</v>
      </c>
      <c r="J18" s="127">
        <v>79</v>
      </c>
      <c r="K18" s="127">
        <v>82</v>
      </c>
      <c r="L18" s="127">
        <v>82</v>
      </c>
      <c r="M18" s="201">
        <v>84.960999999999999</v>
      </c>
      <c r="N18" s="127">
        <v>85.668000000000006</v>
      </c>
      <c r="O18" s="127">
        <v>85.748999999999995</v>
      </c>
      <c r="P18" s="127">
        <v>86.953999999999994</v>
      </c>
      <c r="Q18" s="127">
        <v>85.876000000000005</v>
      </c>
      <c r="R18" s="127">
        <v>87.100999999999999</v>
      </c>
      <c r="S18" s="127">
        <v>88.417000000000002</v>
      </c>
      <c r="T18" s="127">
        <v>90.055000000000007</v>
      </c>
      <c r="U18" s="127">
        <v>92.152000000000001</v>
      </c>
      <c r="V18" s="127">
        <v>94.391999999999996</v>
      </c>
      <c r="W18" s="127">
        <v>92.873999999999995</v>
      </c>
      <c r="X18" s="201">
        <v>90.65</v>
      </c>
      <c r="Y18" s="127">
        <v>91.450999999999993</v>
      </c>
      <c r="Z18" s="127">
        <v>93.028999999999996</v>
      </c>
      <c r="AA18" s="127">
        <v>94.099000000000004</v>
      </c>
      <c r="AB18" s="127">
        <v>96.040999999999997</v>
      </c>
      <c r="AC18" s="127">
        <v>96.745999999999995</v>
      </c>
      <c r="AD18" s="127">
        <v>99.001999999999995</v>
      </c>
      <c r="AE18" s="127">
        <v>100.303</v>
      </c>
      <c r="AF18" s="127">
        <v>100.85299999999999</v>
      </c>
      <c r="AG18" s="129">
        <v>100.712</v>
      </c>
      <c r="AH18" s="182">
        <f t="shared" si="2"/>
        <v>-0.13980744251533395</v>
      </c>
      <c r="AI18" s="182" t="s">
        <v>48</v>
      </c>
      <c r="AJ18" s="2" t="s">
        <v>189</v>
      </c>
      <c r="AK18" s="2" t="s">
        <v>189</v>
      </c>
      <c r="AL18" s="2" t="s">
        <v>190</v>
      </c>
      <c r="AM18" s="6" t="s">
        <v>214</v>
      </c>
    </row>
    <row r="19" spans="1:39" ht="12.75" customHeight="1">
      <c r="A19" s="8"/>
      <c r="B19" s="10" t="s">
        <v>59</v>
      </c>
      <c r="C19" s="331"/>
      <c r="D19" s="331"/>
      <c r="E19" s="104">
        <v>5.8360000000000003</v>
      </c>
      <c r="F19" s="104">
        <v>4.8760000000000003</v>
      </c>
      <c r="G19" s="104">
        <v>4.1040000000000001</v>
      </c>
      <c r="H19" s="104">
        <v>3.895</v>
      </c>
      <c r="I19" s="104">
        <v>4.0259999999999998</v>
      </c>
      <c r="J19" s="104">
        <v>3.8969999999999998</v>
      </c>
      <c r="K19" s="104">
        <v>4.5960000000000001</v>
      </c>
      <c r="L19" s="104">
        <v>4.7709999999999999</v>
      </c>
      <c r="M19" s="104">
        <v>4.8140000000000001</v>
      </c>
      <c r="N19" s="104">
        <v>4.7430000000000003</v>
      </c>
      <c r="O19" s="104">
        <v>4.66</v>
      </c>
      <c r="P19" s="104">
        <v>4.7699999999999996</v>
      </c>
      <c r="Q19" s="104">
        <v>4.7919999999999998</v>
      </c>
      <c r="R19" s="104">
        <v>4.8330000000000002</v>
      </c>
      <c r="S19" s="104">
        <v>4.8689999999999998</v>
      </c>
      <c r="T19" s="104">
        <v>4.851</v>
      </c>
      <c r="U19" s="104">
        <v>4.9139999999999997</v>
      </c>
      <c r="V19" s="104">
        <v>5.0430000000000001</v>
      </c>
      <c r="W19" s="104">
        <v>5.0990000000000002</v>
      </c>
      <c r="X19" s="104">
        <v>5.0709999999999997</v>
      </c>
      <c r="Y19" s="204">
        <v>4.8769999999999998</v>
      </c>
      <c r="Z19" s="104">
        <v>4.8410000000000002</v>
      </c>
      <c r="AA19" s="104">
        <v>4.6550000000000002</v>
      </c>
      <c r="AB19" s="104">
        <v>4.7889999999999997</v>
      </c>
      <c r="AC19" s="104">
        <v>5.04</v>
      </c>
      <c r="AD19" s="104">
        <v>5.2759999999999998</v>
      </c>
      <c r="AE19" s="104">
        <v>5.5129999999999999</v>
      </c>
      <c r="AF19" s="104">
        <v>5.6980000000000004</v>
      </c>
      <c r="AG19" s="130">
        <v>5.8769999999999998</v>
      </c>
      <c r="AH19" s="183">
        <f t="shared" si="2"/>
        <v>3.1414531414531268</v>
      </c>
      <c r="AI19" s="183" t="s">
        <v>59</v>
      </c>
      <c r="AJ19" s="372" t="s">
        <v>237</v>
      </c>
      <c r="AK19" s="3" t="s">
        <v>191</v>
      </c>
      <c r="AL19" s="3" t="s">
        <v>191</v>
      </c>
      <c r="AM19" s="3" t="s">
        <v>191</v>
      </c>
    </row>
    <row r="20" spans="1:39" ht="12.75" customHeight="1">
      <c r="A20" s="8"/>
      <c r="B20" s="119" t="s">
        <v>50</v>
      </c>
      <c r="C20" s="330">
        <v>32.899000000000001</v>
      </c>
      <c r="D20" s="330">
        <v>58.149000000000001</v>
      </c>
      <c r="E20" s="127">
        <v>77.730999999999995</v>
      </c>
      <c r="F20" s="127">
        <v>78</v>
      </c>
      <c r="G20" s="127">
        <v>78.179000000000002</v>
      </c>
      <c r="H20" s="127">
        <v>76.974000000000004</v>
      </c>
      <c r="I20" s="127">
        <v>76.075999999999993</v>
      </c>
      <c r="J20" s="127">
        <v>75.022999999999996</v>
      </c>
      <c r="K20" s="127">
        <v>78.183000000000007</v>
      </c>
      <c r="L20" s="127">
        <v>84.177000000000007</v>
      </c>
      <c r="M20" s="127">
        <v>84.822000000000003</v>
      </c>
      <c r="N20" s="127">
        <v>85.762</v>
      </c>
      <c r="O20" s="127">
        <v>87.956000000000003</v>
      </c>
      <c r="P20" s="127">
        <v>89.858000000000004</v>
      </c>
      <c r="Q20" s="127">
        <v>91.715999999999994</v>
      </c>
      <c r="R20" s="127">
        <v>92.700999999999993</v>
      </c>
      <c r="S20" s="127">
        <v>92.873999999999995</v>
      </c>
      <c r="T20" s="127">
        <v>94.436999999999998</v>
      </c>
      <c r="U20" s="127">
        <v>96.099000000000004</v>
      </c>
      <c r="V20" s="127">
        <v>96.418999999999997</v>
      </c>
      <c r="W20" s="127">
        <v>97.596999999999994</v>
      </c>
      <c r="X20" s="127">
        <v>98.724000000000004</v>
      </c>
      <c r="Y20" s="127">
        <v>99.894999999999996</v>
      </c>
      <c r="Z20" s="127">
        <v>100.438</v>
      </c>
      <c r="AA20" s="127">
        <v>99.537000000000006</v>
      </c>
      <c r="AB20" s="127">
        <v>98.551000000000002</v>
      </c>
      <c r="AC20" s="127">
        <v>97.914000000000001</v>
      </c>
      <c r="AD20" s="127">
        <v>97.991</v>
      </c>
      <c r="AE20" s="127">
        <v>97.816999999999993</v>
      </c>
      <c r="AF20" s="127">
        <v>99.1</v>
      </c>
      <c r="AG20" s="129">
        <v>100.042</v>
      </c>
      <c r="AH20" s="182">
        <f t="shared" si="2"/>
        <v>0.95055499495460083</v>
      </c>
      <c r="AI20" s="206" t="s">
        <v>50</v>
      </c>
      <c r="AJ20" s="372" t="s">
        <v>250</v>
      </c>
      <c r="AK20" s="2" t="s">
        <v>192</v>
      </c>
      <c r="AL20" s="2" t="s">
        <v>192</v>
      </c>
      <c r="AM20" s="2" t="s">
        <v>192</v>
      </c>
    </row>
    <row r="21" spans="1:39" ht="12.75" customHeight="1">
      <c r="A21" s="8"/>
      <c r="B21" s="10" t="s">
        <v>29</v>
      </c>
      <c r="C21" s="331"/>
      <c r="D21" s="331">
        <v>1.6</v>
      </c>
      <c r="E21" s="104">
        <v>2.3079999999999998</v>
      </c>
      <c r="F21" s="104">
        <v>2.1760000000000002</v>
      </c>
      <c r="G21" s="104">
        <v>2.371</v>
      </c>
      <c r="H21" s="104">
        <v>2.4380000000000002</v>
      </c>
      <c r="I21" s="104">
        <v>2.5459999999999998</v>
      </c>
      <c r="J21" s="104">
        <v>2.67</v>
      </c>
      <c r="K21" s="104">
        <v>2.8010000000000002</v>
      </c>
      <c r="L21" s="104">
        <v>2.8</v>
      </c>
      <c r="M21" s="104">
        <v>2.754</v>
      </c>
      <c r="N21" s="104">
        <v>2.835</v>
      </c>
      <c r="O21" s="104">
        <v>2.9489999999999998</v>
      </c>
      <c r="P21" s="104">
        <v>3.0030000000000001</v>
      </c>
      <c r="Q21" s="104">
        <v>2.9969999999999999</v>
      </c>
      <c r="R21" s="104">
        <v>3.2749999999999999</v>
      </c>
      <c r="S21" s="104">
        <v>3.1989999999999998</v>
      </c>
      <c r="T21" s="104">
        <v>3.2170000000000001</v>
      </c>
      <c r="U21" s="104">
        <v>3.2210000000000001</v>
      </c>
      <c r="V21" s="104">
        <v>3.2919999999999998</v>
      </c>
      <c r="W21" s="104">
        <v>3.4020000000000001</v>
      </c>
      <c r="X21" s="104">
        <f>3.449</f>
        <v>3.4489999999999998</v>
      </c>
      <c r="Y21" s="104">
        <v>3.403</v>
      </c>
      <c r="Z21" s="104">
        <v>3.4609999999999999</v>
      </c>
      <c r="AA21" s="104">
        <v>3.5569999999999999</v>
      </c>
      <c r="AB21" s="104">
        <v>3.4950000000000001</v>
      </c>
      <c r="AC21" s="340">
        <v>2.581</v>
      </c>
      <c r="AD21" s="104">
        <v>2.7120000000000002</v>
      </c>
      <c r="AE21" s="104">
        <v>2.8420000000000001</v>
      </c>
      <c r="AF21" s="104">
        <v>2.9910000000000001</v>
      </c>
      <c r="AG21" s="130">
        <v>3.0840000000000001</v>
      </c>
      <c r="AH21" s="183">
        <f t="shared" si="2"/>
        <v>3.1093279839518431</v>
      </c>
      <c r="AI21" s="183" t="s">
        <v>29</v>
      </c>
      <c r="AJ21" s="372" t="s">
        <v>135</v>
      </c>
      <c r="AK21" s="2" t="s">
        <v>193</v>
      </c>
      <c r="AL21" s="3" t="s">
        <v>215</v>
      </c>
      <c r="AM21" s="6" t="s">
        <v>216</v>
      </c>
    </row>
    <row r="22" spans="1:39" ht="12.75" customHeight="1">
      <c r="A22" s="8"/>
      <c r="B22" s="119" t="s">
        <v>33</v>
      </c>
      <c r="C22" s="330"/>
      <c r="D22" s="330"/>
      <c r="E22" s="127">
        <v>12.138</v>
      </c>
      <c r="F22" s="128">
        <f>$E$22+($J$22-$E$22)/5</f>
        <v>13.003399999999999</v>
      </c>
      <c r="G22" s="128">
        <f>$E$22+($J$22-$E$22)/5*2</f>
        <v>13.8688</v>
      </c>
      <c r="H22" s="128">
        <f>$E$22+($J$22-$E$22)/5*3</f>
        <v>14.7342</v>
      </c>
      <c r="I22" s="128">
        <f>$E$22+($J$22-$E$22)/5*4</f>
        <v>15.599599999999999</v>
      </c>
      <c r="J22" s="127">
        <v>16.465</v>
      </c>
      <c r="K22" s="127">
        <v>17.274999999999999</v>
      </c>
      <c r="L22" s="184">
        <v>18.558</v>
      </c>
      <c r="M22" s="127">
        <v>11.505000000000001</v>
      </c>
      <c r="N22" s="127">
        <v>11.555999999999999</v>
      </c>
      <c r="O22" s="127">
        <v>11.500999999999999</v>
      </c>
      <c r="P22" s="127">
        <v>11.294</v>
      </c>
      <c r="Q22" s="127">
        <v>11.164</v>
      </c>
      <c r="R22" s="127">
        <v>10.983000000000001</v>
      </c>
      <c r="S22" s="127">
        <v>10.74</v>
      </c>
      <c r="T22" s="127">
        <v>10.644</v>
      </c>
      <c r="U22" s="127">
        <v>10.628</v>
      </c>
      <c r="V22" s="127">
        <v>10.624000000000001</v>
      </c>
      <c r="W22" s="127">
        <v>10.542999999999999</v>
      </c>
      <c r="X22" s="127">
        <v>9.6869999999999994</v>
      </c>
      <c r="Y22" s="201">
        <v>5.3769999999999998</v>
      </c>
      <c r="Z22" s="127">
        <v>5.1859999999999999</v>
      </c>
      <c r="AA22" s="127">
        <v>5.0439999999999996</v>
      </c>
      <c r="AB22" s="127">
        <v>4.9889999999999999</v>
      </c>
      <c r="AC22" s="127">
        <v>4.8449999999999998</v>
      </c>
      <c r="AD22" s="127">
        <v>4.7969999999999997</v>
      </c>
      <c r="AE22" s="127">
        <v>4.6959999999999997</v>
      </c>
      <c r="AF22" s="127">
        <v>4.7</v>
      </c>
      <c r="AG22" s="129">
        <v>4.6319999999999997</v>
      </c>
      <c r="AH22" s="182">
        <f t="shared" si="2"/>
        <v>-1.4468085106383057</v>
      </c>
      <c r="AI22" s="206" t="s">
        <v>33</v>
      </c>
      <c r="AJ22" s="3" t="s">
        <v>194</v>
      </c>
      <c r="AK22" s="3" t="s">
        <v>194</v>
      </c>
      <c r="AL22" s="3" t="s">
        <v>217</v>
      </c>
      <c r="AM22" s="3" t="s">
        <v>195</v>
      </c>
    </row>
    <row r="23" spans="1:39" ht="12.75" customHeight="1">
      <c r="A23" s="8"/>
      <c r="B23" s="10" t="s">
        <v>34</v>
      </c>
      <c r="C23" s="331"/>
      <c r="D23" s="331">
        <v>10.5</v>
      </c>
      <c r="E23" s="104">
        <v>15.2</v>
      </c>
      <c r="F23" s="204">
        <f>$E$23+($J$23-$E$23)/5</f>
        <v>15.6768</v>
      </c>
      <c r="G23" s="204">
        <f>$E$23+($J$23-$E$23)/5*2</f>
        <v>16.153600000000001</v>
      </c>
      <c r="H23" s="204">
        <f>$E$23+($J$23-$E$23)/5*3</f>
        <v>16.630399999999998</v>
      </c>
      <c r="I23" s="204">
        <f>$E$23+($J$23-$E$23)/5*4</f>
        <v>17.107199999999999</v>
      </c>
      <c r="J23" s="104">
        <f>17.052+0.532</f>
        <v>17.584</v>
      </c>
      <c r="K23" s="104">
        <f>15.482+0.544</f>
        <v>16.026</v>
      </c>
      <c r="L23" s="104">
        <f>14.888+0.547</f>
        <v>15.435</v>
      </c>
      <c r="M23" s="104">
        <f>15.156+0.523</f>
        <v>15.679</v>
      </c>
      <c r="N23" s="104">
        <f>15.59+0.5</f>
        <v>16.09</v>
      </c>
      <c r="O23" s="104">
        <f>15.069+0.474</f>
        <v>15.543000000000001</v>
      </c>
      <c r="P23" s="104">
        <f>15.171+0.47</f>
        <v>15.641</v>
      </c>
      <c r="Q23" s="104">
        <f>15.376+0.466</f>
        <v>15.841999999999999</v>
      </c>
      <c r="R23" s="104">
        <f>15.543+0.463</f>
        <v>16.006</v>
      </c>
      <c r="S23" s="104">
        <f>14.377+0.476</f>
        <v>14.853000000000002</v>
      </c>
      <c r="T23" s="104">
        <f>14.839+0.472</f>
        <v>15.311</v>
      </c>
      <c r="U23" s="104">
        <f>15.134+0.485</f>
        <v>15.619</v>
      </c>
      <c r="V23" s="104">
        <f>13.997+0.491</f>
        <v>14.488</v>
      </c>
      <c r="W23" s="104">
        <f>13.824+0.488</f>
        <v>14.311999999999999</v>
      </c>
      <c r="X23" s="104">
        <f>13.36+0.477</f>
        <v>13.837</v>
      </c>
      <c r="Y23" s="104">
        <f>13.261+0.467</f>
        <v>13.728</v>
      </c>
      <c r="Z23" s="104">
        <v>13.545</v>
      </c>
      <c r="AA23" s="104">
        <f>12.649+0.458</f>
        <v>13.106999999999999</v>
      </c>
      <c r="AB23" s="104">
        <f>12.606+0.457</f>
        <v>13.063000000000001</v>
      </c>
      <c r="AC23" s="340">
        <v>6.9370000000000003</v>
      </c>
      <c r="AD23" s="104">
        <v>6.8559999999999999</v>
      </c>
      <c r="AE23" s="104">
        <v>6.9260000000000002</v>
      </c>
      <c r="AF23" s="104">
        <v>7.2</v>
      </c>
      <c r="AG23" s="130">
        <v>7.5170000000000003</v>
      </c>
      <c r="AH23" s="183">
        <f t="shared" si="2"/>
        <v>4.4027777777777715</v>
      </c>
      <c r="AI23" s="183" t="s">
        <v>34</v>
      </c>
      <c r="AJ23" s="6" t="s">
        <v>196</v>
      </c>
      <c r="AK23" s="6" t="s">
        <v>196</v>
      </c>
      <c r="AL23" s="6" t="s">
        <v>196</v>
      </c>
      <c r="AM23" s="6" t="s">
        <v>196</v>
      </c>
    </row>
    <row r="24" spans="1:39" ht="12.75" customHeight="1">
      <c r="A24" s="8"/>
      <c r="B24" s="119" t="s">
        <v>51</v>
      </c>
      <c r="C24" s="330">
        <v>0.56000000000000005</v>
      </c>
      <c r="D24" s="330">
        <v>0.64700000000000002</v>
      </c>
      <c r="E24" s="127">
        <v>0.76</v>
      </c>
      <c r="F24" s="127">
        <v>0.77700000000000002</v>
      </c>
      <c r="G24" s="127">
        <v>0.81399999999999995</v>
      </c>
      <c r="H24" s="127">
        <v>0.85</v>
      </c>
      <c r="I24" s="127">
        <v>0.84599999999999997</v>
      </c>
      <c r="J24" s="127">
        <v>0.871</v>
      </c>
      <c r="K24" s="127">
        <v>0.91400000000000003</v>
      </c>
      <c r="L24" s="127">
        <v>0.94399999999999995</v>
      </c>
      <c r="M24" s="127">
        <v>0.94499999999999995</v>
      </c>
      <c r="N24" s="127">
        <v>0.98399999999999999</v>
      </c>
      <c r="O24" s="127">
        <v>1.0509999999999999</v>
      </c>
      <c r="P24" s="127">
        <v>1.123</v>
      </c>
      <c r="Q24" s="127">
        <v>1.1759999999999999</v>
      </c>
      <c r="R24" s="127">
        <v>1.2270000000000001</v>
      </c>
      <c r="S24" s="127">
        <v>1.27</v>
      </c>
      <c r="T24" s="127">
        <v>1.34</v>
      </c>
      <c r="U24" s="127">
        <v>1.38</v>
      </c>
      <c r="V24" s="127">
        <v>1.456</v>
      </c>
      <c r="W24" s="127">
        <v>1.546</v>
      </c>
      <c r="X24" s="127">
        <f>1.624</f>
        <v>1.6240000000000001</v>
      </c>
      <c r="Y24" s="127">
        <v>1.637</v>
      </c>
      <c r="Z24" s="127">
        <v>1.7030000000000001</v>
      </c>
      <c r="AA24" s="127">
        <v>1.728</v>
      </c>
      <c r="AB24" s="127">
        <v>1.7589999999999999</v>
      </c>
      <c r="AC24" s="127">
        <v>1.778</v>
      </c>
      <c r="AD24" s="344">
        <v>1.857</v>
      </c>
      <c r="AE24" s="344">
        <v>1.9039999999999999</v>
      </c>
      <c r="AF24" s="344">
        <v>2</v>
      </c>
      <c r="AG24" s="341">
        <v>2.0419999999999998</v>
      </c>
      <c r="AH24" s="182">
        <f t="shared" si="2"/>
        <v>2.0999999999999943</v>
      </c>
      <c r="AI24" s="206" t="s">
        <v>51</v>
      </c>
      <c r="AJ24" s="6" t="s">
        <v>218</v>
      </c>
      <c r="AK24" s="6" t="s">
        <v>218</v>
      </c>
      <c r="AL24" s="6" t="s">
        <v>218</v>
      </c>
      <c r="AM24" s="6" t="s">
        <v>219</v>
      </c>
    </row>
    <row r="25" spans="1:39" ht="12.75" customHeight="1">
      <c r="A25" s="8"/>
      <c r="B25" s="10" t="s">
        <v>32</v>
      </c>
      <c r="C25" s="331"/>
      <c r="D25" s="331">
        <v>22.2</v>
      </c>
      <c r="E25" s="104">
        <v>26.437999999999999</v>
      </c>
      <c r="F25" s="104">
        <v>24.497</v>
      </c>
      <c r="G25" s="104">
        <v>23.187000000000001</v>
      </c>
      <c r="H25" s="104">
        <v>22.186</v>
      </c>
      <c r="I25" s="104">
        <v>21.785</v>
      </c>
      <c r="J25" s="104">
        <v>20.463999999999999</v>
      </c>
      <c r="K25" s="104">
        <v>19.381</v>
      </c>
      <c r="L25" s="104">
        <v>18.89</v>
      </c>
      <c r="M25" s="104">
        <v>18.795000000000002</v>
      </c>
      <c r="N25" s="104">
        <v>17.733000000000001</v>
      </c>
      <c r="O25" s="104">
        <v>17.855</v>
      </c>
      <c r="P25" s="104">
        <v>17.817</v>
      </c>
      <c r="Q25" s="104">
        <v>17.873000000000001</v>
      </c>
      <c r="R25" s="104">
        <v>17.876999999999999</v>
      </c>
      <c r="S25" s="104">
        <v>17.428000000000001</v>
      </c>
      <c r="T25" s="104">
        <v>17.45</v>
      </c>
      <c r="U25" s="104">
        <v>17.721</v>
      </c>
      <c r="V25" s="104">
        <v>17.899000000000001</v>
      </c>
      <c r="W25" s="104">
        <v>17.954999999999998</v>
      </c>
      <c r="X25" s="104">
        <v>17.72</v>
      </c>
      <c r="Y25" s="104">
        <f>17.641</f>
        <v>17.640999999999998</v>
      </c>
      <c r="Z25" s="104">
        <v>17.366</v>
      </c>
      <c r="AA25" s="104">
        <v>17.300999999999998</v>
      </c>
      <c r="AB25" s="104">
        <v>17.568999999999999</v>
      </c>
      <c r="AC25" s="104">
        <v>17.922999999999998</v>
      </c>
      <c r="AD25" s="104">
        <v>18.135000000000002</v>
      </c>
      <c r="AE25" s="104">
        <v>18.481999999999999</v>
      </c>
      <c r="AF25" s="104">
        <v>18.7</v>
      </c>
      <c r="AG25" s="130">
        <v>19.134</v>
      </c>
      <c r="AH25" s="183">
        <f t="shared" si="2"/>
        <v>2.3208556149732544</v>
      </c>
      <c r="AI25" s="183" t="s">
        <v>32</v>
      </c>
      <c r="AJ25" s="3" t="s">
        <v>220</v>
      </c>
      <c r="AK25" s="3" t="s">
        <v>220</v>
      </c>
      <c r="AL25" s="3" t="s">
        <v>220</v>
      </c>
      <c r="AM25" s="3" t="s">
        <v>220</v>
      </c>
    </row>
    <row r="26" spans="1:39" ht="12.75" customHeight="1">
      <c r="A26" s="8"/>
      <c r="B26" s="119" t="s">
        <v>35</v>
      </c>
      <c r="C26" s="330"/>
      <c r="D26" s="330"/>
      <c r="E26" s="127">
        <v>0.97799999999999998</v>
      </c>
      <c r="F26" s="128">
        <f>$E$26+($H$26-$E$26)/3</f>
        <v>0.96399999999999997</v>
      </c>
      <c r="G26" s="128">
        <f>$E$26+($H$26-$E$26)/3*2</f>
        <v>0.95000000000000007</v>
      </c>
      <c r="H26" s="127">
        <v>0.93600000000000005</v>
      </c>
      <c r="I26" s="127">
        <v>0.96399999999999997</v>
      </c>
      <c r="J26" s="127">
        <v>1.014</v>
      </c>
      <c r="K26" s="127">
        <v>0.96699999999999997</v>
      </c>
      <c r="L26" s="127">
        <v>1.077</v>
      </c>
      <c r="M26" s="127">
        <f>0.162+0.375+0.57</f>
        <v>1.107</v>
      </c>
      <c r="N26" s="127">
        <f>0.157+0.39+0.572</f>
        <v>1.119</v>
      </c>
      <c r="O26" s="127">
        <f>0.156+0.397+0.573</f>
        <v>1.1259999999999999</v>
      </c>
      <c r="P26" s="127">
        <f>0.156+0.398+0.571</f>
        <v>1.125</v>
      </c>
      <c r="Q26" s="127">
        <v>1.133</v>
      </c>
      <c r="R26" s="127">
        <v>1.1499999999999999</v>
      </c>
      <c r="S26" s="127">
        <v>1.1579999999999999</v>
      </c>
      <c r="T26" s="127">
        <f>0.144+0.422+0.577</f>
        <v>1.1429999999999998</v>
      </c>
      <c r="U26" s="127">
        <f>0.144+0.426+0.578</f>
        <v>1.1479999999999999</v>
      </c>
      <c r="V26" s="127">
        <f>0.15+0.433+0.582</f>
        <v>1.165</v>
      </c>
      <c r="W26" s="127">
        <f>0.161+0.433+0.582</f>
        <v>1.1759999999999999</v>
      </c>
      <c r="X26" s="127">
        <f>0.159+0.451+0.576</f>
        <v>1.1859999999999999</v>
      </c>
      <c r="Y26" s="201">
        <f>0.214+0.318+0.737+0.566</f>
        <v>1.835</v>
      </c>
      <c r="Z26" s="127">
        <v>1.7420000000000002</v>
      </c>
      <c r="AA26" s="127">
        <f>0.344+0.27+0.843+0.289</f>
        <v>1.7459999999999998</v>
      </c>
      <c r="AB26" s="127">
        <f>0.239+0.866+0.263+0.344</f>
        <v>1.7119999999999997</v>
      </c>
      <c r="AC26" s="127">
        <f>0.284+0.913+0.236+0.362</f>
        <v>1.7949999999999999</v>
      </c>
      <c r="AD26" s="127">
        <f>0.353+0.22+0.971+0.408</f>
        <v>1.952</v>
      </c>
      <c r="AE26" s="127">
        <f>0.405+1.029+0.199+0.363</f>
        <v>1.996</v>
      </c>
      <c r="AF26" s="127">
        <f>0.432+1.079+0.187+0.371</f>
        <v>2.069</v>
      </c>
      <c r="AG26" s="129">
        <f>0.388+0.165+1.123+0.436</f>
        <v>2.1120000000000001</v>
      </c>
      <c r="AH26" s="182">
        <f t="shared" si="2"/>
        <v>2.0782986950217577</v>
      </c>
      <c r="AI26" s="206" t="s">
        <v>35</v>
      </c>
      <c r="AJ26" s="3" t="s">
        <v>197</v>
      </c>
      <c r="AK26" s="3" t="s">
        <v>197</v>
      </c>
      <c r="AL26" s="3" t="s">
        <v>197</v>
      </c>
      <c r="AM26" s="3" t="s">
        <v>197</v>
      </c>
    </row>
    <row r="27" spans="1:39" ht="12.75" customHeight="1">
      <c r="A27" s="8"/>
      <c r="B27" s="10" t="s">
        <v>43</v>
      </c>
      <c r="C27" s="331">
        <v>9.5</v>
      </c>
      <c r="D27" s="331">
        <v>11.2</v>
      </c>
      <c r="E27" s="104">
        <v>12.1</v>
      </c>
      <c r="F27" s="104">
        <v>12.427</v>
      </c>
      <c r="G27" s="104">
        <v>12.340999999999999</v>
      </c>
      <c r="H27" s="104">
        <v>12.525</v>
      </c>
      <c r="I27" s="104">
        <v>12</v>
      </c>
      <c r="J27" s="104">
        <v>11.635999999999999</v>
      </c>
      <c r="K27" s="104">
        <v>11.334</v>
      </c>
      <c r="L27" s="104">
        <v>10.801</v>
      </c>
      <c r="M27" s="104">
        <v>11.006</v>
      </c>
      <c r="N27" s="104">
        <v>11.21</v>
      </c>
      <c r="O27" s="104">
        <v>11.374000000000001</v>
      </c>
      <c r="P27" s="104">
        <v>11.326000000000001</v>
      </c>
      <c r="Q27" s="104">
        <v>11.382</v>
      </c>
      <c r="R27" s="104">
        <v>11.343999999999999</v>
      </c>
      <c r="S27" s="104">
        <v>11.231</v>
      </c>
      <c r="T27" s="104">
        <v>10.994999999999999</v>
      </c>
      <c r="U27" s="104">
        <v>10.845000000000001</v>
      </c>
      <c r="V27" s="104">
        <v>11.090999999999999</v>
      </c>
      <c r="W27" s="104">
        <v>11.332000000000001</v>
      </c>
      <c r="X27" s="104">
        <v>11.634</v>
      </c>
      <c r="Y27" s="104">
        <f>11.277</f>
        <v>11.276999999999999</v>
      </c>
      <c r="Z27" s="104">
        <v>10.986000000000001</v>
      </c>
      <c r="AA27" s="104">
        <f>10.464</f>
        <v>10.464</v>
      </c>
      <c r="AB27" s="104">
        <f>9.922</f>
        <v>9.9220000000000006</v>
      </c>
      <c r="AC27" s="104">
        <v>9.5969999999999995</v>
      </c>
      <c r="AD27" s="104">
        <v>9.4109999999999996</v>
      </c>
      <c r="AE27" s="104">
        <v>9.8219999999999992</v>
      </c>
      <c r="AF27" s="104">
        <v>9.9</v>
      </c>
      <c r="AG27" s="130">
        <v>9.7170000000000005</v>
      </c>
      <c r="AH27" s="183">
        <f t="shared" si="2"/>
        <v>-1.8484848484848442</v>
      </c>
      <c r="AI27" s="183" t="s">
        <v>43</v>
      </c>
      <c r="AJ27" s="22" t="s">
        <v>198</v>
      </c>
      <c r="AK27" s="22" t="s">
        <v>198</v>
      </c>
      <c r="AL27" s="22" t="s">
        <v>198</v>
      </c>
      <c r="AM27" s="22" t="s">
        <v>198</v>
      </c>
    </row>
    <row r="28" spans="1:39" ht="12.75" customHeight="1">
      <c r="A28" s="8"/>
      <c r="B28" s="119" t="s">
        <v>52</v>
      </c>
      <c r="C28" s="330">
        <v>6.8040000000000003</v>
      </c>
      <c r="D28" s="330">
        <v>8.89</v>
      </c>
      <c r="E28" s="127">
        <v>9.4019999999999992</v>
      </c>
      <c r="F28" s="127">
        <v>9.2690000000000001</v>
      </c>
      <c r="G28" s="127">
        <v>9.375</v>
      </c>
      <c r="H28" s="127">
        <v>9.4830000000000005</v>
      </c>
      <c r="I28" s="127">
        <v>9.5980000000000008</v>
      </c>
      <c r="J28" s="127">
        <v>9.7520000000000007</v>
      </c>
      <c r="K28" s="127">
        <v>9.74</v>
      </c>
      <c r="L28" s="127">
        <v>9.6999999999999993</v>
      </c>
      <c r="M28" s="127">
        <v>9.6750000000000007</v>
      </c>
      <c r="N28" s="127">
        <v>9.8339999999999996</v>
      </c>
      <c r="O28" s="127">
        <v>9.9179999999999993</v>
      </c>
      <c r="P28" s="184">
        <v>9.9019999999999992</v>
      </c>
      <c r="Q28" s="127">
        <v>9.1790000000000003</v>
      </c>
      <c r="R28" s="127">
        <v>9.2309999999999999</v>
      </c>
      <c r="S28" s="127">
        <v>9.4079999999999995</v>
      </c>
      <c r="T28" s="127">
        <v>9.3010000000000002</v>
      </c>
      <c r="U28" s="127">
        <v>9.2970000000000006</v>
      </c>
      <c r="V28" s="127">
        <v>9.2989999999999995</v>
      </c>
      <c r="W28" s="127">
        <v>9.3680000000000003</v>
      </c>
      <c r="X28" s="127">
        <v>9.5990000000000002</v>
      </c>
      <c r="Y28" s="127">
        <f>9.648</f>
        <v>9.6479999999999997</v>
      </c>
      <c r="Z28" s="127">
        <v>9.6020000000000003</v>
      </c>
      <c r="AA28" s="127">
        <v>9.5459999999999994</v>
      </c>
      <c r="AB28" s="127">
        <v>9.5790000000000006</v>
      </c>
      <c r="AC28" s="127">
        <v>9.5850000000000009</v>
      </c>
      <c r="AD28" s="127">
        <v>9.6790000000000003</v>
      </c>
      <c r="AE28" s="127">
        <v>9.8249999999999993</v>
      </c>
      <c r="AF28" s="127">
        <v>10</v>
      </c>
      <c r="AG28" s="129">
        <v>10.037000000000001</v>
      </c>
      <c r="AH28" s="182">
        <f t="shared" si="2"/>
        <v>0.37000000000000455</v>
      </c>
      <c r="AI28" s="206" t="s">
        <v>52</v>
      </c>
      <c r="AJ28" s="3" t="s">
        <v>199</v>
      </c>
      <c r="AK28" s="3" t="s">
        <v>199</v>
      </c>
      <c r="AL28" s="3" t="s">
        <v>199</v>
      </c>
      <c r="AM28" s="3" t="s">
        <v>199</v>
      </c>
    </row>
    <row r="29" spans="1:39" ht="12.75" customHeight="1">
      <c r="A29" s="8"/>
      <c r="B29" s="10" t="s">
        <v>36</v>
      </c>
      <c r="C29" s="331"/>
      <c r="D29" s="331">
        <v>66.400000000000006</v>
      </c>
      <c r="E29" s="104">
        <v>92.403000000000006</v>
      </c>
      <c r="F29" s="104">
        <v>86.950999999999993</v>
      </c>
      <c r="G29" s="104">
        <v>86.578000000000003</v>
      </c>
      <c r="H29" s="104">
        <v>86.153999999999996</v>
      </c>
      <c r="I29" s="104">
        <v>86.852000000000004</v>
      </c>
      <c r="J29" s="104">
        <v>85.412999999999997</v>
      </c>
      <c r="K29" s="104">
        <v>85.596000000000004</v>
      </c>
      <c r="L29" s="104">
        <v>81.787999999999997</v>
      </c>
      <c r="M29" s="104">
        <v>80.826999999999998</v>
      </c>
      <c r="N29" s="104">
        <v>78.957999999999998</v>
      </c>
      <c r="O29" s="104">
        <v>82.59</v>
      </c>
      <c r="P29" s="104">
        <v>82.5</v>
      </c>
      <c r="Q29" s="104">
        <v>83.388999999999996</v>
      </c>
      <c r="R29" s="104">
        <v>82.769000000000005</v>
      </c>
      <c r="S29" s="104">
        <v>82.676000000000002</v>
      </c>
      <c r="T29" s="104">
        <v>79.566999999999993</v>
      </c>
      <c r="U29" s="104">
        <v>83.495999999999995</v>
      </c>
      <c r="V29" s="104">
        <v>87.585999999999999</v>
      </c>
      <c r="W29" s="104">
        <v>92.400999999999996</v>
      </c>
      <c r="X29" s="104">
        <v>95.415000000000006</v>
      </c>
      <c r="Y29" s="104">
        <v>97.043999999999997</v>
      </c>
      <c r="Z29" s="104">
        <v>100.29900000000001</v>
      </c>
      <c r="AA29" s="104">
        <v>99.858000000000004</v>
      </c>
      <c r="AB29" s="104">
        <v>102.602</v>
      </c>
      <c r="AC29" s="104">
        <v>106.057</v>
      </c>
      <c r="AD29" s="104">
        <v>109.84399999999999</v>
      </c>
      <c r="AE29" s="104">
        <v>113.139</v>
      </c>
      <c r="AF29" s="104">
        <v>116.1</v>
      </c>
      <c r="AG29" s="130">
        <v>119</v>
      </c>
      <c r="AH29" s="183">
        <f t="shared" si="2"/>
        <v>2.4978466838931865</v>
      </c>
      <c r="AI29" s="183" t="s">
        <v>36</v>
      </c>
      <c r="AJ29" s="22" t="s">
        <v>221</v>
      </c>
      <c r="AK29" s="22" t="s">
        <v>221</v>
      </c>
      <c r="AL29" s="22" t="s">
        <v>221</v>
      </c>
      <c r="AM29" s="22" t="s">
        <v>221</v>
      </c>
    </row>
    <row r="30" spans="1:39" ht="12.75" customHeight="1">
      <c r="A30" s="8"/>
      <c r="B30" s="119" t="s">
        <v>53</v>
      </c>
      <c r="C30" s="330">
        <v>5.8730000000000002</v>
      </c>
      <c r="D30" s="330">
        <v>8.4890000000000008</v>
      </c>
      <c r="E30" s="127">
        <v>12.099</v>
      </c>
      <c r="F30" s="127">
        <v>12.348000000000001</v>
      </c>
      <c r="G30" s="127">
        <v>12.961</v>
      </c>
      <c r="H30" s="127">
        <v>13.554</v>
      </c>
      <c r="I30" s="127">
        <v>14.353</v>
      </c>
      <c r="J30" s="127">
        <v>15.02</v>
      </c>
      <c r="K30" s="127">
        <v>15.680999999999999</v>
      </c>
      <c r="L30" s="127">
        <v>16.431000000000001</v>
      </c>
      <c r="M30" s="127">
        <v>17.513000000000002</v>
      </c>
      <c r="N30" s="127">
        <v>18.544</v>
      </c>
      <c r="O30" s="184">
        <v>19.78</v>
      </c>
      <c r="P30" s="127">
        <v>20.76</v>
      </c>
      <c r="Q30" s="127">
        <v>21.387</v>
      </c>
      <c r="R30" s="127">
        <v>21.652999999999999</v>
      </c>
      <c r="S30" s="207">
        <v>21.8</v>
      </c>
      <c r="T30" s="127">
        <v>14.673999999999999</v>
      </c>
      <c r="U30" s="127">
        <v>15</v>
      </c>
      <c r="V30" s="127">
        <v>15.1</v>
      </c>
      <c r="W30" s="127">
        <v>15.4</v>
      </c>
      <c r="X30" s="127">
        <f>15.5</f>
        <v>15.5</v>
      </c>
      <c r="Y30" s="201">
        <v>15.425000000000001</v>
      </c>
      <c r="Z30" s="127">
        <v>15.180999999999999</v>
      </c>
      <c r="AA30" s="127">
        <v>12.356999999999999</v>
      </c>
      <c r="AB30" s="127">
        <v>12.111000000000001</v>
      </c>
      <c r="AC30" s="127">
        <v>14.941000000000001</v>
      </c>
      <c r="AD30" s="127">
        <v>14.717000000000001</v>
      </c>
      <c r="AE30" s="127">
        <v>14.85</v>
      </c>
      <c r="AF30" s="127">
        <v>15.2</v>
      </c>
      <c r="AG30" s="129">
        <v>15.493</v>
      </c>
      <c r="AH30" s="182">
        <f t="shared" si="2"/>
        <v>1.9276315789473699</v>
      </c>
      <c r="AI30" s="206" t="s">
        <v>53</v>
      </c>
      <c r="AJ30" s="3" t="s">
        <v>222</v>
      </c>
      <c r="AK30" s="3" t="s">
        <v>222</v>
      </c>
      <c r="AL30" s="2" t="s">
        <v>200</v>
      </c>
      <c r="AM30" s="2" t="s">
        <v>200</v>
      </c>
    </row>
    <row r="31" spans="1:39" ht="12.75" customHeight="1">
      <c r="A31" s="8"/>
      <c r="B31" s="10" t="s">
        <v>37</v>
      </c>
      <c r="C31" s="331"/>
      <c r="D31" s="331">
        <v>25</v>
      </c>
      <c r="E31" s="104">
        <f>24.297+3.975</f>
        <v>28.272000000000002</v>
      </c>
      <c r="F31" s="104">
        <f>25.199+5.956</f>
        <v>31.155000000000001</v>
      </c>
      <c r="G31" s="104">
        <f>26.847+8.232</f>
        <v>35.079000000000001</v>
      </c>
      <c r="H31" s="104">
        <f>28.085+9.646</f>
        <v>37.731000000000002</v>
      </c>
      <c r="I31" s="104">
        <f>28.862+11.155</f>
        <v>40.016999999999996</v>
      </c>
      <c r="J31" s="104">
        <f>30.365+11.682</f>
        <v>42.046999999999997</v>
      </c>
      <c r="K31" s="104">
        <f>27.372+12.143</f>
        <v>39.515000000000001</v>
      </c>
      <c r="L31" s="104">
        <f>27.426+12.532</f>
        <v>39.957999999999998</v>
      </c>
      <c r="M31" s="104">
        <f>27.399+12.986</f>
        <v>40.385000000000005</v>
      </c>
      <c r="N31" s="104">
        <f>27.317+13.305</f>
        <v>40.622</v>
      </c>
      <c r="O31" s="104">
        <f>27.181+13.535</f>
        <v>40.716000000000001</v>
      </c>
      <c r="P31" s="104">
        <f>26.965+13.826</f>
        <v>40.790999999999997</v>
      </c>
      <c r="Q31" s="104">
        <f>26.672+14.108</f>
        <v>40.78</v>
      </c>
      <c r="R31" s="104">
        <f>25.829+16.118</f>
        <v>41.947000000000003</v>
      </c>
      <c r="S31" s="104">
        <f>25.421+17.771</f>
        <v>43.192</v>
      </c>
      <c r="T31" s="104">
        <f>21.976+17.297</f>
        <v>39.272999999999996</v>
      </c>
      <c r="U31" s="185">
        <f>22.663+17.755</f>
        <v>40.417999999999999</v>
      </c>
      <c r="V31" s="104">
        <f>17.151+17.051</f>
        <v>34.201999999999998</v>
      </c>
      <c r="W31" s="104">
        <v>41.514000000000003</v>
      </c>
      <c r="X31" s="104">
        <f>41.16</f>
        <v>41.16</v>
      </c>
      <c r="Y31" s="104">
        <v>40.877000000000002</v>
      </c>
      <c r="Z31" s="104">
        <v>40.887</v>
      </c>
      <c r="AA31" s="104">
        <v>42.01</v>
      </c>
      <c r="AB31" s="104">
        <v>42.835999999999999</v>
      </c>
      <c r="AC31" s="104">
        <v>44.283000000000001</v>
      </c>
      <c r="AD31" s="104">
        <v>47.347000000000001</v>
      </c>
      <c r="AE31" s="104">
        <v>48.802999999999997</v>
      </c>
      <c r="AF31" s="104">
        <v>50.3</v>
      </c>
      <c r="AG31" s="130">
        <v>51.802</v>
      </c>
      <c r="AH31" s="183">
        <f t="shared" si="2"/>
        <v>2.9860834990059715</v>
      </c>
      <c r="AI31" s="183" t="s">
        <v>37</v>
      </c>
      <c r="AJ31" s="3" t="s">
        <v>223</v>
      </c>
      <c r="AK31" s="3" t="s">
        <v>223</v>
      </c>
      <c r="AL31" s="146" t="s">
        <v>134</v>
      </c>
      <c r="AM31" s="6" t="s">
        <v>201</v>
      </c>
    </row>
    <row r="32" spans="1:39" ht="12.75" customHeight="1">
      <c r="A32" s="8"/>
      <c r="B32" s="119" t="s">
        <v>39</v>
      </c>
      <c r="C32" s="330">
        <v>1.6639999999999999</v>
      </c>
      <c r="D32" s="330">
        <v>2.5049999999999999</v>
      </c>
      <c r="E32" s="127">
        <v>3.077</v>
      </c>
      <c r="F32" s="127">
        <v>2.855</v>
      </c>
      <c r="G32" s="127">
        <v>2.67</v>
      </c>
      <c r="H32" s="127">
        <v>2.597</v>
      </c>
      <c r="I32" s="127">
        <v>2.512</v>
      </c>
      <c r="J32" s="127">
        <v>2.4729999999999999</v>
      </c>
      <c r="K32" s="127">
        <v>2.407</v>
      </c>
      <c r="L32" s="127">
        <v>2.3690000000000002</v>
      </c>
      <c r="M32" s="127">
        <v>2.3250000000000002</v>
      </c>
      <c r="N32" s="127">
        <v>2.3149999999999999</v>
      </c>
      <c r="O32" s="127">
        <v>2.2549999999999999</v>
      </c>
      <c r="P32" s="127">
        <v>2.2130000000000001</v>
      </c>
      <c r="Q32" s="127">
        <v>2.1960000000000002</v>
      </c>
      <c r="R32" s="127">
        <v>2.19</v>
      </c>
      <c r="S32" s="127">
        <v>2.2690000000000001</v>
      </c>
      <c r="T32" s="127">
        <v>2.2549999999999999</v>
      </c>
      <c r="U32" s="127">
        <v>2.2770000000000001</v>
      </c>
      <c r="V32" s="127">
        <v>2.33</v>
      </c>
      <c r="W32" s="127">
        <v>2.3780000000000001</v>
      </c>
      <c r="X32" s="127">
        <v>2.3940000000000001</v>
      </c>
      <c r="Y32" s="127">
        <f>2.4</f>
        <v>2.4</v>
      </c>
      <c r="Z32" s="127">
        <v>2.4220000000000002</v>
      </c>
      <c r="AA32" s="127">
        <v>2.41</v>
      </c>
      <c r="AB32" s="127">
        <f>2.465</f>
        <v>2.4649999999999999</v>
      </c>
      <c r="AC32" s="127">
        <v>2.5590000000000002</v>
      </c>
      <c r="AD32" s="127">
        <v>2.6309999999999998</v>
      </c>
      <c r="AE32" s="127">
        <v>2.6789999999999998</v>
      </c>
      <c r="AF32" s="127">
        <v>2.782</v>
      </c>
      <c r="AG32" s="129">
        <v>2.8340000000000001</v>
      </c>
      <c r="AH32" s="182">
        <f t="shared" si="2"/>
        <v>1.8691588785046775</v>
      </c>
      <c r="AI32" s="206" t="s">
        <v>39</v>
      </c>
      <c r="AJ32" s="146" t="s">
        <v>134</v>
      </c>
      <c r="AK32" s="146" t="s">
        <v>134</v>
      </c>
      <c r="AL32" s="146" t="s">
        <v>134</v>
      </c>
      <c r="AM32" s="2" t="s">
        <v>201</v>
      </c>
    </row>
    <row r="33" spans="1:39" ht="12.75" customHeight="1">
      <c r="A33" s="8"/>
      <c r="B33" s="10" t="s">
        <v>38</v>
      </c>
      <c r="C33" s="331"/>
      <c r="D33" s="331">
        <v>10</v>
      </c>
      <c r="E33" s="104">
        <v>14.301</v>
      </c>
      <c r="F33" s="104">
        <v>13.77</v>
      </c>
      <c r="G33" s="104">
        <v>13.337999999999999</v>
      </c>
      <c r="H33" s="104">
        <v>12.654999999999999</v>
      </c>
      <c r="I33" s="104">
        <v>12.066000000000001</v>
      </c>
      <c r="J33" s="104">
        <v>11.811999999999999</v>
      </c>
      <c r="K33" s="104">
        <v>11.321</v>
      </c>
      <c r="L33" s="104">
        <v>11.234999999999999</v>
      </c>
      <c r="M33" s="104">
        <v>11.292999999999999</v>
      </c>
      <c r="N33" s="104">
        <v>11.101000000000001</v>
      </c>
      <c r="O33" s="104">
        <v>10.92</v>
      </c>
      <c r="P33" s="104">
        <v>10.648999999999999</v>
      </c>
      <c r="Q33" s="104">
        <v>10.589</v>
      </c>
      <c r="R33" s="104">
        <v>10.568</v>
      </c>
      <c r="S33" s="104">
        <v>8.9209999999999994</v>
      </c>
      <c r="T33" s="104">
        <v>9.1129999999999995</v>
      </c>
      <c r="U33" s="104">
        <v>8.782</v>
      </c>
      <c r="V33" s="104">
        <v>10.48</v>
      </c>
      <c r="W33" s="104">
        <v>10.537000000000001</v>
      </c>
      <c r="X33" s="205">
        <f>9.4</f>
        <v>9.4</v>
      </c>
      <c r="Y33" s="205">
        <f>9.35</f>
        <v>9.35</v>
      </c>
      <c r="Z33" s="205">
        <v>9.0739999999999998</v>
      </c>
      <c r="AA33" s="205">
        <v>8.9570000000000007</v>
      </c>
      <c r="AB33" s="205">
        <f>8.821</f>
        <v>8.8209999999999997</v>
      </c>
      <c r="AC33" s="205">
        <v>9.1590000000000007</v>
      </c>
      <c r="AD33" s="205">
        <v>9.27</v>
      </c>
      <c r="AE33" s="205">
        <v>9.0909999999999993</v>
      </c>
      <c r="AF33" s="205">
        <v>9.2409999999999997</v>
      </c>
      <c r="AG33" s="229">
        <v>9.0660000000000007</v>
      </c>
      <c r="AH33" s="183">
        <f t="shared" si="2"/>
        <v>-1.8937344443241955</v>
      </c>
      <c r="AI33" s="183" t="s">
        <v>38</v>
      </c>
      <c r="AJ33" s="146" t="s">
        <v>134</v>
      </c>
      <c r="AK33" s="146" t="s">
        <v>134</v>
      </c>
      <c r="AL33" s="146" t="s">
        <v>134</v>
      </c>
      <c r="AM33" s="2" t="s">
        <v>201</v>
      </c>
    </row>
    <row r="34" spans="1:39" ht="12.75" customHeight="1">
      <c r="A34" s="8"/>
      <c r="B34" s="119" t="s">
        <v>54</v>
      </c>
      <c r="C34" s="330">
        <v>8.1159999999999997</v>
      </c>
      <c r="D34" s="330">
        <v>8.9629999999999992</v>
      </c>
      <c r="E34" s="127">
        <v>9.327</v>
      </c>
      <c r="F34" s="127">
        <v>8.968</v>
      </c>
      <c r="G34" s="127">
        <v>8.6649999999999991</v>
      </c>
      <c r="H34" s="127">
        <v>8.2550000000000008</v>
      </c>
      <c r="I34" s="127">
        <v>8.0540000000000003</v>
      </c>
      <c r="J34" s="127">
        <v>8.0830000000000002</v>
      </c>
      <c r="K34" s="127">
        <v>8.2330000000000005</v>
      </c>
      <c r="L34" s="127">
        <v>8.4499999999999993</v>
      </c>
      <c r="M34" s="127">
        <v>9.0399999999999991</v>
      </c>
      <c r="N34" s="127">
        <v>9.4870000000000001</v>
      </c>
      <c r="O34" s="127">
        <v>9.8520000000000003</v>
      </c>
      <c r="P34" s="127">
        <v>9.7690000000000001</v>
      </c>
      <c r="Q34" s="127">
        <v>10.005000000000001</v>
      </c>
      <c r="R34" s="127">
        <v>10.358000000000001</v>
      </c>
      <c r="S34" s="127">
        <v>10.715999999999999</v>
      </c>
      <c r="T34" s="127">
        <v>10.920999999999999</v>
      </c>
      <c r="U34" s="127">
        <v>11.189</v>
      </c>
      <c r="V34" s="127">
        <v>11.542999999999999</v>
      </c>
      <c r="W34" s="127">
        <v>12.276</v>
      </c>
      <c r="X34" s="127">
        <f>13.017</f>
        <v>13.016999999999999</v>
      </c>
      <c r="Y34" s="127">
        <f>13.65</f>
        <v>13.65</v>
      </c>
      <c r="Z34" s="127">
        <v>14.226000000000001</v>
      </c>
      <c r="AA34" s="127">
        <v>14.93</v>
      </c>
      <c r="AB34" s="127">
        <f>15.536</f>
        <v>15.536</v>
      </c>
      <c r="AC34" s="127">
        <v>16.251000000000001</v>
      </c>
      <c r="AD34" s="127">
        <v>16.856000000000002</v>
      </c>
      <c r="AE34" s="127">
        <v>17.536000000000001</v>
      </c>
      <c r="AF34" s="127">
        <v>18.100000000000001</v>
      </c>
      <c r="AG34" s="129">
        <v>18.518999999999998</v>
      </c>
      <c r="AH34" s="182">
        <f t="shared" si="2"/>
        <v>2.3149171270718085</v>
      </c>
      <c r="AI34" s="206" t="s">
        <v>54</v>
      </c>
      <c r="AJ34" s="3" t="s">
        <v>224</v>
      </c>
      <c r="AK34" s="3" t="s">
        <v>224</v>
      </c>
      <c r="AL34" s="6" t="s">
        <v>225</v>
      </c>
      <c r="AM34" s="6" t="s">
        <v>226</v>
      </c>
    </row>
    <row r="35" spans="1:39" ht="12.75" customHeight="1">
      <c r="A35" s="8"/>
      <c r="B35" s="10" t="s">
        <v>55</v>
      </c>
      <c r="C35" s="331">
        <v>14.253</v>
      </c>
      <c r="D35" s="331">
        <v>12.795999999999999</v>
      </c>
      <c r="E35" s="104">
        <v>14.595000000000001</v>
      </c>
      <c r="F35" s="104">
        <v>14.555</v>
      </c>
      <c r="G35" s="104">
        <v>14.252000000000001</v>
      </c>
      <c r="H35" s="104">
        <v>14.127000000000001</v>
      </c>
      <c r="I35" s="104">
        <v>14.292999999999999</v>
      </c>
      <c r="J35" s="104">
        <v>14.577</v>
      </c>
      <c r="K35" s="104">
        <v>14.753</v>
      </c>
      <c r="L35" s="104">
        <v>14.837999999999999</v>
      </c>
      <c r="M35" s="104">
        <v>14.923999999999999</v>
      </c>
      <c r="N35" s="104">
        <v>14.869</v>
      </c>
      <c r="O35" s="104">
        <v>14.417</v>
      </c>
      <c r="P35" s="104">
        <v>14.246</v>
      </c>
      <c r="Q35" s="104">
        <v>14.013</v>
      </c>
      <c r="R35" s="104">
        <v>13.742000000000001</v>
      </c>
      <c r="S35" s="104">
        <v>13.363</v>
      </c>
      <c r="T35" s="104">
        <v>13.477</v>
      </c>
      <c r="U35" s="104">
        <v>13.643000000000001</v>
      </c>
      <c r="V35" s="104">
        <v>13.315</v>
      </c>
      <c r="W35" s="104">
        <v>13.474</v>
      </c>
      <c r="X35" s="104">
        <f>13.407</f>
        <v>13.407</v>
      </c>
      <c r="Y35" s="104">
        <v>13.872999999999999</v>
      </c>
      <c r="Z35" s="104">
        <v>13.946999999999999</v>
      </c>
      <c r="AA35" s="104">
        <v>14.202999999999999</v>
      </c>
      <c r="AB35" s="104">
        <v>13.986000000000001</v>
      </c>
      <c r="AC35" s="104">
        <v>13.992000000000001</v>
      </c>
      <c r="AD35" s="104">
        <v>14.114000000000001</v>
      </c>
      <c r="AE35" s="104">
        <v>13.89</v>
      </c>
      <c r="AF35" s="104">
        <v>14.4</v>
      </c>
      <c r="AG35" s="130">
        <v>14.378</v>
      </c>
      <c r="AH35" s="186">
        <f t="shared" si="2"/>
        <v>-0.15277777777778567</v>
      </c>
      <c r="AI35" s="183" t="s">
        <v>55</v>
      </c>
      <c r="AJ35" s="3" t="s">
        <v>227</v>
      </c>
      <c r="AK35" s="3" t="s">
        <v>227</v>
      </c>
      <c r="AL35" s="3" t="s">
        <v>227</v>
      </c>
      <c r="AM35" s="3" t="s">
        <v>227</v>
      </c>
    </row>
    <row r="36" spans="1:39" ht="12.75" customHeight="1">
      <c r="A36" s="8"/>
      <c r="B36" s="345" t="s">
        <v>44</v>
      </c>
      <c r="C36" s="374">
        <v>84.2</v>
      </c>
      <c r="D36" s="374">
        <v>83.3</v>
      </c>
      <c r="E36" s="375">
        <v>75</v>
      </c>
      <c r="F36" s="375">
        <v>75.5</v>
      </c>
      <c r="G36" s="375">
        <v>76</v>
      </c>
      <c r="H36" s="376">
        <v>76.5</v>
      </c>
      <c r="I36" s="377">
        <f>74.5+2</f>
        <v>76.5</v>
      </c>
      <c r="J36" s="377">
        <f>73.8+2.1</f>
        <v>75.899999999999991</v>
      </c>
      <c r="K36" s="377">
        <f>76.6+2.1</f>
        <v>78.699999999999989</v>
      </c>
      <c r="L36" s="377">
        <f>78.6+2.1</f>
        <v>80.699999999999989</v>
      </c>
      <c r="M36" s="377">
        <f>80.1+2.2</f>
        <v>82.3</v>
      </c>
      <c r="N36" s="377">
        <f>83.6+2.2</f>
        <v>85.8</v>
      </c>
      <c r="O36" s="377">
        <f>86.3+2.3</f>
        <v>88.6</v>
      </c>
      <c r="P36" s="377">
        <f>88.5+2.3</f>
        <v>90.8</v>
      </c>
      <c r="Q36" s="377">
        <f>92.3+2.3</f>
        <v>94.6</v>
      </c>
      <c r="R36" s="377">
        <f>96.1+2.4</f>
        <v>98.5</v>
      </c>
      <c r="S36" s="377">
        <f>99.8+2.4</f>
        <v>102.2</v>
      </c>
      <c r="T36" s="377">
        <f>103+2.6</f>
        <v>105.6</v>
      </c>
      <c r="U36" s="377">
        <f>103.9+2.7</f>
        <v>106.60000000000001</v>
      </c>
      <c r="V36" s="377">
        <f>106.3+2.9</f>
        <v>109.2</v>
      </c>
      <c r="W36" s="377">
        <f>107.9+3</f>
        <v>110.9</v>
      </c>
      <c r="X36" s="377">
        <f>108.5+2.987</f>
        <v>111.48699999999999</v>
      </c>
      <c r="Y36" s="377">
        <f>108.5+3.035</f>
        <v>111.535</v>
      </c>
      <c r="Z36" s="377">
        <v>110.221</v>
      </c>
      <c r="AA36" s="377">
        <f>108+3.094</f>
        <v>111.09399999999999</v>
      </c>
      <c r="AB36" s="377">
        <f>108.3+3.315</f>
        <v>111.61499999999999</v>
      </c>
      <c r="AC36" s="377">
        <v>112.17100000000001</v>
      </c>
      <c r="AD36" s="377">
        <v>113.34</v>
      </c>
      <c r="AE36" s="377">
        <v>113.90900000000001</v>
      </c>
      <c r="AF36" s="389">
        <v>113.2</v>
      </c>
      <c r="AG36" s="378">
        <v>112.1</v>
      </c>
      <c r="AH36" s="348">
        <f t="shared" si="2"/>
        <v>-0.97173144876325068</v>
      </c>
      <c r="AI36" s="371" t="s">
        <v>44</v>
      </c>
      <c r="AJ36" s="372" t="s">
        <v>242</v>
      </c>
      <c r="AK36" s="69"/>
      <c r="AL36" s="69" t="s">
        <v>228</v>
      </c>
      <c r="AM36" s="69" t="s">
        <v>229</v>
      </c>
    </row>
    <row r="37" spans="1:39" ht="12.75" customHeight="1">
      <c r="A37" s="8"/>
      <c r="B37" s="10" t="s">
        <v>145</v>
      </c>
      <c r="C37" s="124"/>
      <c r="D37" s="124"/>
      <c r="E37" s="204"/>
      <c r="F37" s="204"/>
      <c r="G37" s="204"/>
      <c r="H37" s="204">
        <v>7.5819999999999999</v>
      </c>
      <c r="I37" s="104">
        <v>8.1489999999999991</v>
      </c>
      <c r="J37" s="104">
        <v>6.6509999999999998</v>
      </c>
      <c r="K37" s="104">
        <v>7.6120000000000001</v>
      </c>
      <c r="L37" s="104">
        <v>8.7469999999999999</v>
      </c>
      <c r="M37" s="104">
        <v>9.2270000000000003</v>
      </c>
      <c r="N37" s="104">
        <v>12.305999999999999</v>
      </c>
      <c r="O37" s="104">
        <v>16.806000000000001</v>
      </c>
      <c r="P37" s="104">
        <v>20.812999999999999</v>
      </c>
      <c r="Q37" s="104">
        <v>21.026</v>
      </c>
      <c r="R37" s="104">
        <v>21.693000000000001</v>
      </c>
      <c r="S37" s="104">
        <v>25.065999999999999</v>
      </c>
      <c r="T37" s="104">
        <v>29.452999999999999</v>
      </c>
      <c r="U37" s="104">
        <v>35.972999999999999</v>
      </c>
      <c r="V37" s="104">
        <v>29.506</v>
      </c>
      <c r="W37" s="234">
        <v>6.6449999999999996</v>
      </c>
      <c r="X37" s="104">
        <v>6.5940000000000003</v>
      </c>
      <c r="Y37" s="104">
        <v>7.032</v>
      </c>
      <c r="Z37" s="104">
        <v>6.6980000000000004</v>
      </c>
      <c r="AA37" s="104">
        <v>5.25</v>
      </c>
      <c r="AB37" s="104">
        <v>5.6760000000000002</v>
      </c>
      <c r="AC37" s="104">
        <v>6.048</v>
      </c>
      <c r="AD37" s="104">
        <v>6.423</v>
      </c>
      <c r="AE37" s="104">
        <v>7.05</v>
      </c>
      <c r="AF37" s="104">
        <v>6.7610000000000001</v>
      </c>
      <c r="AG37" s="130">
        <v>7.1459999999999999</v>
      </c>
      <c r="AH37" s="183">
        <f t="shared" si="2"/>
        <v>5.6944239017896621</v>
      </c>
      <c r="AI37" s="183" t="s">
        <v>145</v>
      </c>
      <c r="AJ37" s="372" t="s">
        <v>251</v>
      </c>
      <c r="AK37" s="3" t="s">
        <v>202</v>
      </c>
      <c r="AL37" s="3" t="s">
        <v>203</v>
      </c>
      <c r="AM37" s="3" t="s">
        <v>203</v>
      </c>
    </row>
    <row r="38" spans="1:39" ht="12.75" customHeight="1">
      <c r="A38" s="8"/>
      <c r="B38" s="119" t="s">
        <v>139</v>
      </c>
      <c r="C38" s="125"/>
      <c r="D38" s="125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>
        <v>1.2170000000000001</v>
      </c>
      <c r="AA38" s="127">
        <v>1.1990000000000001</v>
      </c>
      <c r="AB38" s="127">
        <v>1.246</v>
      </c>
      <c r="AC38" s="127">
        <v>1.2470000000000001</v>
      </c>
      <c r="AD38" s="127">
        <v>1.2609999999999999</v>
      </c>
      <c r="AE38" s="127">
        <v>1.3080000000000001</v>
      </c>
      <c r="AF38" s="127">
        <v>1.37</v>
      </c>
      <c r="AG38" s="129">
        <v>1.4590000000000001</v>
      </c>
      <c r="AH38" s="182">
        <f t="shared" si="2"/>
        <v>6.4963503649635044</v>
      </c>
      <c r="AI38" s="206" t="s">
        <v>139</v>
      </c>
      <c r="AJ38" s="372" t="s">
        <v>204</v>
      </c>
      <c r="AK38" s="2" t="s">
        <v>204</v>
      </c>
      <c r="AL38" s="6" t="s">
        <v>205</v>
      </c>
      <c r="AM38" s="6" t="s">
        <v>205</v>
      </c>
    </row>
    <row r="39" spans="1:39" ht="12.75" customHeight="1">
      <c r="A39" s="8"/>
      <c r="B39" s="10" t="s">
        <v>0</v>
      </c>
      <c r="C39" s="124"/>
      <c r="D39" s="124"/>
      <c r="E39" s="104">
        <v>2.3199999999999998</v>
      </c>
      <c r="F39" s="104">
        <v>2.5760000000000001</v>
      </c>
      <c r="G39" s="104">
        <v>2.8279999999999998</v>
      </c>
      <c r="H39" s="104">
        <v>2.9209999999999998</v>
      </c>
      <c r="I39" s="104">
        <v>2.4529999999999998</v>
      </c>
      <c r="J39" s="104">
        <v>2.5409999999999999</v>
      </c>
      <c r="K39" s="104">
        <v>2.4420000000000002</v>
      </c>
      <c r="L39" s="104">
        <v>2.4300000000000002</v>
      </c>
      <c r="M39" s="104">
        <v>2.4780000000000002</v>
      </c>
      <c r="N39" s="104">
        <v>2.4790000000000001</v>
      </c>
      <c r="O39" s="104">
        <v>2.4980000000000002</v>
      </c>
      <c r="P39" s="104">
        <v>2.62</v>
      </c>
      <c r="Q39" s="104">
        <v>2.4969999999999999</v>
      </c>
      <c r="R39" s="104">
        <v>2.4780000000000002</v>
      </c>
      <c r="S39" s="104">
        <v>2.1760000000000002</v>
      </c>
      <c r="T39" s="104">
        <v>2.2690000000000001</v>
      </c>
      <c r="U39" s="104">
        <v>2.2200000000000002</v>
      </c>
      <c r="V39" s="104">
        <f>2.284</f>
        <v>2.2839999999999998</v>
      </c>
      <c r="W39" s="104">
        <f>2.27</f>
        <v>2.27</v>
      </c>
      <c r="X39" s="104">
        <f>2.454</f>
        <v>2.4540000000000002</v>
      </c>
      <c r="Y39" s="104">
        <f>2.695</f>
        <v>2.6949999999999998</v>
      </c>
      <c r="Z39" s="104">
        <v>2.6360000000000001</v>
      </c>
      <c r="AA39" s="104">
        <v>2.7189999999999999</v>
      </c>
      <c r="AB39" s="104">
        <v>3.0219999999999998</v>
      </c>
      <c r="AC39" s="104">
        <v>3.1640000000000001</v>
      </c>
      <c r="AD39" s="104">
        <v>3.2429999999999999</v>
      </c>
      <c r="AE39" s="104">
        <v>3.23</v>
      </c>
      <c r="AF39" s="104">
        <v>3.1880000000000002</v>
      </c>
      <c r="AG39" s="130">
        <v>3.2010000000000001</v>
      </c>
      <c r="AH39" s="183">
        <f t="shared" si="2"/>
        <v>0.40777917189460311</v>
      </c>
      <c r="AI39" s="183" t="s">
        <v>0</v>
      </c>
      <c r="AJ39" s="372" t="s">
        <v>243</v>
      </c>
      <c r="AK39" s="146" t="s">
        <v>134</v>
      </c>
      <c r="AL39" s="3" t="s">
        <v>230</v>
      </c>
      <c r="AM39" s="2" t="s">
        <v>206</v>
      </c>
    </row>
    <row r="40" spans="1:39" ht="12.75" customHeight="1">
      <c r="A40" s="8"/>
      <c r="B40" s="119" t="s">
        <v>138</v>
      </c>
      <c r="C40" s="125"/>
      <c r="D40" s="125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>
        <v>9.2870000000000008</v>
      </c>
      <c r="Q40" s="127">
        <v>8.9109999999999996</v>
      </c>
      <c r="R40" s="127">
        <v>9.1440000000000001</v>
      </c>
      <c r="S40" s="127">
        <v>9.125</v>
      </c>
      <c r="T40" s="127">
        <v>9.6959999999999997</v>
      </c>
      <c r="U40" s="127">
        <v>9.3119999999999994</v>
      </c>
      <c r="V40" s="127">
        <v>8.8870000000000005</v>
      </c>
      <c r="W40" s="127">
        <v>8.5570000000000004</v>
      </c>
      <c r="X40" s="127">
        <v>8.8529999999999998</v>
      </c>
      <c r="Y40" s="127">
        <v>8.0340000000000007</v>
      </c>
      <c r="Z40" s="127">
        <v>8.8049999999999997</v>
      </c>
      <c r="AA40" s="127">
        <v>8.8339999999999996</v>
      </c>
      <c r="AB40" s="127">
        <v>9.0190000000000001</v>
      </c>
      <c r="AC40" s="127">
        <v>9.0440000000000005</v>
      </c>
      <c r="AD40" s="127">
        <v>9.4819999999999993</v>
      </c>
      <c r="AE40" s="127">
        <v>9.6259999999999994</v>
      </c>
      <c r="AF40" s="127">
        <v>9.9</v>
      </c>
      <c r="AG40" s="129">
        <v>9.8800000000000008</v>
      </c>
      <c r="AH40" s="182">
        <f t="shared" si="2"/>
        <v>-0.20202020202019355</v>
      </c>
      <c r="AI40" s="206" t="s">
        <v>138</v>
      </c>
      <c r="AJ40" s="3" t="s">
        <v>207</v>
      </c>
      <c r="AK40" s="3" t="s">
        <v>207</v>
      </c>
      <c r="AL40" s="3" t="s">
        <v>207</v>
      </c>
      <c r="AM40" s="3" t="s">
        <v>207</v>
      </c>
    </row>
    <row r="41" spans="1:39" ht="12.75" customHeight="1">
      <c r="A41" s="8"/>
      <c r="B41" s="11" t="s">
        <v>40</v>
      </c>
      <c r="C41" s="126"/>
      <c r="D41" s="126"/>
      <c r="E41" s="105">
        <v>188.09899999999999</v>
      </c>
      <c r="F41" s="105">
        <v>202.60499999999999</v>
      </c>
      <c r="G41" s="105">
        <v>220.904</v>
      </c>
      <c r="H41" s="105">
        <v>244.154</v>
      </c>
      <c r="I41" s="105">
        <v>253.96899999999999</v>
      </c>
      <c r="J41" s="105">
        <v>263.24799999999999</v>
      </c>
      <c r="K41" s="105">
        <v>277.67200000000003</v>
      </c>
      <c r="L41" s="105">
        <v>298.95299999999997</v>
      </c>
      <c r="M41" s="105">
        <v>319.85599999999999</v>
      </c>
      <c r="N41" s="105">
        <v>333.86900000000003</v>
      </c>
      <c r="O41" s="105">
        <v>354.339</v>
      </c>
      <c r="P41" s="105">
        <v>358.68700000000001</v>
      </c>
      <c r="Q41" s="105">
        <v>361.79700000000003</v>
      </c>
      <c r="R41" s="105">
        <f>245.394+123.5</f>
        <v>368.89400000000001</v>
      </c>
      <c r="S41" s="105">
        <f>318.954+152.712</f>
        <v>471.666</v>
      </c>
      <c r="T41" s="105">
        <f>338.539+163.39</f>
        <v>501.92899999999997</v>
      </c>
      <c r="U41" s="105">
        <f>357.523+175.949</f>
        <v>533.47199999999998</v>
      </c>
      <c r="V41" s="105">
        <f>372.601+189.128</f>
        <v>561.72900000000004</v>
      </c>
      <c r="W41" s="105">
        <f>383.548+199.934</f>
        <v>583.48199999999997</v>
      </c>
      <c r="X41" s="105">
        <f>384.053+201.033</f>
        <v>585.08600000000001</v>
      </c>
      <c r="Y41" s="105">
        <f>386.973+208.51</f>
        <v>595.48299999999995</v>
      </c>
      <c r="Z41" s="105">
        <v>609.34100000000001</v>
      </c>
      <c r="AA41" s="105">
        <f>396.119+235.949</f>
        <v>632.06799999999998</v>
      </c>
      <c r="AB41" s="105">
        <f>421.848+219.885</f>
        <v>641.73299999999995</v>
      </c>
      <c r="AC41" s="105">
        <v>638.46400000000006</v>
      </c>
      <c r="AD41" s="105">
        <v>666.26900000000001</v>
      </c>
      <c r="AE41" s="105">
        <v>684.29399999999998</v>
      </c>
      <c r="AF41" s="105">
        <v>700.5</v>
      </c>
      <c r="AG41" s="137">
        <v>706.05</v>
      </c>
      <c r="AH41" s="186">
        <f t="shared" si="2"/>
        <v>0.79229122055673429</v>
      </c>
      <c r="AI41" s="186" t="s">
        <v>40</v>
      </c>
      <c r="AJ41" s="146" t="s">
        <v>134</v>
      </c>
      <c r="AK41" s="146" t="s">
        <v>134</v>
      </c>
      <c r="AL41" s="2" t="s">
        <v>134</v>
      </c>
      <c r="AM41" s="2" t="s">
        <v>201</v>
      </c>
    </row>
    <row r="42" spans="1:39" ht="12.75" customHeight="1">
      <c r="A42" s="8"/>
      <c r="B42" s="119" t="s">
        <v>26</v>
      </c>
      <c r="C42" s="230"/>
      <c r="D42" s="230"/>
      <c r="E42" s="231">
        <v>1.3280000000000001</v>
      </c>
      <c r="F42" s="231">
        <v>1.389</v>
      </c>
      <c r="G42" s="231">
        <v>1.157</v>
      </c>
      <c r="H42" s="231">
        <v>1.1930000000000001</v>
      </c>
      <c r="I42" s="231">
        <v>1.2490000000000001</v>
      </c>
      <c r="J42" s="231">
        <v>1.2949999999999999</v>
      </c>
      <c r="K42" s="231">
        <v>1.363</v>
      </c>
      <c r="L42" s="231">
        <v>1.4830000000000001</v>
      </c>
      <c r="M42" s="231">
        <v>1.544</v>
      </c>
      <c r="N42" s="231">
        <v>1.621</v>
      </c>
      <c r="O42" s="231">
        <v>1.673</v>
      </c>
      <c r="P42" s="231">
        <v>1.7110000000000001</v>
      </c>
      <c r="Q42" s="231">
        <v>1.6990000000000001</v>
      </c>
      <c r="R42" s="231">
        <v>1.7090000000000001</v>
      </c>
      <c r="S42" s="231">
        <v>1.762</v>
      </c>
      <c r="T42" s="231">
        <v>1.899</v>
      </c>
      <c r="U42" s="231">
        <v>1.929</v>
      </c>
      <c r="V42" s="231">
        <v>1.9430000000000001</v>
      </c>
      <c r="W42" s="231">
        <v>1.9550000000000001</v>
      </c>
      <c r="X42" s="231">
        <v>1.8879999999999999</v>
      </c>
      <c r="Y42" s="231">
        <v>1.9159999999999999</v>
      </c>
      <c r="Z42" s="231">
        <v>1.972</v>
      </c>
      <c r="AA42" s="231">
        <v>2.0840000000000001</v>
      </c>
      <c r="AB42" s="328">
        <v>2.1789999999999998</v>
      </c>
      <c r="AC42" s="231">
        <v>2.2999999999999998</v>
      </c>
      <c r="AD42" s="328">
        <v>2.4630000000000001</v>
      </c>
      <c r="AE42" s="328">
        <v>2.8620000000000001</v>
      </c>
      <c r="AF42" s="328">
        <v>3.13</v>
      </c>
      <c r="AG42" s="129">
        <v>3.198</v>
      </c>
      <c r="AH42" s="182">
        <f t="shared" si="2"/>
        <v>2.1725239616613408</v>
      </c>
      <c r="AI42" s="206" t="s">
        <v>26</v>
      </c>
      <c r="AJ42" s="3" t="s">
        <v>231</v>
      </c>
      <c r="AK42" s="3" t="s">
        <v>231</v>
      </c>
      <c r="AL42" s="3" t="s">
        <v>231</v>
      </c>
      <c r="AM42" s="3" t="s">
        <v>231</v>
      </c>
    </row>
    <row r="43" spans="1:39" ht="12.75" customHeight="1">
      <c r="A43" s="8"/>
      <c r="B43" s="10" t="s">
        <v>56</v>
      </c>
      <c r="C43" s="124"/>
      <c r="D43" s="124"/>
      <c r="E43" s="104">
        <v>21.222000000000001</v>
      </c>
      <c r="F43" s="104">
        <v>23.288</v>
      </c>
      <c r="G43" s="104">
        <v>26.76</v>
      </c>
      <c r="H43" s="104">
        <v>29.134</v>
      </c>
      <c r="I43" s="104">
        <v>30.547000000000001</v>
      </c>
      <c r="J43" s="104">
        <v>32.515000000000001</v>
      </c>
      <c r="K43" s="104">
        <v>33.959000000000003</v>
      </c>
      <c r="L43" s="104">
        <v>35.170999999999999</v>
      </c>
      <c r="M43" s="104">
        <v>36.218000000000004</v>
      </c>
      <c r="N43" s="104">
        <v>37.039000000000001</v>
      </c>
      <c r="O43" s="104">
        <v>36.686</v>
      </c>
      <c r="P43" s="104">
        <v>35.667000000000002</v>
      </c>
      <c r="Q43" s="104">
        <v>34.11</v>
      </c>
      <c r="R43" s="104">
        <v>32.374000000000002</v>
      </c>
      <c r="S43" s="104">
        <v>30.591999999999999</v>
      </c>
      <c r="T43" s="104">
        <v>28.783000000000001</v>
      </c>
      <c r="U43" s="104">
        <v>26.954000000000001</v>
      </c>
      <c r="V43" s="104">
        <v>25.204000000000001</v>
      </c>
      <c r="W43" s="104">
        <v>23.324000000000002</v>
      </c>
      <c r="X43" s="104">
        <v>21.474</v>
      </c>
      <c r="Y43" s="104">
        <v>20.347999999999999</v>
      </c>
      <c r="Z43" s="104">
        <v>19.239999999999998</v>
      </c>
      <c r="AA43" s="104">
        <v>18.22</v>
      </c>
      <c r="AB43" s="104">
        <f>17.584</f>
        <v>17.584</v>
      </c>
      <c r="AC43" s="104">
        <v>17.111000000000001</v>
      </c>
      <c r="AD43" s="104">
        <v>16.667999999999999</v>
      </c>
      <c r="AE43" s="104">
        <v>16.257999999999999</v>
      </c>
      <c r="AF43" s="104">
        <v>16.041</v>
      </c>
      <c r="AG43" s="130">
        <v>15.634</v>
      </c>
      <c r="AH43" s="183">
        <f t="shared" si="2"/>
        <v>-2.5372483012281037</v>
      </c>
      <c r="AI43" s="183" t="s">
        <v>56</v>
      </c>
      <c r="AJ43" s="146" t="s">
        <v>134</v>
      </c>
      <c r="AK43" s="146" t="s">
        <v>134</v>
      </c>
      <c r="AL43" s="3" t="s">
        <v>208</v>
      </c>
      <c r="AM43" s="3" t="s">
        <v>208</v>
      </c>
    </row>
    <row r="44" spans="1:39" ht="12.75" customHeight="1">
      <c r="A44" s="8"/>
      <c r="B44" s="119" t="s">
        <v>27</v>
      </c>
      <c r="C44" s="125"/>
      <c r="D44" s="125"/>
      <c r="E44" s="127">
        <v>31.18</v>
      </c>
      <c r="F44" s="127">
        <v>32.968000000000004</v>
      </c>
      <c r="G44" s="127">
        <v>34.136000000000003</v>
      </c>
      <c r="H44" s="127">
        <v>34.851999999999997</v>
      </c>
      <c r="I44" s="127">
        <v>35.676000000000002</v>
      </c>
      <c r="J44" s="127">
        <v>36.517000000000003</v>
      </c>
      <c r="K44" s="127">
        <v>37.661999999999999</v>
      </c>
      <c r="L44" s="127">
        <v>38.508000000000003</v>
      </c>
      <c r="M44" s="127">
        <v>39.012</v>
      </c>
      <c r="N44" s="127">
        <v>39.692</v>
      </c>
      <c r="O44" s="127">
        <v>40.26</v>
      </c>
      <c r="P44" s="127">
        <v>41.341999999999999</v>
      </c>
      <c r="Q44" s="127">
        <v>42.401000000000003</v>
      </c>
      <c r="R44" s="127">
        <v>43.628999999999998</v>
      </c>
      <c r="S44" s="127">
        <v>44.783999999999999</v>
      </c>
      <c r="T44" s="127">
        <v>45.784999999999997</v>
      </c>
      <c r="U44" s="127">
        <v>46.445</v>
      </c>
      <c r="V44" s="127">
        <v>48.026000000000003</v>
      </c>
      <c r="W44" s="127">
        <v>48.536000000000001</v>
      </c>
      <c r="X44" s="127">
        <f>50.675</f>
        <v>50.674999999999997</v>
      </c>
      <c r="Y44" s="127">
        <v>52.750999999999998</v>
      </c>
      <c r="Z44" s="127">
        <v>55.421999999999997</v>
      </c>
      <c r="AA44" s="127">
        <v>58.3</v>
      </c>
      <c r="AB44" s="127">
        <v>60.151000000000003</v>
      </c>
      <c r="AC44" s="127">
        <v>62.436</v>
      </c>
      <c r="AD44" s="127">
        <v>65.72</v>
      </c>
      <c r="AE44" s="127">
        <v>69.676000000000002</v>
      </c>
      <c r="AF44" s="127">
        <v>73.813999999999993</v>
      </c>
      <c r="AG44" s="129">
        <v>77.984999999999999</v>
      </c>
      <c r="AH44" s="182">
        <f t="shared" si="2"/>
        <v>5.6506895710840723</v>
      </c>
      <c r="AI44" s="206" t="s">
        <v>27</v>
      </c>
      <c r="AJ44" s="6" t="s">
        <v>232</v>
      </c>
      <c r="AK44" s="6" t="s">
        <v>232</v>
      </c>
      <c r="AL44" s="6" t="s">
        <v>232</v>
      </c>
      <c r="AM44" s="6" t="s">
        <v>232</v>
      </c>
    </row>
    <row r="45" spans="1:39" ht="12.75" customHeight="1">
      <c r="A45" s="8"/>
      <c r="B45" s="10" t="s">
        <v>65</v>
      </c>
      <c r="C45" s="126"/>
      <c r="D45" s="126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>
        <f>0.225-0.122</f>
        <v>0.10300000000000001</v>
      </c>
      <c r="P45" s="105">
        <f>0.224-0.111</f>
        <v>0.113</v>
      </c>
      <c r="Q45" s="105">
        <f>0.224-0.121</f>
        <v>0.10300000000000001</v>
      </c>
      <c r="R45" s="105">
        <f>0.226-0.127</f>
        <v>9.9000000000000005E-2</v>
      </c>
      <c r="S45" s="105">
        <f>0.237-0.135</f>
        <v>0.10199999999999998</v>
      </c>
      <c r="T45" s="105">
        <f>0.247-0.142</f>
        <v>0.10500000000000001</v>
      </c>
      <c r="U45" s="105">
        <f>0.239-0.133</f>
        <v>0.10599999999999998</v>
      </c>
      <c r="V45" s="105">
        <f>0.246-0.145</f>
        <v>0.10100000000000001</v>
      </c>
      <c r="W45" s="105">
        <f>0.266-0.167</f>
        <v>9.9000000000000005E-2</v>
      </c>
      <c r="X45" s="105">
        <f>0.27-0.142-0.025</f>
        <v>0.10300000000000004</v>
      </c>
      <c r="Y45" s="105">
        <f>0.277-0.147-0.025</f>
        <v>0.10500000000000004</v>
      </c>
      <c r="Z45" s="105">
        <v>0.10499999999999998</v>
      </c>
      <c r="AA45" s="105">
        <f>0.057+0.029+0.019</f>
        <v>0.10500000000000001</v>
      </c>
      <c r="AB45" s="105">
        <f>0.059+0.023+0.019</f>
        <v>0.10099999999999999</v>
      </c>
      <c r="AC45" s="105">
        <v>0.10100000000000001</v>
      </c>
      <c r="AD45" s="105">
        <v>0.10299999999999999</v>
      </c>
      <c r="AE45" s="105">
        <v>9.8000000000000004E-2</v>
      </c>
      <c r="AF45" s="105">
        <v>0.1</v>
      </c>
      <c r="AG45" s="130">
        <v>9.9000000000000005E-2</v>
      </c>
      <c r="AH45" s="182">
        <f t="shared" si="2"/>
        <v>-1</v>
      </c>
      <c r="AI45" s="186" t="s">
        <v>65</v>
      </c>
      <c r="AJ45" s="146" t="s">
        <v>134</v>
      </c>
      <c r="AK45" s="146" t="s">
        <v>134</v>
      </c>
      <c r="AL45" s="2" t="s">
        <v>134</v>
      </c>
      <c r="AM45" s="2" t="s">
        <v>201</v>
      </c>
    </row>
    <row r="46" spans="1:39" ht="12.75" customHeight="1">
      <c r="A46" s="8"/>
      <c r="B46" s="1292" t="s">
        <v>254</v>
      </c>
      <c r="C46" s="1292"/>
      <c r="D46" s="1292"/>
      <c r="E46" s="1292"/>
      <c r="F46" s="1292"/>
      <c r="G46" s="1292"/>
      <c r="H46" s="1292"/>
      <c r="I46" s="1292"/>
      <c r="J46" s="1292"/>
      <c r="K46" s="1292"/>
      <c r="L46" s="1292"/>
      <c r="M46" s="1292"/>
      <c r="N46" s="1292"/>
      <c r="O46" s="1292"/>
      <c r="P46" s="1292"/>
      <c r="Q46" s="1292"/>
      <c r="R46" s="1292"/>
      <c r="S46" s="1292"/>
      <c r="T46" s="1292"/>
      <c r="U46" s="1292"/>
      <c r="V46" s="1292"/>
      <c r="W46" s="1292"/>
      <c r="X46" s="1292"/>
      <c r="Y46" s="1292"/>
      <c r="Z46" s="1292"/>
      <c r="AA46" s="1292"/>
      <c r="AB46" s="1292"/>
      <c r="AC46" s="1292"/>
      <c r="AD46" s="1292"/>
      <c r="AE46" s="1292"/>
      <c r="AF46" s="1292"/>
      <c r="AG46" s="1292"/>
      <c r="AH46" s="1292"/>
      <c r="AI46" s="1292"/>
    </row>
    <row r="47" spans="1:39" ht="12.75" customHeight="1">
      <c r="A47" s="8"/>
      <c r="B47" s="1294" t="s">
        <v>125</v>
      </c>
      <c r="C47" s="1295"/>
      <c r="D47" s="1295"/>
      <c r="E47" s="1295"/>
      <c r="F47" s="1295"/>
      <c r="G47" s="1295"/>
      <c r="H47" s="1295"/>
      <c r="I47" s="1295"/>
      <c r="J47" s="1295"/>
      <c r="K47" s="1295"/>
      <c r="L47" s="1295"/>
      <c r="M47" s="1295"/>
      <c r="N47" s="1295"/>
      <c r="O47" s="1295"/>
      <c r="P47" s="1295"/>
      <c r="Q47" s="1295"/>
      <c r="R47" s="1295"/>
      <c r="S47" s="1295"/>
      <c r="T47" s="1295"/>
      <c r="U47" s="1295"/>
      <c r="V47" s="1295"/>
      <c r="W47" s="1295"/>
      <c r="X47" s="1295"/>
      <c r="Y47" s="1295"/>
      <c r="Z47" s="1295"/>
      <c r="AA47" s="1295"/>
      <c r="AB47" s="1295"/>
      <c r="AC47" s="1295"/>
      <c r="AD47" s="1295"/>
      <c r="AE47" s="1295"/>
      <c r="AF47" s="1295"/>
      <c r="AG47" s="1295"/>
      <c r="AH47" s="1295"/>
      <c r="AI47" s="1295"/>
    </row>
    <row r="48" spans="1:39" ht="15.75" customHeight="1">
      <c r="B48" s="1289" t="s">
        <v>126</v>
      </c>
      <c r="C48" s="1289"/>
      <c r="D48" s="1289"/>
      <c r="E48" s="1289"/>
      <c r="F48" s="1289"/>
      <c r="G48" s="1289"/>
      <c r="H48" s="1289"/>
      <c r="I48" s="1289"/>
      <c r="J48" s="1289"/>
      <c r="K48" s="1289"/>
      <c r="L48" s="1289"/>
      <c r="M48" s="1289"/>
      <c r="N48" s="1289"/>
      <c r="O48" s="1289"/>
      <c r="P48" s="1289"/>
      <c r="Q48" s="1289"/>
      <c r="R48" s="1289"/>
      <c r="S48" s="1289"/>
      <c r="T48" s="1289"/>
      <c r="U48" s="1289"/>
      <c r="V48" s="1289"/>
      <c r="W48" s="1289"/>
      <c r="X48" s="1289"/>
      <c r="Y48" s="1289"/>
      <c r="Z48" s="1289"/>
      <c r="AA48" s="1289"/>
      <c r="AB48" s="1289"/>
      <c r="AC48" s="1289"/>
      <c r="AD48" s="1289"/>
      <c r="AE48" s="1289"/>
      <c r="AF48" s="1289"/>
      <c r="AG48" s="1289"/>
      <c r="AH48" s="1289"/>
      <c r="AI48" s="1289"/>
    </row>
    <row r="49" spans="2:37" ht="12.75" customHeight="1">
      <c r="B49" s="1295" t="s">
        <v>252</v>
      </c>
      <c r="C49" s="1295"/>
      <c r="D49" s="1295"/>
      <c r="E49" s="1295"/>
      <c r="F49" s="1295"/>
      <c r="G49" s="1295"/>
      <c r="H49" s="1295"/>
      <c r="I49" s="1295"/>
      <c r="J49" s="1295"/>
      <c r="K49" s="1295"/>
      <c r="L49" s="1295"/>
      <c r="M49" s="1295"/>
      <c r="N49" s="1295"/>
      <c r="O49" s="1295"/>
      <c r="P49" s="1295"/>
      <c r="Q49" s="1295"/>
      <c r="R49" s="1295"/>
      <c r="S49" s="1295"/>
      <c r="T49" s="1295"/>
      <c r="U49" s="1295"/>
      <c r="V49" s="1295"/>
      <c r="W49" s="1295"/>
      <c r="X49" s="1295"/>
      <c r="Y49" s="1295"/>
      <c r="Z49" s="1295"/>
      <c r="AA49" s="1295"/>
      <c r="AB49" s="1295"/>
      <c r="AC49" s="1295"/>
      <c r="AD49" s="1295"/>
      <c r="AE49" s="1295"/>
      <c r="AF49" s="1295"/>
      <c r="AG49" s="1295"/>
      <c r="AH49" s="1295"/>
      <c r="AI49" s="1295"/>
    </row>
    <row r="50" spans="2:37" ht="12.75" customHeight="1">
      <c r="AC50" s="36"/>
      <c r="AD50" s="3" t="s">
        <v>240</v>
      </c>
    </row>
    <row r="51" spans="2:37">
      <c r="B51" s="3" t="s">
        <v>249</v>
      </c>
      <c r="AD51" s="3">
        <v>2014</v>
      </c>
      <c r="AE51" s="3">
        <v>2015</v>
      </c>
      <c r="AF51" s="3">
        <v>2016</v>
      </c>
      <c r="AG51" s="3">
        <v>2017</v>
      </c>
      <c r="AK51" s="3">
        <v>2018</v>
      </c>
    </row>
    <row r="52" spans="2:37">
      <c r="B52" s="3" t="s">
        <v>253</v>
      </c>
      <c r="AD52" s="104">
        <v>16.77</v>
      </c>
      <c r="AE52" s="104">
        <v>17.067</v>
      </c>
      <c r="AF52" s="104">
        <v>15.967000000000001</v>
      </c>
      <c r="AG52" s="130">
        <v>15.984</v>
      </c>
      <c r="AH52" s="20">
        <f>AE52/AD52*100-100</f>
        <v>1.7710196779964207</v>
      </c>
      <c r="AI52" s="20">
        <f>AF52/AE52*100-100</f>
        <v>-6.4451866174488686</v>
      </c>
      <c r="AJ52" s="372">
        <f>AG52/AF52*100-100</f>
        <v>0.10646959353665864</v>
      </c>
      <c r="AK52" s="373">
        <f>AG52+AG52*AJ52/100</f>
        <v>16.001018099830901</v>
      </c>
    </row>
    <row r="53" spans="2:37">
      <c r="AE53" s="3">
        <f>AD52+AD52*AH52/100</f>
        <v>17.067</v>
      </c>
    </row>
  </sheetData>
  <mergeCells count="7">
    <mergeCell ref="B47:AI47"/>
    <mergeCell ref="B48:AI48"/>
    <mergeCell ref="B49:AI49"/>
    <mergeCell ref="B1:C1"/>
    <mergeCell ref="B2:AI2"/>
    <mergeCell ref="B3:AI3"/>
    <mergeCell ref="B46:AI46"/>
  </mergeCells>
  <phoneticPr fontId="9" type="noConversion"/>
  <printOptions horizontalCentered="1"/>
  <pageMargins left="0.39" right="0.39" top="0.51181102362204722" bottom="0.27559055118110237" header="0" footer="0"/>
  <pageSetup paperSize="9" scale="8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53"/>
  <sheetViews>
    <sheetView workbookViewId="0">
      <selection activeCell="O7" sqref="O7"/>
    </sheetView>
  </sheetViews>
  <sheetFormatPr defaultRowHeight="11.25"/>
  <cols>
    <col min="1" max="1" width="3.7109375" style="3" customWidth="1"/>
    <col min="2" max="2" width="4.42578125" style="3" customWidth="1"/>
    <col min="3" max="12" width="6.7109375" style="2" customWidth="1"/>
    <col min="13" max="13" width="6.5703125" style="2" customWidth="1"/>
    <col min="14" max="20" width="6.7109375" style="2" customWidth="1"/>
    <col min="21" max="25" width="7.28515625" style="2" customWidth="1"/>
    <col min="26" max="33" width="7" style="3" customWidth="1"/>
    <col min="34" max="34" width="7.5703125" style="3" customWidth="1"/>
    <col min="35" max="35" width="7.42578125" style="3" customWidth="1"/>
    <col min="36" max="37" width="7.140625" style="3" customWidth="1"/>
    <col min="38" max="38" width="7" style="20" customWidth="1"/>
    <col min="39" max="39" width="4.7109375" style="3" customWidth="1"/>
    <col min="40" max="16384" width="9.140625" style="3"/>
  </cols>
  <sheetData>
    <row r="1" spans="1:39" ht="14.25" customHeight="1">
      <c r="B1" s="1286"/>
      <c r="C1" s="1286"/>
      <c r="D1" s="6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T1" s="33"/>
      <c r="AM1" s="33" t="s">
        <v>104</v>
      </c>
    </row>
    <row r="2" spans="1:39" s="48" customFormat="1" ht="30" customHeight="1">
      <c r="B2" s="1287" t="s">
        <v>259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  <c r="AD2" s="1287"/>
      <c r="AE2" s="1287"/>
      <c r="AF2" s="1287"/>
      <c r="AG2" s="1287"/>
      <c r="AH2" s="1287"/>
      <c r="AI2" s="1287"/>
      <c r="AJ2" s="1287"/>
      <c r="AK2" s="1287"/>
      <c r="AL2" s="1287"/>
      <c r="AM2" s="1287"/>
    </row>
    <row r="3" spans="1:39" ht="15" customHeight="1">
      <c r="B3" s="1297" t="s">
        <v>87</v>
      </c>
      <c r="C3" s="1297"/>
      <c r="D3" s="1297"/>
      <c r="E3" s="1297"/>
      <c r="F3" s="1297"/>
      <c r="G3" s="1297"/>
      <c r="H3" s="1297"/>
      <c r="I3" s="1297"/>
      <c r="J3" s="1297"/>
      <c r="K3" s="1297"/>
      <c r="L3" s="1297"/>
      <c r="M3" s="1297"/>
      <c r="N3" s="1297"/>
      <c r="O3" s="1297"/>
      <c r="P3" s="1297"/>
      <c r="Q3" s="1297"/>
      <c r="R3" s="1297"/>
      <c r="S3" s="1297"/>
      <c r="T3" s="1297"/>
      <c r="U3" s="1297"/>
      <c r="V3" s="1297"/>
      <c r="W3" s="1297"/>
      <c r="X3" s="1297"/>
      <c r="Y3" s="1297"/>
      <c r="Z3" s="1297"/>
      <c r="AA3" s="1297"/>
      <c r="AB3" s="1297"/>
      <c r="AC3" s="1297"/>
      <c r="AD3" s="1297"/>
      <c r="AE3" s="1297"/>
      <c r="AF3" s="1297"/>
      <c r="AG3" s="1297"/>
      <c r="AH3" s="1297"/>
      <c r="AI3" s="1297"/>
      <c r="AJ3" s="1297"/>
      <c r="AK3" s="1297"/>
      <c r="AL3" s="1297"/>
      <c r="AM3" s="1297"/>
    </row>
    <row r="4" spans="1:39" ht="12.75" customHeight="1">
      <c r="B4" s="4"/>
      <c r="C4" s="4"/>
      <c r="E4" s="123"/>
      <c r="F4" s="123"/>
      <c r="G4" s="123"/>
      <c r="H4" s="123"/>
      <c r="I4" s="123"/>
      <c r="J4" s="21"/>
      <c r="K4" s="21"/>
      <c r="L4" s="21"/>
      <c r="M4" s="21"/>
      <c r="N4" s="21"/>
      <c r="O4" s="21"/>
      <c r="W4" s="31"/>
      <c r="Y4" s="49"/>
      <c r="AG4" s="31"/>
      <c r="AH4" s="559"/>
      <c r="AK4" s="49" t="s">
        <v>1</v>
      </c>
      <c r="AM4" s="34"/>
    </row>
    <row r="5" spans="1:39" ht="20.100000000000001" customHeight="1">
      <c r="B5" s="4"/>
      <c r="C5" s="74">
        <v>1970</v>
      </c>
      <c r="D5" s="85">
        <v>1980</v>
      </c>
      <c r="E5" s="74">
        <v>1990</v>
      </c>
      <c r="F5" s="75">
        <v>1991</v>
      </c>
      <c r="G5" s="75">
        <v>1992</v>
      </c>
      <c r="H5" s="75">
        <v>1993</v>
      </c>
      <c r="I5" s="75">
        <v>1994</v>
      </c>
      <c r="J5" s="75">
        <v>1995</v>
      </c>
      <c r="K5" s="75">
        <v>1996</v>
      </c>
      <c r="L5" s="75">
        <v>1997</v>
      </c>
      <c r="M5" s="75">
        <v>1998</v>
      </c>
      <c r="N5" s="75">
        <v>1999</v>
      </c>
      <c r="O5" s="75">
        <v>2000</v>
      </c>
      <c r="P5" s="75">
        <v>2001</v>
      </c>
      <c r="Q5" s="75">
        <v>2002</v>
      </c>
      <c r="R5" s="75">
        <v>2003</v>
      </c>
      <c r="S5" s="75">
        <v>2004</v>
      </c>
      <c r="T5" s="75">
        <v>2005</v>
      </c>
      <c r="U5" s="75">
        <v>2006</v>
      </c>
      <c r="V5" s="75">
        <v>2007</v>
      </c>
      <c r="W5" s="75">
        <v>2008</v>
      </c>
      <c r="X5" s="75">
        <v>2009</v>
      </c>
      <c r="Y5" s="75">
        <v>2010</v>
      </c>
      <c r="Z5" s="75">
        <v>2011</v>
      </c>
      <c r="AA5" s="75">
        <v>2012</v>
      </c>
      <c r="AB5" s="75">
        <v>2013</v>
      </c>
      <c r="AC5" s="75">
        <v>2014</v>
      </c>
      <c r="AD5" s="75">
        <v>2015</v>
      </c>
      <c r="AE5" s="75">
        <v>2016</v>
      </c>
      <c r="AF5" s="75">
        <v>2017</v>
      </c>
      <c r="AG5" s="75">
        <v>2018</v>
      </c>
      <c r="AH5" s="75">
        <v>2019</v>
      </c>
      <c r="AI5" s="75">
        <v>2020</v>
      </c>
      <c r="AJ5" s="75">
        <v>2021</v>
      </c>
      <c r="AK5" s="343">
        <v>2022</v>
      </c>
      <c r="AL5" s="478" t="s">
        <v>342</v>
      </c>
      <c r="AM5" s="6"/>
    </row>
    <row r="6" spans="1:39" ht="9.9499999999999993" customHeight="1">
      <c r="B6" s="4"/>
      <c r="C6" s="106"/>
      <c r="D6" s="86"/>
      <c r="E6" s="106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196"/>
      <c r="Z6" s="197"/>
      <c r="AA6" s="197"/>
      <c r="AB6" s="196"/>
      <c r="AC6" s="196"/>
      <c r="AD6" s="196"/>
      <c r="AE6" s="196"/>
      <c r="AF6" s="196"/>
      <c r="AG6" s="197"/>
      <c r="AH6" s="196"/>
      <c r="AI6" s="196"/>
      <c r="AJ6" s="197"/>
      <c r="AK6" s="117"/>
      <c r="AL6" s="1046" t="s">
        <v>80</v>
      </c>
      <c r="AM6" s="6"/>
    </row>
    <row r="7" spans="1:39" ht="9.9499999999999993" customHeight="1">
      <c r="B7" s="348" t="s">
        <v>238</v>
      </c>
      <c r="C7" s="349"/>
      <c r="D7" s="347"/>
      <c r="E7" s="477">
        <v>665.30600000000015</v>
      </c>
      <c r="F7" s="477">
        <v>661.3475333333331</v>
      </c>
      <c r="G7" s="477">
        <v>666.05206666666652</v>
      </c>
      <c r="H7" s="477">
        <v>671.50459999999975</v>
      </c>
      <c r="I7" s="477">
        <v>675.88780000000008</v>
      </c>
      <c r="J7" s="477">
        <v>678.38199999999995</v>
      </c>
      <c r="K7" s="477">
        <v>682.66200000000003</v>
      </c>
      <c r="L7" s="477">
        <v>679.05100000000004</v>
      </c>
      <c r="M7" s="477">
        <v>680.13800000000015</v>
      </c>
      <c r="N7" s="477">
        <v>684.37199999999996</v>
      </c>
      <c r="O7" s="477">
        <v>693.13100000000009</v>
      </c>
      <c r="P7" s="477">
        <v>698.23399999999992</v>
      </c>
      <c r="Q7" s="477">
        <v>704.06499999999983</v>
      </c>
      <c r="R7" s="477">
        <v>706.66899999999998</v>
      </c>
      <c r="S7" s="477">
        <v>697.9530000000002</v>
      </c>
      <c r="T7" s="477">
        <v>689.84800000000007</v>
      </c>
      <c r="U7" s="477">
        <v>686.37600000000009</v>
      </c>
      <c r="V7" s="477">
        <v>690.99000000000012</v>
      </c>
      <c r="W7" s="477">
        <v>708.06299999999987</v>
      </c>
      <c r="X7" s="477">
        <v>708.98300000000017</v>
      </c>
      <c r="Y7" s="477">
        <v>707.82599999999991</v>
      </c>
      <c r="Z7" s="477">
        <v>710.35399999999993</v>
      </c>
      <c r="AA7" s="477">
        <v>706.21299999999985</v>
      </c>
      <c r="AB7" s="477">
        <v>701.89</v>
      </c>
      <c r="AC7" s="477">
        <v>705.524</v>
      </c>
      <c r="AD7" s="477">
        <v>716.88400000000001</v>
      </c>
      <c r="AE7" s="477">
        <v>725.57399999999996</v>
      </c>
      <c r="AF7" s="477">
        <v>736.16399999999999</v>
      </c>
      <c r="AG7" s="477">
        <v>749.053</v>
      </c>
      <c r="AH7" s="477">
        <v>762.721</v>
      </c>
      <c r="AI7" s="477">
        <v>741.98399999999992</v>
      </c>
      <c r="AJ7" s="477">
        <v>752.68300000000011</v>
      </c>
      <c r="AK7" s="477">
        <v>762.54</v>
      </c>
      <c r="AL7" s="348">
        <v>1.3095818558410315</v>
      </c>
      <c r="AM7" s="348" t="s">
        <v>238</v>
      </c>
    </row>
    <row r="8" spans="1:39" ht="12.75" customHeight="1">
      <c r="B8" s="10" t="s">
        <v>45</v>
      </c>
      <c r="C8" s="331">
        <v>16.169</v>
      </c>
      <c r="D8" s="331">
        <v>17.175999999999998</v>
      </c>
      <c r="E8" s="104">
        <v>15.644</v>
      </c>
      <c r="F8" s="104">
        <v>15.378</v>
      </c>
      <c r="G8" s="104">
        <v>14.93</v>
      </c>
      <c r="H8" s="104">
        <v>14.794</v>
      </c>
      <c r="I8" s="104">
        <v>14.88</v>
      </c>
      <c r="J8" s="104">
        <v>14.667</v>
      </c>
      <c r="K8" s="104">
        <v>14.66</v>
      </c>
      <c r="L8" s="104">
        <v>14.667</v>
      </c>
      <c r="M8" s="104">
        <v>14.587999999999999</v>
      </c>
      <c r="N8" s="104">
        <v>14.673</v>
      </c>
      <c r="O8" s="104">
        <v>14.722</v>
      </c>
      <c r="P8" s="104">
        <v>14.676</v>
      </c>
      <c r="Q8" s="104">
        <v>14.769</v>
      </c>
      <c r="R8" s="104">
        <v>15.06</v>
      </c>
      <c r="S8" s="104">
        <v>15.327999999999999</v>
      </c>
      <c r="T8" s="104">
        <v>15.391</v>
      </c>
      <c r="U8" s="104">
        <v>15.329000000000001</v>
      </c>
      <c r="V8" s="412">
        <v>15.478999999999999</v>
      </c>
      <c r="W8" s="410">
        <v>15.992000000000001</v>
      </c>
      <c r="X8" s="104">
        <v>16.061</v>
      </c>
      <c r="Y8" s="104">
        <v>16.225999999999999</v>
      </c>
      <c r="Z8" s="104">
        <v>16.100000000000001</v>
      </c>
      <c r="AA8" s="104">
        <v>16.030999999999999</v>
      </c>
      <c r="AB8" s="104">
        <v>16.268999999999998</v>
      </c>
      <c r="AC8" s="104">
        <v>16.786000000000001</v>
      </c>
      <c r="AD8" s="104">
        <v>17.077000000000002</v>
      </c>
      <c r="AE8" s="104">
        <v>15.981</v>
      </c>
      <c r="AF8" s="104">
        <v>16.001000000000001</v>
      </c>
      <c r="AG8" s="102">
        <v>16.181999999999999</v>
      </c>
      <c r="AH8" s="104">
        <v>16.443000000000001</v>
      </c>
      <c r="AI8" s="104">
        <v>16.477</v>
      </c>
      <c r="AJ8" s="102">
        <v>16.616</v>
      </c>
      <c r="AK8" s="130">
        <v>16.391999999999999</v>
      </c>
      <c r="AL8" s="390">
        <v>-1.3480982185845107</v>
      </c>
      <c r="AM8" s="183" t="s">
        <v>45</v>
      </c>
    </row>
    <row r="9" spans="1:39" ht="12.75" customHeight="1">
      <c r="B9" s="119" t="s">
        <v>28</v>
      </c>
      <c r="C9" s="330"/>
      <c r="D9" s="330">
        <v>21</v>
      </c>
      <c r="E9" s="127">
        <v>34.599999999999994</v>
      </c>
      <c r="F9" s="127">
        <v>36.4</v>
      </c>
      <c r="G9" s="127">
        <v>37.9</v>
      </c>
      <c r="H9" s="127">
        <v>40.099999999999994</v>
      </c>
      <c r="I9" s="127">
        <v>41.432000000000002</v>
      </c>
      <c r="J9" s="127">
        <v>41.838999999999999</v>
      </c>
      <c r="K9" s="127">
        <v>41.642000000000003</v>
      </c>
      <c r="L9" s="127">
        <v>41.201999999999998</v>
      </c>
      <c r="M9" s="127">
        <v>42.264000000000003</v>
      </c>
      <c r="N9" s="127">
        <v>42.720999999999997</v>
      </c>
      <c r="O9" s="127">
        <v>43.005000000000003</v>
      </c>
      <c r="P9" s="127">
        <v>43.566000000000003</v>
      </c>
      <c r="Q9" s="127">
        <v>43.86</v>
      </c>
      <c r="R9" s="184">
        <v>44.3</v>
      </c>
      <c r="S9" s="127">
        <v>36.6</v>
      </c>
      <c r="T9" s="184">
        <v>37.799999999999997</v>
      </c>
      <c r="U9" s="127">
        <v>22.8</v>
      </c>
      <c r="V9" s="127">
        <v>23.9</v>
      </c>
      <c r="W9" s="127">
        <v>25.2</v>
      </c>
      <c r="X9" s="127">
        <v>25.1</v>
      </c>
      <c r="Y9" s="127">
        <v>24.5</v>
      </c>
      <c r="Z9" s="127">
        <v>23.651</v>
      </c>
      <c r="AA9" s="127">
        <v>23.289000000000001</v>
      </c>
      <c r="AB9" s="127">
        <v>23.3</v>
      </c>
      <c r="AC9" s="127">
        <v>23.6</v>
      </c>
      <c r="AD9" s="127">
        <v>24.1</v>
      </c>
      <c r="AE9" s="127">
        <v>23.4</v>
      </c>
      <c r="AF9" s="127">
        <v>21</v>
      </c>
      <c r="AG9" s="127">
        <v>20.818000000000001</v>
      </c>
      <c r="AH9" s="127">
        <v>20.687000000000001</v>
      </c>
      <c r="AI9" s="127">
        <v>19.45</v>
      </c>
      <c r="AJ9" s="127">
        <v>17.731000000000002</v>
      </c>
      <c r="AK9" s="129">
        <v>17.963000000000001</v>
      </c>
      <c r="AL9" s="182">
        <v>1.3084428402233357</v>
      </c>
      <c r="AM9" s="182" t="s">
        <v>28</v>
      </c>
    </row>
    <row r="10" spans="1:39" ht="12.75" customHeight="1">
      <c r="A10" s="8"/>
      <c r="B10" s="10" t="s">
        <v>30</v>
      </c>
      <c r="C10" s="331"/>
      <c r="D10" s="331">
        <v>20.3</v>
      </c>
      <c r="E10" s="104">
        <v>20.474</v>
      </c>
      <c r="F10" s="204">
        <v>20.050333333333334</v>
      </c>
      <c r="G10" s="204">
        <v>19.626666666666665</v>
      </c>
      <c r="H10" s="104">
        <v>19.202999999999999</v>
      </c>
      <c r="I10" s="104">
        <v>19.756</v>
      </c>
      <c r="J10" s="104">
        <v>20.474</v>
      </c>
      <c r="K10" s="104">
        <v>21.2</v>
      </c>
      <c r="L10" s="104">
        <v>21.475999999999999</v>
      </c>
      <c r="M10" s="104">
        <v>20.667999999999999</v>
      </c>
      <c r="N10" s="104">
        <v>19.702000000000002</v>
      </c>
      <c r="O10" s="104">
        <v>18.986000000000001</v>
      </c>
      <c r="P10" s="104">
        <v>19.123000000000001</v>
      </c>
      <c r="Q10" s="104">
        <v>22.065999999999999</v>
      </c>
      <c r="R10" s="104">
        <v>21.349999999999998</v>
      </c>
      <c r="S10" s="104">
        <v>20.673999999999999</v>
      </c>
      <c r="T10" s="104">
        <v>20.853000000000002</v>
      </c>
      <c r="U10" s="104">
        <v>21.074999999999999</v>
      </c>
      <c r="V10" s="104">
        <v>21.155999999999999</v>
      </c>
      <c r="W10" s="104">
        <v>21.113</v>
      </c>
      <c r="X10" s="104">
        <v>20.676000000000002</v>
      </c>
      <c r="Y10" s="104">
        <v>20.387999999999998</v>
      </c>
      <c r="Z10" s="104">
        <v>20.402000000000001</v>
      </c>
      <c r="AA10" s="104">
        <v>20.610000000000003</v>
      </c>
      <c r="AB10" s="104">
        <v>20.318000000000001</v>
      </c>
      <c r="AC10" s="104">
        <v>20.510999999999999</v>
      </c>
      <c r="AD10" s="104">
        <v>20.666999999999998</v>
      </c>
      <c r="AE10" s="104">
        <v>20.876000000000001</v>
      </c>
      <c r="AF10" s="104">
        <v>21.4</v>
      </c>
      <c r="AG10" s="104">
        <v>22.027000000000001</v>
      </c>
      <c r="AH10" s="104">
        <v>22.206</v>
      </c>
      <c r="AI10" s="104">
        <v>19.968</v>
      </c>
      <c r="AJ10" s="104">
        <v>20.555</v>
      </c>
      <c r="AK10" s="130">
        <v>21.523</v>
      </c>
      <c r="AL10" s="183">
        <v>4.7093164680126449</v>
      </c>
      <c r="AM10" s="183" t="s">
        <v>30</v>
      </c>
    </row>
    <row r="11" spans="1:39" ht="12.75" customHeight="1">
      <c r="A11" s="8"/>
      <c r="B11" s="119" t="s">
        <v>41</v>
      </c>
      <c r="C11" s="330">
        <v>5.0389999999999997</v>
      </c>
      <c r="D11" s="330">
        <v>7.351</v>
      </c>
      <c r="E11" s="127">
        <v>8.109</v>
      </c>
      <c r="F11" s="127">
        <v>9.9890000000000008</v>
      </c>
      <c r="G11" s="127">
        <v>11.259</v>
      </c>
      <c r="H11" s="127">
        <v>12.976000000000001</v>
      </c>
      <c r="I11" s="127">
        <v>13.614000000000001</v>
      </c>
      <c r="J11" s="127">
        <v>13.669</v>
      </c>
      <c r="K11" s="127">
        <v>13.786</v>
      </c>
      <c r="L11" s="127">
        <v>13.779</v>
      </c>
      <c r="M11" s="127">
        <v>13.911</v>
      </c>
      <c r="N11" s="127">
        <v>13.909000000000001</v>
      </c>
      <c r="O11" s="127">
        <v>13.968</v>
      </c>
      <c r="P11" s="127">
        <v>13.954000000000001</v>
      </c>
      <c r="Q11" s="127">
        <v>13.986000000000001</v>
      </c>
      <c r="R11" s="127">
        <v>14.132</v>
      </c>
      <c r="S11" s="127">
        <v>14.191000000000001</v>
      </c>
      <c r="T11" s="127">
        <v>14.401999999999999</v>
      </c>
      <c r="U11" s="127">
        <v>14.552</v>
      </c>
      <c r="V11" s="127">
        <v>14.481999999999999</v>
      </c>
      <c r="W11" s="127">
        <v>14.452</v>
      </c>
      <c r="X11" s="127">
        <v>14.51</v>
      </c>
      <c r="Y11" s="127">
        <v>14.496</v>
      </c>
      <c r="Z11" s="127">
        <v>14.013999999999999</v>
      </c>
      <c r="AA11" s="127">
        <v>13.484999999999999</v>
      </c>
      <c r="AB11" s="127">
        <v>13.27</v>
      </c>
      <c r="AC11" s="127">
        <v>13.407999999999999</v>
      </c>
      <c r="AD11" s="127">
        <v>13.382999999999999</v>
      </c>
      <c r="AE11" s="127">
        <v>13.417</v>
      </c>
      <c r="AF11" s="127">
        <v>13.5</v>
      </c>
      <c r="AG11" s="127">
        <v>13.157999999999999</v>
      </c>
      <c r="AH11" s="127">
        <v>13.003</v>
      </c>
      <c r="AI11" s="127">
        <v>12.298</v>
      </c>
      <c r="AJ11" s="127">
        <v>11.923</v>
      </c>
      <c r="AK11" s="129">
        <v>11.377000000000001</v>
      </c>
      <c r="AL11" s="182">
        <v>-4.5793843831250456</v>
      </c>
      <c r="AM11" s="182" t="s">
        <v>41</v>
      </c>
    </row>
    <row r="12" spans="1:39" ht="12.75" customHeight="1">
      <c r="A12" s="8"/>
      <c r="B12" s="10" t="s">
        <v>46</v>
      </c>
      <c r="C12" s="331">
        <v>63.939</v>
      </c>
      <c r="D12" s="331">
        <v>95.757999999999996</v>
      </c>
      <c r="E12" s="104">
        <v>100.37</v>
      </c>
      <c r="F12" s="104">
        <v>89.59</v>
      </c>
      <c r="G12" s="104">
        <v>88.433000000000007</v>
      </c>
      <c r="H12" s="104">
        <v>88.745999999999995</v>
      </c>
      <c r="I12" s="104">
        <v>87.421000000000006</v>
      </c>
      <c r="J12" s="104">
        <v>85.433999999999997</v>
      </c>
      <c r="K12" s="185">
        <v>84.653999999999996</v>
      </c>
      <c r="L12" s="104">
        <v>75.453000000000003</v>
      </c>
      <c r="M12" s="104">
        <v>75.593999999999994</v>
      </c>
      <c r="N12" s="104">
        <v>76.63</v>
      </c>
      <c r="O12" s="104">
        <v>77.183000000000007</v>
      </c>
      <c r="P12" s="104">
        <v>77.088999999999999</v>
      </c>
      <c r="Q12" s="104">
        <v>77.06</v>
      </c>
      <c r="R12" s="104">
        <v>76.664000000000001</v>
      </c>
      <c r="S12" s="104">
        <v>76.028000000000006</v>
      </c>
      <c r="T12" s="104">
        <v>75.203000000000003</v>
      </c>
      <c r="U12" s="104">
        <v>75.084999999999994</v>
      </c>
      <c r="V12" s="104">
        <v>75.067999999999998</v>
      </c>
      <c r="W12" s="104">
        <v>75.27</v>
      </c>
      <c r="X12" s="104">
        <v>76.433000000000007</v>
      </c>
      <c r="Y12" s="104">
        <v>76.462999999999994</v>
      </c>
      <c r="Z12" s="104">
        <v>75.988</v>
      </c>
      <c r="AA12" s="104">
        <v>76.022999999999996</v>
      </c>
      <c r="AB12" s="104">
        <v>76.793999999999997</v>
      </c>
      <c r="AC12" s="104">
        <v>77.501000000000005</v>
      </c>
      <c r="AD12" s="104">
        <v>78.344999999999999</v>
      </c>
      <c r="AE12" s="104">
        <v>78.948999999999998</v>
      </c>
      <c r="AF12" s="104">
        <v>79.400000000000006</v>
      </c>
      <c r="AG12" s="104">
        <v>80.519000000000005</v>
      </c>
      <c r="AH12" s="104">
        <v>81.364000000000004</v>
      </c>
      <c r="AI12" s="104">
        <v>75.548000000000002</v>
      </c>
      <c r="AJ12" s="104">
        <v>80.224999999999994</v>
      </c>
      <c r="AK12" s="130">
        <v>82.932000000000002</v>
      </c>
      <c r="AL12" s="183">
        <v>3.3742598940480093</v>
      </c>
      <c r="AM12" s="183" t="s">
        <v>46</v>
      </c>
    </row>
    <row r="13" spans="1:39" ht="12.75" customHeight="1">
      <c r="A13" s="8"/>
      <c r="B13" s="119" t="s">
        <v>31</v>
      </c>
      <c r="C13" s="330"/>
      <c r="D13" s="330">
        <v>6.4</v>
      </c>
      <c r="E13" s="127">
        <v>7.9</v>
      </c>
      <c r="F13" s="127">
        <v>8.6</v>
      </c>
      <c r="G13" s="127">
        <v>8.4</v>
      </c>
      <c r="H13" s="127">
        <v>8.6999999999999993</v>
      </c>
      <c r="I13" s="127">
        <v>6.3</v>
      </c>
      <c r="J13" s="127">
        <v>7</v>
      </c>
      <c r="K13" s="127">
        <v>6.7</v>
      </c>
      <c r="L13" s="127">
        <v>6.5</v>
      </c>
      <c r="M13" s="127">
        <v>6.3</v>
      </c>
      <c r="N13" s="127">
        <v>6.2</v>
      </c>
      <c r="O13" s="127">
        <v>6.1</v>
      </c>
      <c r="P13" s="127">
        <v>5.5</v>
      </c>
      <c r="Q13" s="127">
        <v>5.3</v>
      </c>
      <c r="R13" s="127">
        <v>5.4</v>
      </c>
      <c r="S13" s="127">
        <v>5.3</v>
      </c>
      <c r="T13" s="127">
        <v>5.194</v>
      </c>
      <c r="U13" s="184">
        <v>5.3780000000000001</v>
      </c>
      <c r="V13" s="127">
        <v>4.3099999999999996</v>
      </c>
      <c r="W13" s="127">
        <v>4.2919999999999998</v>
      </c>
      <c r="X13" s="127">
        <v>4.117</v>
      </c>
      <c r="Y13" s="127">
        <v>4.1669999999999998</v>
      </c>
      <c r="Z13" s="127">
        <v>4.1559999999999997</v>
      </c>
      <c r="AA13" s="127">
        <v>4.3109999999999999</v>
      </c>
      <c r="AB13" s="127">
        <v>4.5</v>
      </c>
      <c r="AC13" s="127">
        <v>4.5999999999999996</v>
      </c>
      <c r="AD13" s="127">
        <v>4.8</v>
      </c>
      <c r="AE13" s="127">
        <v>4.8</v>
      </c>
      <c r="AF13" s="127">
        <v>4.9000000000000004</v>
      </c>
      <c r="AG13" s="127">
        <v>5</v>
      </c>
      <c r="AH13" s="127">
        <v>5.2210000000000001</v>
      </c>
      <c r="AI13" s="127">
        <v>5.2850000000000001</v>
      </c>
      <c r="AJ13" s="127">
        <v>5.3739999999999997</v>
      </c>
      <c r="AK13" s="129">
        <v>5.41</v>
      </c>
      <c r="AL13" s="182">
        <v>0.66989207294381004</v>
      </c>
      <c r="AM13" s="182" t="s">
        <v>31</v>
      </c>
    </row>
    <row r="14" spans="1:39" ht="12.75" customHeight="1">
      <c r="A14" s="8"/>
      <c r="B14" s="10" t="s">
        <v>49</v>
      </c>
      <c r="C14" s="331">
        <v>2.012</v>
      </c>
      <c r="D14" s="331">
        <v>2.722</v>
      </c>
      <c r="E14" s="104">
        <v>4.0469999999999997</v>
      </c>
      <c r="F14" s="104">
        <v>4.3879999999999999</v>
      </c>
      <c r="G14" s="104">
        <v>4.5570000000000004</v>
      </c>
      <c r="H14" s="104">
        <v>4.835</v>
      </c>
      <c r="I14" s="104">
        <v>4.9850000000000003</v>
      </c>
      <c r="J14" s="104">
        <v>5.282</v>
      </c>
      <c r="K14" s="104">
        <v>5.5350000000000001</v>
      </c>
      <c r="L14" s="104">
        <v>5.8449999999999998</v>
      </c>
      <c r="M14" s="104">
        <v>6.0960000000000001</v>
      </c>
      <c r="N14" s="104">
        <v>6.5640000000000001</v>
      </c>
      <c r="O14" s="104">
        <v>6.9569999999999999</v>
      </c>
      <c r="P14" s="104">
        <v>7.0839999999999996</v>
      </c>
      <c r="Q14" s="104">
        <v>7.09</v>
      </c>
      <c r="R14" s="104">
        <v>7.3920000000000003</v>
      </c>
      <c r="S14" s="104">
        <v>7.43</v>
      </c>
      <c r="T14" s="104">
        <v>7.625</v>
      </c>
      <c r="U14" s="104">
        <v>7.9969999999999999</v>
      </c>
      <c r="V14" s="104">
        <v>8.4510000000000005</v>
      </c>
      <c r="W14" s="104">
        <v>8.9109999999999996</v>
      </c>
      <c r="X14" s="104">
        <v>8.5559999999999992</v>
      </c>
      <c r="Y14" s="340">
        <v>9.9420000000000002</v>
      </c>
      <c r="Z14" s="104">
        <v>9.891</v>
      </c>
      <c r="AA14" s="104">
        <v>9.9290000000000003</v>
      </c>
      <c r="AB14" s="104">
        <v>10.154999999999999</v>
      </c>
      <c r="AC14" s="104">
        <v>10.407</v>
      </c>
      <c r="AD14" s="104">
        <v>10.878</v>
      </c>
      <c r="AE14" s="104">
        <v>11.446</v>
      </c>
      <c r="AF14" s="104">
        <v>11.955</v>
      </c>
      <c r="AG14" s="104">
        <v>12.5</v>
      </c>
      <c r="AH14" s="104">
        <v>12.99</v>
      </c>
      <c r="AI14" s="104">
        <v>11.932</v>
      </c>
      <c r="AJ14" s="104">
        <v>12.641999999999999</v>
      </c>
      <c r="AK14" s="130">
        <v>13.34</v>
      </c>
      <c r="AL14" s="183">
        <v>5.5212782787533712</v>
      </c>
      <c r="AM14" s="183" t="s">
        <v>49</v>
      </c>
    </row>
    <row r="15" spans="1:39" ht="12.75" customHeight="1">
      <c r="A15" s="8"/>
      <c r="B15" s="119" t="s">
        <v>42</v>
      </c>
      <c r="C15" s="330">
        <v>10.545999999999999</v>
      </c>
      <c r="D15" s="330">
        <v>18.010999999999999</v>
      </c>
      <c r="E15" s="127">
        <v>21.43</v>
      </c>
      <c r="F15" s="127">
        <v>22.08</v>
      </c>
      <c r="G15" s="127">
        <v>22.673999999999999</v>
      </c>
      <c r="H15" s="127">
        <v>23.206</v>
      </c>
      <c r="I15" s="127">
        <v>23.54</v>
      </c>
      <c r="J15" s="127">
        <v>24.6</v>
      </c>
      <c r="K15" s="127">
        <v>25.096</v>
      </c>
      <c r="L15" s="127">
        <v>25.622</v>
      </c>
      <c r="M15" s="127">
        <v>26.32</v>
      </c>
      <c r="N15" s="127">
        <v>26.768999999999998</v>
      </c>
      <c r="O15" s="127">
        <v>27.036999999999999</v>
      </c>
      <c r="P15" s="127">
        <v>27.114999999999998</v>
      </c>
      <c r="Q15" s="127">
        <v>27.247</v>
      </c>
      <c r="R15" s="127">
        <v>27.138999999999999</v>
      </c>
      <c r="S15" s="127">
        <v>26.78</v>
      </c>
      <c r="T15" s="127">
        <v>26.829000000000001</v>
      </c>
      <c r="U15" s="127">
        <v>26.937999999999999</v>
      </c>
      <c r="V15" s="127">
        <v>27.102</v>
      </c>
      <c r="W15" s="127">
        <v>27.186</v>
      </c>
      <c r="X15" s="127">
        <v>27.324000000000002</v>
      </c>
      <c r="Y15" s="127">
        <v>27.311</v>
      </c>
      <c r="Z15" s="127">
        <v>27.120999999999999</v>
      </c>
      <c r="AA15" s="127">
        <v>26.962</v>
      </c>
      <c r="AB15" s="127">
        <v>26.783000000000001</v>
      </c>
      <c r="AC15" s="127">
        <v>26.690999999999999</v>
      </c>
      <c r="AD15" s="127">
        <v>26.585999999999999</v>
      </c>
      <c r="AE15" s="127">
        <v>26.541</v>
      </c>
      <c r="AF15" s="127">
        <v>26.481000000000002</v>
      </c>
      <c r="AG15" s="127">
        <v>26.388999999999999</v>
      </c>
      <c r="AH15" s="127">
        <v>26.478999999999999</v>
      </c>
      <c r="AI15" s="127">
        <v>26.539000000000001</v>
      </c>
      <c r="AJ15" s="127">
        <v>26.584</v>
      </c>
      <c r="AK15" s="129">
        <v>26.56</v>
      </c>
      <c r="AL15" s="182">
        <v>-9.0279867589529772E-2</v>
      </c>
      <c r="AM15" s="182" t="s">
        <v>42</v>
      </c>
    </row>
    <row r="16" spans="1:39" ht="12.75" customHeight="1">
      <c r="A16" s="8"/>
      <c r="B16" s="10" t="s">
        <v>47</v>
      </c>
      <c r="C16" s="331">
        <v>30.728000000000002</v>
      </c>
      <c r="D16" s="331">
        <v>42.631</v>
      </c>
      <c r="E16" s="104">
        <v>45.767000000000003</v>
      </c>
      <c r="F16" s="104">
        <v>46.603999999999999</v>
      </c>
      <c r="G16" s="104">
        <v>47.18</v>
      </c>
      <c r="H16" s="104">
        <v>47.027999999999999</v>
      </c>
      <c r="I16" s="104">
        <v>47.088000000000001</v>
      </c>
      <c r="J16" s="104">
        <v>47.375</v>
      </c>
      <c r="K16" s="104">
        <v>48.405000000000001</v>
      </c>
      <c r="L16" s="104">
        <v>50.034999999999997</v>
      </c>
      <c r="M16" s="104">
        <v>51.805</v>
      </c>
      <c r="N16" s="104">
        <v>53.54</v>
      </c>
      <c r="O16" s="104">
        <v>54.731999999999999</v>
      </c>
      <c r="P16" s="104">
        <v>56.146000000000001</v>
      </c>
      <c r="Q16" s="104">
        <v>56.953000000000003</v>
      </c>
      <c r="R16" s="104">
        <v>55.993000000000002</v>
      </c>
      <c r="S16" s="104">
        <v>56.957000000000001</v>
      </c>
      <c r="T16" s="104">
        <v>58.247999999999998</v>
      </c>
      <c r="U16" s="104">
        <v>59.104999999999997</v>
      </c>
      <c r="V16" s="104">
        <v>61.039000000000001</v>
      </c>
      <c r="W16" s="104">
        <v>62.195999999999998</v>
      </c>
      <c r="X16" s="104">
        <v>62.662999999999997</v>
      </c>
      <c r="Y16" s="104">
        <v>62.445</v>
      </c>
      <c r="Z16" s="104">
        <v>62.357999999999997</v>
      </c>
      <c r="AA16" s="104">
        <v>61.127000000000002</v>
      </c>
      <c r="AB16" s="104">
        <v>59.892000000000003</v>
      </c>
      <c r="AC16" s="104">
        <v>59.798999999999999</v>
      </c>
      <c r="AD16" s="104">
        <v>60.252000000000002</v>
      </c>
      <c r="AE16" s="104">
        <v>61.838000000000001</v>
      </c>
      <c r="AF16" s="104">
        <v>63.588999999999999</v>
      </c>
      <c r="AG16" s="104">
        <v>65.599000000000004</v>
      </c>
      <c r="AH16" s="104">
        <v>66.161000000000001</v>
      </c>
      <c r="AI16" s="104">
        <v>64.084999999999994</v>
      </c>
      <c r="AJ16" s="104">
        <v>65.156000000000006</v>
      </c>
      <c r="AK16" s="130">
        <v>66.102000000000004</v>
      </c>
      <c r="AL16" s="183">
        <v>1.4519000552519969</v>
      </c>
      <c r="AM16" s="183" t="s">
        <v>47</v>
      </c>
    </row>
    <row r="17" spans="1:39" ht="12.75" customHeight="1">
      <c r="A17" s="8"/>
      <c r="B17" s="119" t="s">
        <v>48</v>
      </c>
      <c r="C17" s="330">
        <v>41</v>
      </c>
      <c r="D17" s="330">
        <v>59</v>
      </c>
      <c r="E17" s="127">
        <v>70</v>
      </c>
      <c r="F17" s="127">
        <v>76</v>
      </c>
      <c r="G17" s="127">
        <v>76</v>
      </c>
      <c r="H17" s="127">
        <v>76</v>
      </c>
      <c r="I17" s="127">
        <v>78</v>
      </c>
      <c r="J17" s="127">
        <v>79</v>
      </c>
      <c r="K17" s="127">
        <v>82</v>
      </c>
      <c r="L17" s="127">
        <v>82</v>
      </c>
      <c r="M17" s="201">
        <v>84.960999999999999</v>
      </c>
      <c r="N17" s="127">
        <v>85.668000000000006</v>
      </c>
      <c r="O17" s="127">
        <v>85.748999999999995</v>
      </c>
      <c r="P17" s="127">
        <v>86.953999999999994</v>
      </c>
      <c r="Q17" s="127">
        <v>85.876000000000005</v>
      </c>
      <c r="R17" s="127">
        <v>87.100999999999999</v>
      </c>
      <c r="S17" s="127">
        <v>88.417000000000002</v>
      </c>
      <c r="T17" s="127">
        <v>90.055000000000007</v>
      </c>
      <c r="U17" s="127">
        <v>92.152000000000001</v>
      </c>
      <c r="V17" s="127">
        <v>94.391999999999996</v>
      </c>
      <c r="W17" s="127">
        <v>92.873999999999995</v>
      </c>
      <c r="X17" s="127">
        <v>90.451999999999998</v>
      </c>
      <c r="Y17" s="127">
        <v>89.685000000000002</v>
      </c>
      <c r="Z17" s="127">
        <v>91.498999999999995</v>
      </c>
      <c r="AA17" s="127">
        <v>92.766999999999996</v>
      </c>
      <c r="AB17" s="127">
        <v>86.573999999999998</v>
      </c>
      <c r="AC17" s="127">
        <v>86.983999999999995</v>
      </c>
      <c r="AD17" s="127">
        <v>87.350999999999999</v>
      </c>
      <c r="AE17" s="127">
        <v>88.515000000000001</v>
      </c>
      <c r="AF17" s="127">
        <v>89.456999999999994</v>
      </c>
      <c r="AG17" s="127">
        <v>90.807000000000002</v>
      </c>
      <c r="AH17" s="127">
        <v>92.33</v>
      </c>
      <c r="AI17" s="127">
        <v>92.908000000000001</v>
      </c>
      <c r="AJ17" s="127">
        <v>94.519000000000005</v>
      </c>
      <c r="AK17" s="127">
        <v>94.073999999999998</v>
      </c>
      <c r="AL17" s="182">
        <v>-0.47080481173098576</v>
      </c>
      <c r="AM17" s="182" t="s">
        <v>48</v>
      </c>
    </row>
    <row r="18" spans="1:39" ht="12.75" customHeight="1">
      <c r="A18" s="8"/>
      <c r="B18" s="10" t="s">
        <v>59</v>
      </c>
      <c r="C18" s="331"/>
      <c r="D18" s="331"/>
      <c r="E18" s="104">
        <v>5.8360000000000003</v>
      </c>
      <c r="F18" s="104">
        <v>4.8760000000000003</v>
      </c>
      <c r="G18" s="104">
        <v>4.1040000000000001</v>
      </c>
      <c r="H18" s="104">
        <v>3.895</v>
      </c>
      <c r="I18" s="104">
        <v>4.0259999999999998</v>
      </c>
      <c r="J18" s="104">
        <v>3.8969999999999998</v>
      </c>
      <c r="K18" s="104">
        <v>4.5960000000000001</v>
      </c>
      <c r="L18" s="104">
        <v>4.7709999999999999</v>
      </c>
      <c r="M18" s="104">
        <v>4.8140000000000001</v>
      </c>
      <c r="N18" s="104">
        <v>4.7430000000000003</v>
      </c>
      <c r="O18" s="104">
        <v>4.66</v>
      </c>
      <c r="P18" s="104">
        <v>4.7699999999999996</v>
      </c>
      <c r="Q18" s="104">
        <v>4.7919999999999998</v>
      </c>
      <c r="R18" s="104">
        <v>4.8330000000000002</v>
      </c>
      <c r="S18" s="104">
        <v>4.8689999999999998</v>
      </c>
      <c r="T18" s="104">
        <v>4.851</v>
      </c>
      <c r="U18" s="104">
        <v>4.9139999999999997</v>
      </c>
      <c r="V18" s="104">
        <v>5.0430000000000001</v>
      </c>
      <c r="W18" s="104">
        <v>5.0990000000000002</v>
      </c>
      <c r="X18" s="104">
        <v>5.0709999999999997</v>
      </c>
      <c r="Y18" s="204">
        <v>4.8769999999999998</v>
      </c>
      <c r="Z18" s="104">
        <v>4.8410000000000002</v>
      </c>
      <c r="AA18" s="104">
        <v>4.6550000000000002</v>
      </c>
      <c r="AB18" s="104">
        <v>4.7889999999999997</v>
      </c>
      <c r="AC18" s="104">
        <v>5.04</v>
      </c>
      <c r="AD18" s="104">
        <v>5.2759999999999998</v>
      </c>
      <c r="AE18" s="104">
        <v>5.5129999999999999</v>
      </c>
      <c r="AF18" s="104">
        <v>5.6980000000000004</v>
      </c>
      <c r="AG18" s="104">
        <v>5.8769999999999998</v>
      </c>
      <c r="AH18" s="104">
        <v>6.0410000000000004</v>
      </c>
      <c r="AI18" s="104">
        <v>5.2370000000000001</v>
      </c>
      <c r="AJ18" s="104">
        <v>5.2060000000000004</v>
      </c>
      <c r="AK18" s="130">
        <v>5.633</v>
      </c>
      <c r="AL18" s="183">
        <v>8.2020745293891508</v>
      </c>
      <c r="AM18" s="183" t="s">
        <v>59</v>
      </c>
    </row>
    <row r="19" spans="1:39" ht="12.75" customHeight="1">
      <c r="A19" s="8"/>
      <c r="B19" s="119" t="s">
        <v>50</v>
      </c>
      <c r="C19" s="330">
        <v>32.899000000000001</v>
      </c>
      <c r="D19" s="330">
        <v>58.149000000000001</v>
      </c>
      <c r="E19" s="127">
        <v>77.730999999999995</v>
      </c>
      <c r="F19" s="127">
        <v>78</v>
      </c>
      <c r="G19" s="127">
        <v>78.179000000000002</v>
      </c>
      <c r="H19" s="127">
        <v>76.974000000000004</v>
      </c>
      <c r="I19" s="127">
        <v>76.075999999999993</v>
      </c>
      <c r="J19" s="127">
        <v>75.022999999999996</v>
      </c>
      <c r="K19" s="127">
        <v>78.183000000000007</v>
      </c>
      <c r="L19" s="127">
        <v>84.177000000000007</v>
      </c>
      <c r="M19" s="127">
        <v>84.822000000000003</v>
      </c>
      <c r="N19" s="127">
        <v>85.762</v>
      </c>
      <c r="O19" s="127">
        <v>87.956000000000003</v>
      </c>
      <c r="P19" s="127">
        <v>89.858000000000004</v>
      </c>
      <c r="Q19" s="127">
        <v>91.715999999999994</v>
      </c>
      <c r="R19" s="127">
        <v>92.700999999999993</v>
      </c>
      <c r="S19" s="127">
        <v>92.873999999999995</v>
      </c>
      <c r="T19" s="127">
        <v>94.436999999999998</v>
      </c>
      <c r="U19" s="127">
        <v>96.099000000000004</v>
      </c>
      <c r="V19" s="127">
        <v>96.418999999999997</v>
      </c>
      <c r="W19" s="127">
        <v>97.596999999999994</v>
      </c>
      <c r="X19" s="127">
        <v>98.724000000000004</v>
      </c>
      <c r="Y19" s="127">
        <v>99.894999999999996</v>
      </c>
      <c r="Z19" s="127">
        <v>100.438</v>
      </c>
      <c r="AA19" s="127">
        <v>99.537000000000006</v>
      </c>
      <c r="AB19" s="127">
        <v>98.551000000000002</v>
      </c>
      <c r="AC19" s="127">
        <v>97.914000000000001</v>
      </c>
      <c r="AD19" s="127">
        <v>97.991</v>
      </c>
      <c r="AE19" s="127">
        <v>97.816999999999993</v>
      </c>
      <c r="AF19" s="127">
        <v>99.1</v>
      </c>
      <c r="AG19" s="127">
        <v>100.042</v>
      </c>
      <c r="AH19" s="127">
        <v>100.149</v>
      </c>
      <c r="AI19" s="127">
        <v>99.882999999999996</v>
      </c>
      <c r="AJ19" s="127">
        <v>100.199</v>
      </c>
      <c r="AK19" s="127">
        <v>100.014</v>
      </c>
      <c r="AL19" s="206">
        <v>-0.18463258116348413</v>
      </c>
      <c r="AM19" s="206" t="s">
        <v>50</v>
      </c>
    </row>
    <row r="20" spans="1:39" ht="12.75" customHeight="1">
      <c r="A20" s="8"/>
      <c r="B20" s="10" t="s">
        <v>29</v>
      </c>
      <c r="C20" s="331"/>
      <c r="D20" s="331">
        <v>1.6</v>
      </c>
      <c r="E20" s="104">
        <v>2.3079999999999998</v>
      </c>
      <c r="F20" s="104">
        <v>2.1760000000000002</v>
      </c>
      <c r="G20" s="104">
        <v>2.371</v>
      </c>
      <c r="H20" s="104">
        <v>2.4380000000000002</v>
      </c>
      <c r="I20" s="104">
        <v>2.5459999999999998</v>
      </c>
      <c r="J20" s="104">
        <v>2.67</v>
      </c>
      <c r="K20" s="104">
        <v>2.8010000000000002</v>
      </c>
      <c r="L20" s="104">
        <v>2.8</v>
      </c>
      <c r="M20" s="104">
        <v>2.754</v>
      </c>
      <c r="N20" s="104">
        <v>2.835</v>
      </c>
      <c r="O20" s="104">
        <v>2.9489999999999998</v>
      </c>
      <c r="P20" s="104">
        <v>3.0030000000000001</v>
      </c>
      <c r="Q20" s="104">
        <v>2.9969999999999999</v>
      </c>
      <c r="R20" s="104">
        <v>3.2749999999999999</v>
      </c>
      <c r="S20" s="104">
        <v>3.1989999999999998</v>
      </c>
      <c r="T20" s="104">
        <v>3.2170000000000001</v>
      </c>
      <c r="U20" s="104">
        <v>3.2210000000000001</v>
      </c>
      <c r="V20" s="104">
        <v>3.2919999999999998</v>
      </c>
      <c r="W20" s="104">
        <v>3.4020000000000001</v>
      </c>
      <c r="X20" s="104">
        <v>3.4489999999999998</v>
      </c>
      <c r="Y20" s="104">
        <v>3.403</v>
      </c>
      <c r="Z20" s="104">
        <v>3.4609999999999999</v>
      </c>
      <c r="AA20" s="104">
        <v>3.5569999999999999</v>
      </c>
      <c r="AB20" s="104">
        <v>3.4950000000000001</v>
      </c>
      <c r="AC20" s="340">
        <v>2.581</v>
      </c>
      <c r="AD20" s="104">
        <v>2.7120000000000002</v>
      </c>
      <c r="AE20" s="104">
        <v>2.8420000000000001</v>
      </c>
      <c r="AF20" s="104">
        <v>2.9910000000000001</v>
      </c>
      <c r="AG20" s="104">
        <v>3.0840000000000001</v>
      </c>
      <c r="AH20" s="104">
        <v>3.1509999999999998</v>
      </c>
      <c r="AI20" s="104">
        <v>2.6549999999999998</v>
      </c>
      <c r="AJ20" s="104">
        <v>2.774</v>
      </c>
      <c r="AK20" s="130">
        <v>2.899</v>
      </c>
      <c r="AL20" s="183">
        <v>4.5061283345349636</v>
      </c>
      <c r="AM20" s="183" t="s">
        <v>29</v>
      </c>
    </row>
    <row r="21" spans="1:39" ht="12.75" customHeight="1">
      <c r="A21" s="8"/>
      <c r="B21" s="119" t="s">
        <v>33</v>
      </c>
      <c r="C21" s="330"/>
      <c r="D21" s="330"/>
      <c r="E21" s="127">
        <v>12.138</v>
      </c>
      <c r="F21" s="128">
        <v>13.003399999999999</v>
      </c>
      <c r="G21" s="128">
        <v>13.8688</v>
      </c>
      <c r="H21" s="128">
        <v>14.7342</v>
      </c>
      <c r="I21" s="128">
        <v>15.599599999999999</v>
      </c>
      <c r="J21" s="127">
        <v>16.465</v>
      </c>
      <c r="K21" s="127">
        <v>17.274999999999999</v>
      </c>
      <c r="L21" s="184">
        <v>18.558</v>
      </c>
      <c r="M21" s="127">
        <v>11.505000000000001</v>
      </c>
      <c r="N21" s="127">
        <v>11.555999999999999</v>
      </c>
      <c r="O21" s="127">
        <v>11.500999999999999</v>
      </c>
      <c r="P21" s="127">
        <v>11.294</v>
      </c>
      <c r="Q21" s="127">
        <v>11.164</v>
      </c>
      <c r="R21" s="127">
        <v>10.983000000000001</v>
      </c>
      <c r="S21" s="127">
        <v>10.74</v>
      </c>
      <c r="T21" s="127">
        <v>10.644</v>
      </c>
      <c r="U21" s="127">
        <v>10.628</v>
      </c>
      <c r="V21" s="127">
        <v>10.624000000000001</v>
      </c>
      <c r="W21" s="127">
        <v>10.542999999999999</v>
      </c>
      <c r="X21" s="127">
        <v>9.6869999999999994</v>
      </c>
      <c r="Y21" s="201">
        <v>5.3769999999999998</v>
      </c>
      <c r="Z21" s="127">
        <v>5.1859999999999999</v>
      </c>
      <c r="AA21" s="127">
        <v>5.0439999999999996</v>
      </c>
      <c r="AB21" s="127">
        <v>4.9889999999999999</v>
      </c>
      <c r="AC21" s="127">
        <v>4.8449999999999998</v>
      </c>
      <c r="AD21" s="127">
        <v>4.7969999999999997</v>
      </c>
      <c r="AE21" s="127">
        <v>4.6959999999999997</v>
      </c>
      <c r="AF21" s="127">
        <v>4.7</v>
      </c>
      <c r="AG21" s="127">
        <v>4.6319999999999997</v>
      </c>
      <c r="AH21" s="127">
        <v>4.5490000000000004</v>
      </c>
      <c r="AI21" s="127">
        <v>4.1050000000000004</v>
      </c>
      <c r="AJ21" s="127">
        <v>3.992</v>
      </c>
      <c r="AK21" s="129">
        <v>4.0679999999999996</v>
      </c>
      <c r="AL21" s="206">
        <v>1.9038076152304626</v>
      </c>
      <c r="AM21" s="206" t="s">
        <v>33</v>
      </c>
    </row>
    <row r="22" spans="1:39" ht="12.75" customHeight="1">
      <c r="A22" s="8"/>
      <c r="B22" s="10" t="s">
        <v>34</v>
      </c>
      <c r="C22" s="331"/>
      <c r="D22" s="331">
        <v>10.5</v>
      </c>
      <c r="E22" s="104">
        <v>15.2</v>
      </c>
      <c r="F22" s="204">
        <v>15.6768</v>
      </c>
      <c r="G22" s="204">
        <v>16.153600000000001</v>
      </c>
      <c r="H22" s="204">
        <v>16.630399999999998</v>
      </c>
      <c r="I22" s="204">
        <v>17.107199999999999</v>
      </c>
      <c r="J22" s="104">
        <v>17.584</v>
      </c>
      <c r="K22" s="104">
        <v>16.026</v>
      </c>
      <c r="L22" s="104">
        <v>15.435</v>
      </c>
      <c r="M22" s="104">
        <v>15.679</v>
      </c>
      <c r="N22" s="104">
        <v>16.09</v>
      </c>
      <c r="O22" s="104">
        <v>15.543000000000001</v>
      </c>
      <c r="P22" s="104">
        <v>15.641</v>
      </c>
      <c r="Q22" s="104">
        <v>15.841999999999999</v>
      </c>
      <c r="R22" s="104">
        <v>16.006</v>
      </c>
      <c r="S22" s="104">
        <v>14.853000000000002</v>
      </c>
      <c r="T22" s="104">
        <v>15.311</v>
      </c>
      <c r="U22" s="104">
        <v>15.619</v>
      </c>
      <c r="V22" s="104">
        <v>14.488</v>
      </c>
      <c r="W22" s="104">
        <v>14.311999999999999</v>
      </c>
      <c r="X22" s="104">
        <v>13.837</v>
      </c>
      <c r="Y22" s="104">
        <v>13.728</v>
      </c>
      <c r="Z22" s="104">
        <v>13.545</v>
      </c>
      <c r="AA22" s="104">
        <v>13.106999999999999</v>
      </c>
      <c r="AB22" s="104">
        <v>13.063000000000001</v>
      </c>
      <c r="AC22" s="340">
        <v>6.9370000000000003</v>
      </c>
      <c r="AD22" s="104">
        <v>6.8559999999999999</v>
      </c>
      <c r="AE22" s="104">
        <v>6.9260000000000002</v>
      </c>
      <c r="AF22" s="104">
        <v>7.2</v>
      </c>
      <c r="AG22" s="104">
        <v>7.5170000000000003</v>
      </c>
      <c r="AH22" s="104">
        <v>7.6459999999999999</v>
      </c>
      <c r="AI22" s="104">
        <v>7.6550000000000002</v>
      </c>
      <c r="AJ22" s="104">
        <v>7.59</v>
      </c>
      <c r="AK22" s="130">
        <v>7.5149999999999997</v>
      </c>
      <c r="AL22" s="183">
        <v>-0.98814229249012442</v>
      </c>
      <c r="AM22" s="183" t="s">
        <v>34</v>
      </c>
    </row>
    <row r="23" spans="1:39" ht="12.75" customHeight="1">
      <c r="A23" s="8"/>
      <c r="B23" s="119" t="s">
        <v>51</v>
      </c>
      <c r="C23" s="330">
        <v>0.56000000000000005</v>
      </c>
      <c r="D23" s="330">
        <v>0.64700000000000002</v>
      </c>
      <c r="E23" s="127">
        <v>0.76</v>
      </c>
      <c r="F23" s="127">
        <v>0.77700000000000002</v>
      </c>
      <c r="G23" s="127">
        <v>0.81399999999999995</v>
      </c>
      <c r="H23" s="127">
        <v>0.85</v>
      </c>
      <c r="I23" s="127">
        <v>0.84599999999999997</v>
      </c>
      <c r="J23" s="127">
        <v>0.871</v>
      </c>
      <c r="K23" s="127">
        <v>0.91400000000000003</v>
      </c>
      <c r="L23" s="127">
        <v>0.94399999999999995</v>
      </c>
      <c r="M23" s="127">
        <v>0.94499999999999995</v>
      </c>
      <c r="N23" s="127">
        <v>0.98399999999999999</v>
      </c>
      <c r="O23" s="127">
        <v>1.0509999999999999</v>
      </c>
      <c r="P23" s="127">
        <v>1.123</v>
      </c>
      <c r="Q23" s="127">
        <v>1.1759999999999999</v>
      </c>
      <c r="R23" s="127">
        <v>1.2270000000000001</v>
      </c>
      <c r="S23" s="127">
        <v>1.27</v>
      </c>
      <c r="T23" s="127">
        <v>1.34</v>
      </c>
      <c r="U23" s="127">
        <v>1.38</v>
      </c>
      <c r="V23" s="127">
        <v>1.456</v>
      </c>
      <c r="W23" s="127">
        <v>1.546</v>
      </c>
      <c r="X23" s="127">
        <v>1.6240000000000001</v>
      </c>
      <c r="Y23" s="127">
        <v>1.637</v>
      </c>
      <c r="Z23" s="127">
        <v>1.7030000000000001</v>
      </c>
      <c r="AA23" s="127">
        <v>1.728</v>
      </c>
      <c r="AB23" s="127">
        <v>1.7589999999999999</v>
      </c>
      <c r="AC23" s="127">
        <v>1.778</v>
      </c>
      <c r="AD23" s="344">
        <v>1.857</v>
      </c>
      <c r="AE23" s="344">
        <v>1.9039999999999999</v>
      </c>
      <c r="AF23" s="344">
        <v>2</v>
      </c>
      <c r="AG23" s="344">
        <v>2.0419999999999998</v>
      </c>
      <c r="AH23" s="344">
        <v>2.1579999999999999</v>
      </c>
      <c r="AI23" s="344">
        <v>2.2509999999999999</v>
      </c>
      <c r="AJ23" s="344">
        <v>2.3450000000000002</v>
      </c>
      <c r="AK23" s="341">
        <v>2.5</v>
      </c>
      <c r="AL23" s="206">
        <v>6.6098081023454114</v>
      </c>
      <c r="AM23" s="206" t="s">
        <v>51</v>
      </c>
    </row>
    <row r="24" spans="1:39" ht="12.75" customHeight="1">
      <c r="A24" s="8"/>
      <c r="B24" s="10" t="s">
        <v>32</v>
      </c>
      <c r="C24" s="331"/>
      <c r="D24" s="331">
        <v>22.2</v>
      </c>
      <c r="E24" s="104">
        <v>26.437999999999999</v>
      </c>
      <c r="F24" s="104">
        <v>24.497</v>
      </c>
      <c r="G24" s="104">
        <v>23.187000000000001</v>
      </c>
      <c r="H24" s="104">
        <v>22.186</v>
      </c>
      <c r="I24" s="104">
        <v>21.785</v>
      </c>
      <c r="J24" s="104">
        <v>20.463999999999999</v>
      </c>
      <c r="K24" s="104">
        <v>19.381</v>
      </c>
      <c r="L24" s="104">
        <v>18.89</v>
      </c>
      <c r="M24" s="104">
        <v>18.795000000000002</v>
      </c>
      <c r="N24" s="104">
        <v>17.733000000000001</v>
      </c>
      <c r="O24" s="104">
        <v>17.855</v>
      </c>
      <c r="P24" s="104">
        <v>17.817</v>
      </c>
      <c r="Q24" s="104">
        <v>17.873000000000001</v>
      </c>
      <c r="R24" s="104">
        <v>17.876999999999999</v>
      </c>
      <c r="S24" s="104">
        <v>17.428000000000001</v>
      </c>
      <c r="T24" s="104">
        <v>17.45</v>
      </c>
      <c r="U24" s="104">
        <v>17.721</v>
      </c>
      <c r="V24" s="104">
        <v>17.899000000000001</v>
      </c>
      <c r="W24" s="104">
        <v>17.954999999999998</v>
      </c>
      <c r="X24" s="104">
        <v>17.72</v>
      </c>
      <c r="Y24" s="104">
        <v>17.640999999999998</v>
      </c>
      <c r="Z24" s="104">
        <v>17.366</v>
      </c>
      <c r="AA24" s="104">
        <v>17.300999999999998</v>
      </c>
      <c r="AB24" s="104">
        <v>17.568999999999999</v>
      </c>
      <c r="AC24" s="104">
        <v>17.922999999999998</v>
      </c>
      <c r="AD24" s="104">
        <v>18.135000000000002</v>
      </c>
      <c r="AE24" s="104">
        <v>18.481999999999999</v>
      </c>
      <c r="AF24" s="104">
        <v>18.7</v>
      </c>
      <c r="AG24" s="104">
        <v>19.134</v>
      </c>
      <c r="AH24" s="104">
        <v>19.454000000000001</v>
      </c>
      <c r="AI24" s="104">
        <v>16.978999999999999</v>
      </c>
      <c r="AJ24" s="104">
        <v>17.759</v>
      </c>
      <c r="AK24" s="130">
        <v>17.597000000000001</v>
      </c>
      <c r="AL24" s="183">
        <v>-0.9122135255363446</v>
      </c>
      <c r="AM24" s="183" t="s">
        <v>32</v>
      </c>
    </row>
    <row r="25" spans="1:39" ht="12.75" customHeight="1">
      <c r="A25" s="8"/>
      <c r="B25" s="119" t="s">
        <v>35</v>
      </c>
      <c r="C25" s="330"/>
      <c r="D25" s="330"/>
      <c r="E25" s="127">
        <v>0.97799999999999998</v>
      </c>
      <c r="F25" s="128">
        <v>0.96399999999999997</v>
      </c>
      <c r="G25" s="128">
        <v>0.95000000000000007</v>
      </c>
      <c r="H25" s="127">
        <v>0.93600000000000005</v>
      </c>
      <c r="I25" s="127">
        <v>0.96399999999999997</v>
      </c>
      <c r="J25" s="127">
        <v>1.014</v>
      </c>
      <c r="K25" s="127">
        <v>0.96699999999999997</v>
      </c>
      <c r="L25" s="127">
        <v>1.077</v>
      </c>
      <c r="M25" s="127">
        <v>1.107</v>
      </c>
      <c r="N25" s="127">
        <v>1.119</v>
      </c>
      <c r="O25" s="127">
        <v>1.1259999999999999</v>
      </c>
      <c r="P25" s="127">
        <v>1.125</v>
      </c>
      <c r="Q25" s="127">
        <v>1.133</v>
      </c>
      <c r="R25" s="127">
        <v>1.1499999999999999</v>
      </c>
      <c r="S25" s="127">
        <v>1.1579999999999999</v>
      </c>
      <c r="T25" s="127">
        <v>1.1429999999999998</v>
      </c>
      <c r="U25" s="127">
        <v>1.1479999999999999</v>
      </c>
      <c r="V25" s="127">
        <v>1.165</v>
      </c>
      <c r="W25" s="127">
        <v>1.1759999999999999</v>
      </c>
      <c r="X25" s="127">
        <v>1.1859999999999999</v>
      </c>
      <c r="Y25" s="201">
        <v>1.835</v>
      </c>
      <c r="Z25" s="127">
        <v>1.7420000000000002</v>
      </c>
      <c r="AA25" s="127">
        <v>1.7459999999999998</v>
      </c>
      <c r="AB25" s="127">
        <v>1.7119999999999997</v>
      </c>
      <c r="AC25" s="127">
        <v>1.7949999999999999</v>
      </c>
      <c r="AD25" s="127">
        <v>1.952</v>
      </c>
      <c r="AE25" s="127">
        <v>1.996</v>
      </c>
      <c r="AF25" s="127">
        <v>2.069</v>
      </c>
      <c r="AG25" s="127">
        <v>2.1120000000000001</v>
      </c>
      <c r="AH25" s="127">
        <v>2.2749999999999999</v>
      </c>
      <c r="AI25" s="127">
        <v>2.222</v>
      </c>
      <c r="AJ25" s="127">
        <v>2.3250000000000002</v>
      </c>
      <c r="AK25" s="127">
        <v>2.3980000000000001</v>
      </c>
      <c r="AL25" s="206">
        <v>3.1397849462365741</v>
      </c>
      <c r="AM25" s="206" t="s">
        <v>35</v>
      </c>
    </row>
    <row r="26" spans="1:39" ht="12.75" customHeight="1">
      <c r="A26" s="8"/>
      <c r="B26" s="10" t="s">
        <v>43</v>
      </c>
      <c r="C26" s="331">
        <v>9.5</v>
      </c>
      <c r="D26" s="331">
        <v>11.2</v>
      </c>
      <c r="E26" s="104">
        <v>12.1</v>
      </c>
      <c r="F26" s="104">
        <v>12.427</v>
      </c>
      <c r="G26" s="104">
        <v>12.340999999999999</v>
      </c>
      <c r="H26" s="104">
        <v>12.525</v>
      </c>
      <c r="I26" s="104">
        <v>12</v>
      </c>
      <c r="J26" s="104">
        <v>11.635999999999999</v>
      </c>
      <c r="K26" s="104">
        <v>11.334</v>
      </c>
      <c r="L26" s="104">
        <v>10.801</v>
      </c>
      <c r="M26" s="104">
        <v>11.006</v>
      </c>
      <c r="N26" s="104">
        <v>11.21</v>
      </c>
      <c r="O26" s="104">
        <v>11.374000000000001</v>
      </c>
      <c r="P26" s="104">
        <v>11.326000000000001</v>
      </c>
      <c r="Q26" s="104">
        <v>11.382</v>
      </c>
      <c r="R26" s="104">
        <v>11.343999999999999</v>
      </c>
      <c r="S26" s="104">
        <v>11.231</v>
      </c>
      <c r="T26" s="104">
        <v>10.994999999999999</v>
      </c>
      <c r="U26" s="104">
        <v>10.845000000000001</v>
      </c>
      <c r="V26" s="104">
        <v>11.090999999999999</v>
      </c>
      <c r="W26" s="104">
        <v>11.332000000000001</v>
      </c>
      <c r="X26" s="104">
        <v>11.634</v>
      </c>
      <c r="Y26" s="104">
        <v>11.276999999999999</v>
      </c>
      <c r="Z26" s="104">
        <v>10.986000000000001</v>
      </c>
      <c r="AA26" s="104">
        <v>10.464</v>
      </c>
      <c r="AB26" s="104">
        <v>9.9220000000000006</v>
      </c>
      <c r="AC26" s="104">
        <v>9.5969999999999995</v>
      </c>
      <c r="AD26" s="104">
        <v>9.4109999999999996</v>
      </c>
      <c r="AE26" s="104">
        <v>9.8219999999999992</v>
      </c>
      <c r="AF26" s="104">
        <v>9.9</v>
      </c>
      <c r="AG26" s="104">
        <v>9.7170000000000005</v>
      </c>
      <c r="AH26" s="104">
        <v>9.8759999999999994</v>
      </c>
      <c r="AI26" s="104">
        <v>9.2769999999999992</v>
      </c>
      <c r="AJ26" s="104">
        <v>8.532</v>
      </c>
      <c r="AK26" s="130">
        <v>8.7560000000000002</v>
      </c>
      <c r="AL26" s="183">
        <v>2.6254102203469216</v>
      </c>
      <c r="AM26" s="183" t="s">
        <v>43</v>
      </c>
    </row>
    <row r="27" spans="1:39" ht="12.75" customHeight="1">
      <c r="A27" s="8"/>
      <c r="B27" s="119" t="s">
        <v>52</v>
      </c>
      <c r="C27" s="330">
        <v>6.8040000000000003</v>
      </c>
      <c r="D27" s="330">
        <v>8.89</v>
      </c>
      <c r="E27" s="127">
        <v>9.4019999999999992</v>
      </c>
      <c r="F27" s="127">
        <v>9.2690000000000001</v>
      </c>
      <c r="G27" s="127">
        <v>9.375</v>
      </c>
      <c r="H27" s="127">
        <v>9.4830000000000005</v>
      </c>
      <c r="I27" s="127">
        <v>9.5980000000000008</v>
      </c>
      <c r="J27" s="127">
        <v>9.7520000000000007</v>
      </c>
      <c r="K27" s="127">
        <v>9.74</v>
      </c>
      <c r="L27" s="127">
        <v>9.6999999999999993</v>
      </c>
      <c r="M27" s="127">
        <v>9.6750000000000007</v>
      </c>
      <c r="N27" s="127">
        <v>9.8339999999999996</v>
      </c>
      <c r="O27" s="127">
        <v>9.9179999999999993</v>
      </c>
      <c r="P27" s="184">
        <v>9.9019999999999992</v>
      </c>
      <c r="Q27" s="127">
        <v>9.1790000000000003</v>
      </c>
      <c r="R27" s="127">
        <v>9.2309999999999999</v>
      </c>
      <c r="S27" s="127">
        <v>9.4079999999999995</v>
      </c>
      <c r="T27" s="127">
        <v>9.3010000000000002</v>
      </c>
      <c r="U27" s="127">
        <v>9.2970000000000006</v>
      </c>
      <c r="V27" s="127">
        <v>9.2989999999999995</v>
      </c>
      <c r="W27" s="127">
        <v>9.3680000000000003</v>
      </c>
      <c r="X27" s="127">
        <v>9.5990000000000002</v>
      </c>
      <c r="Y27" s="127">
        <v>9.6479999999999997</v>
      </c>
      <c r="Z27" s="127">
        <v>9.6020000000000003</v>
      </c>
      <c r="AA27" s="127">
        <v>9.5459999999999994</v>
      </c>
      <c r="AB27" s="127">
        <v>9.5790000000000006</v>
      </c>
      <c r="AC27" s="127">
        <v>9.5850000000000009</v>
      </c>
      <c r="AD27" s="127">
        <v>9.6790000000000003</v>
      </c>
      <c r="AE27" s="127">
        <v>9.8249999999999993</v>
      </c>
      <c r="AF27" s="127">
        <v>10</v>
      </c>
      <c r="AG27" s="127">
        <v>10.037000000000001</v>
      </c>
      <c r="AH27" s="127">
        <v>10.148</v>
      </c>
      <c r="AI27" s="127">
        <v>10.064</v>
      </c>
      <c r="AJ27" s="127">
        <v>10.135999999999999</v>
      </c>
      <c r="AK27" s="127">
        <v>10.372999999999999</v>
      </c>
      <c r="AL27" s="206">
        <v>2.3382004735595956</v>
      </c>
      <c r="AM27" s="206" t="s">
        <v>52</v>
      </c>
    </row>
    <row r="28" spans="1:39" ht="12.75" customHeight="1">
      <c r="A28" s="8"/>
      <c r="B28" s="10" t="s">
        <v>36</v>
      </c>
      <c r="C28" s="331"/>
      <c r="D28" s="331">
        <v>66.400000000000006</v>
      </c>
      <c r="E28" s="104">
        <v>92.403000000000006</v>
      </c>
      <c r="F28" s="104">
        <v>86.950999999999993</v>
      </c>
      <c r="G28" s="104">
        <v>86.578000000000003</v>
      </c>
      <c r="H28" s="104">
        <v>86.153999999999996</v>
      </c>
      <c r="I28" s="104">
        <v>86.852000000000004</v>
      </c>
      <c r="J28" s="104">
        <v>85.412999999999997</v>
      </c>
      <c r="K28" s="104">
        <v>85.596000000000004</v>
      </c>
      <c r="L28" s="104">
        <v>81.787999999999997</v>
      </c>
      <c r="M28" s="104">
        <v>80.826999999999998</v>
      </c>
      <c r="N28" s="104">
        <v>78.957999999999998</v>
      </c>
      <c r="O28" s="104">
        <v>82.59</v>
      </c>
      <c r="P28" s="104">
        <v>82.5</v>
      </c>
      <c r="Q28" s="104">
        <v>83.388999999999996</v>
      </c>
      <c r="R28" s="104">
        <v>82.769000000000005</v>
      </c>
      <c r="S28" s="104">
        <v>82.676000000000002</v>
      </c>
      <c r="T28" s="104">
        <v>79.566999999999993</v>
      </c>
      <c r="U28" s="104">
        <v>83.495999999999995</v>
      </c>
      <c r="V28" s="104">
        <v>87.585999999999999</v>
      </c>
      <c r="W28" s="104">
        <v>92.400999999999996</v>
      </c>
      <c r="X28" s="104">
        <v>95.415000000000006</v>
      </c>
      <c r="Y28" s="104">
        <v>97.043999999999997</v>
      </c>
      <c r="Z28" s="104">
        <v>100.29900000000001</v>
      </c>
      <c r="AA28" s="104">
        <v>99.858000000000004</v>
      </c>
      <c r="AB28" s="104">
        <v>102.602</v>
      </c>
      <c r="AC28" s="104">
        <v>106.057</v>
      </c>
      <c r="AD28" s="104">
        <v>109.84399999999999</v>
      </c>
      <c r="AE28" s="104">
        <v>113.139</v>
      </c>
      <c r="AF28" s="104">
        <v>116.1</v>
      </c>
      <c r="AG28" s="104">
        <v>119.471</v>
      </c>
      <c r="AH28" s="104">
        <v>122.604</v>
      </c>
      <c r="AI28" s="104">
        <v>124.526</v>
      </c>
      <c r="AJ28" s="104">
        <v>126.547</v>
      </c>
      <c r="AK28" s="130">
        <v>128.67699999999999</v>
      </c>
      <c r="AL28" s="183">
        <v>1.6831690992279391</v>
      </c>
      <c r="AM28" s="183" t="s">
        <v>36</v>
      </c>
    </row>
    <row r="29" spans="1:39" ht="12.75" customHeight="1">
      <c r="A29" s="8"/>
      <c r="B29" s="119" t="s">
        <v>53</v>
      </c>
      <c r="C29" s="330">
        <v>5.8730000000000002</v>
      </c>
      <c r="D29" s="330">
        <v>8.4890000000000008</v>
      </c>
      <c r="E29" s="127">
        <v>12.099</v>
      </c>
      <c r="F29" s="127">
        <v>12.348000000000001</v>
      </c>
      <c r="G29" s="127">
        <v>12.961</v>
      </c>
      <c r="H29" s="127">
        <v>13.554</v>
      </c>
      <c r="I29" s="127">
        <v>14.353</v>
      </c>
      <c r="J29" s="127">
        <v>15.02</v>
      </c>
      <c r="K29" s="127">
        <v>15.680999999999999</v>
      </c>
      <c r="L29" s="127">
        <v>16.431000000000001</v>
      </c>
      <c r="M29" s="127">
        <v>17.513000000000002</v>
      </c>
      <c r="N29" s="127">
        <v>18.544</v>
      </c>
      <c r="O29" s="184">
        <v>19.78</v>
      </c>
      <c r="P29" s="127">
        <v>20.76</v>
      </c>
      <c r="Q29" s="127">
        <v>21.387</v>
      </c>
      <c r="R29" s="127">
        <v>21.652999999999999</v>
      </c>
      <c r="S29" s="207">
        <v>21.8</v>
      </c>
      <c r="T29" s="127">
        <v>14.673999999999999</v>
      </c>
      <c r="U29" s="127">
        <v>15</v>
      </c>
      <c r="V29" s="127">
        <v>15.1</v>
      </c>
      <c r="W29" s="127">
        <v>15.4</v>
      </c>
      <c r="X29" s="127">
        <v>15.5</v>
      </c>
      <c r="Y29" s="201">
        <v>15.425000000000001</v>
      </c>
      <c r="Z29" s="127">
        <v>15.180999999999999</v>
      </c>
      <c r="AA29" s="127">
        <v>12.356999999999999</v>
      </c>
      <c r="AB29" s="127">
        <v>12.111000000000001</v>
      </c>
      <c r="AC29" s="127">
        <v>14.941000000000001</v>
      </c>
      <c r="AD29" s="127">
        <v>14.717000000000001</v>
      </c>
      <c r="AE29" s="127">
        <v>14.85</v>
      </c>
      <c r="AF29" s="127">
        <v>15.2</v>
      </c>
      <c r="AG29" s="127">
        <v>15.493</v>
      </c>
      <c r="AH29" s="127">
        <v>17.818999999999999</v>
      </c>
      <c r="AI29" s="127">
        <v>15.196999999999999</v>
      </c>
      <c r="AJ29" s="127">
        <v>15.477</v>
      </c>
      <c r="AK29" s="129">
        <v>16.37</v>
      </c>
      <c r="AL29" s="182">
        <v>5.7698520385087448</v>
      </c>
      <c r="AM29" s="182" t="s">
        <v>53</v>
      </c>
    </row>
    <row r="30" spans="1:39" ht="12.75" customHeight="1">
      <c r="A30" s="8"/>
      <c r="B30" s="10" t="s">
        <v>37</v>
      </c>
      <c r="C30" s="331"/>
      <c r="D30" s="331">
        <v>25</v>
      </c>
      <c r="E30" s="104">
        <v>28.272000000000002</v>
      </c>
      <c r="F30" s="104">
        <v>31.155000000000001</v>
      </c>
      <c r="G30" s="104">
        <v>35.079000000000001</v>
      </c>
      <c r="H30" s="104">
        <v>37.731000000000002</v>
      </c>
      <c r="I30" s="104">
        <v>40.016999999999996</v>
      </c>
      <c r="J30" s="104">
        <v>42.046999999999997</v>
      </c>
      <c r="K30" s="104">
        <v>39.515000000000001</v>
      </c>
      <c r="L30" s="104">
        <v>39.957999999999998</v>
      </c>
      <c r="M30" s="104">
        <v>40.385000000000005</v>
      </c>
      <c r="N30" s="104">
        <v>40.622</v>
      </c>
      <c r="O30" s="104">
        <v>40.716000000000001</v>
      </c>
      <c r="P30" s="104">
        <v>40.790999999999997</v>
      </c>
      <c r="Q30" s="104">
        <v>40.78</v>
      </c>
      <c r="R30" s="104">
        <v>41.947000000000003</v>
      </c>
      <c r="S30" s="104">
        <v>43.192</v>
      </c>
      <c r="T30" s="104">
        <v>39.272999999999996</v>
      </c>
      <c r="U30" s="185">
        <v>40.417999999999999</v>
      </c>
      <c r="V30" s="104">
        <v>34.201999999999998</v>
      </c>
      <c r="W30" s="104">
        <v>41.514000000000003</v>
      </c>
      <c r="X30" s="104">
        <v>41.16</v>
      </c>
      <c r="Y30" s="104">
        <v>40.877000000000002</v>
      </c>
      <c r="Z30" s="104">
        <v>40.887</v>
      </c>
      <c r="AA30" s="104">
        <v>42.01</v>
      </c>
      <c r="AB30" s="104">
        <v>42.835999999999999</v>
      </c>
      <c r="AC30" s="104">
        <v>44.283000000000001</v>
      </c>
      <c r="AD30" s="104">
        <v>47.347000000000001</v>
      </c>
      <c r="AE30" s="104">
        <v>48.802999999999997</v>
      </c>
      <c r="AF30" s="104">
        <v>50.3</v>
      </c>
      <c r="AG30" s="104">
        <v>51.802</v>
      </c>
      <c r="AH30" s="104">
        <v>53.771000000000001</v>
      </c>
      <c r="AI30" s="104">
        <v>54.17</v>
      </c>
      <c r="AJ30" s="104">
        <v>54.350999999999999</v>
      </c>
      <c r="AK30" s="130">
        <v>54.713000000000001</v>
      </c>
      <c r="AL30" s="183">
        <v>0.66604110319956078</v>
      </c>
      <c r="AM30" s="183" t="s">
        <v>37</v>
      </c>
    </row>
    <row r="31" spans="1:39" ht="12.75" customHeight="1">
      <c r="A31" s="8"/>
      <c r="B31" s="119" t="s">
        <v>39</v>
      </c>
      <c r="C31" s="330">
        <v>1.6639999999999999</v>
      </c>
      <c r="D31" s="330">
        <v>2.5049999999999999</v>
      </c>
      <c r="E31" s="127">
        <v>3.077</v>
      </c>
      <c r="F31" s="127">
        <v>2.855</v>
      </c>
      <c r="G31" s="127">
        <v>2.67</v>
      </c>
      <c r="H31" s="127">
        <v>2.597</v>
      </c>
      <c r="I31" s="127">
        <v>2.512</v>
      </c>
      <c r="J31" s="127">
        <v>2.4729999999999999</v>
      </c>
      <c r="K31" s="127">
        <v>2.407</v>
      </c>
      <c r="L31" s="127">
        <v>2.3690000000000002</v>
      </c>
      <c r="M31" s="127">
        <v>2.3250000000000002</v>
      </c>
      <c r="N31" s="127">
        <v>2.3149999999999999</v>
      </c>
      <c r="O31" s="127">
        <v>2.2549999999999999</v>
      </c>
      <c r="P31" s="127">
        <v>2.2130000000000001</v>
      </c>
      <c r="Q31" s="127">
        <v>2.1960000000000002</v>
      </c>
      <c r="R31" s="127">
        <v>2.19</v>
      </c>
      <c r="S31" s="127">
        <v>2.2690000000000001</v>
      </c>
      <c r="T31" s="127">
        <v>2.2549999999999999</v>
      </c>
      <c r="U31" s="127">
        <v>2.2770000000000001</v>
      </c>
      <c r="V31" s="127">
        <v>2.33</v>
      </c>
      <c r="W31" s="127">
        <v>2.3780000000000001</v>
      </c>
      <c r="X31" s="127">
        <v>2.3940000000000001</v>
      </c>
      <c r="Y31" s="127">
        <v>2.4</v>
      </c>
      <c r="Z31" s="127">
        <v>2.4220000000000002</v>
      </c>
      <c r="AA31" s="127">
        <v>2.41</v>
      </c>
      <c r="AB31" s="127">
        <v>2.4649999999999999</v>
      </c>
      <c r="AC31" s="127">
        <v>2.5590000000000002</v>
      </c>
      <c r="AD31" s="127">
        <v>2.6309999999999998</v>
      </c>
      <c r="AE31" s="127">
        <v>2.6789999999999998</v>
      </c>
      <c r="AF31" s="127">
        <v>2.782</v>
      </c>
      <c r="AG31" s="127">
        <v>2.8340000000000001</v>
      </c>
      <c r="AH31" s="127">
        <v>2.8839999999999999</v>
      </c>
      <c r="AI31" s="127">
        <v>2.339</v>
      </c>
      <c r="AJ31" s="127">
        <v>2.6379999999999999</v>
      </c>
      <c r="AK31" s="129">
        <v>2.782</v>
      </c>
      <c r="AL31" s="206">
        <v>5.4586808188021223</v>
      </c>
      <c r="AM31" s="206" t="s">
        <v>39</v>
      </c>
    </row>
    <row r="32" spans="1:39" ht="12.75" customHeight="1">
      <c r="A32" s="8"/>
      <c r="B32" s="10" t="s">
        <v>38</v>
      </c>
      <c r="C32" s="331"/>
      <c r="D32" s="331">
        <v>10</v>
      </c>
      <c r="E32" s="104">
        <v>14.301</v>
      </c>
      <c r="F32" s="185">
        <v>13.77</v>
      </c>
      <c r="G32" s="104">
        <v>13.544</v>
      </c>
      <c r="H32" s="104">
        <v>12.847</v>
      </c>
      <c r="I32" s="104">
        <v>12.243</v>
      </c>
      <c r="J32" s="104">
        <v>12.053000000000001</v>
      </c>
      <c r="K32" s="104">
        <v>11.582000000000001</v>
      </c>
      <c r="L32" s="104">
        <v>11.484999999999999</v>
      </c>
      <c r="M32" s="104">
        <v>11.515000000000001</v>
      </c>
      <c r="N32" s="104">
        <v>11.335000000000001</v>
      </c>
      <c r="O32" s="104">
        <v>11.148999999999999</v>
      </c>
      <c r="P32" s="104">
        <v>10.888999999999999</v>
      </c>
      <c r="Q32" s="104">
        <v>10.834</v>
      </c>
      <c r="R32" s="104">
        <v>10.852</v>
      </c>
      <c r="S32" s="104">
        <v>9.202</v>
      </c>
      <c r="T32" s="104">
        <v>9.3919999999999995</v>
      </c>
      <c r="U32" s="104">
        <v>9.07</v>
      </c>
      <c r="V32" s="104">
        <v>10.759</v>
      </c>
      <c r="W32" s="104">
        <v>10.804</v>
      </c>
      <c r="X32" s="205">
        <v>9.6669999999999998</v>
      </c>
      <c r="Y32" s="205">
        <v>9.6159999999999997</v>
      </c>
      <c r="Z32" s="205">
        <v>9.3420000000000005</v>
      </c>
      <c r="AA32" s="205">
        <v>9.2260000000000009</v>
      </c>
      <c r="AB32" s="205">
        <v>9.0709999999999997</v>
      </c>
      <c r="AC32" s="205">
        <v>9.1590000000000007</v>
      </c>
      <c r="AD32" s="205">
        <v>9.27</v>
      </c>
      <c r="AE32" s="205">
        <v>9.0909999999999993</v>
      </c>
      <c r="AF32" s="205">
        <v>9.2409999999999997</v>
      </c>
      <c r="AG32" s="205">
        <v>9.3629999999999995</v>
      </c>
      <c r="AH32" s="205">
        <v>9.2620000000000005</v>
      </c>
      <c r="AI32" s="205">
        <v>8.1639999999999997</v>
      </c>
      <c r="AJ32" s="104">
        <v>8.3699999999999992</v>
      </c>
      <c r="AK32" s="130">
        <v>8.6850000000000005</v>
      </c>
      <c r="AL32" s="183">
        <v>3.76344086021507</v>
      </c>
      <c r="AM32" s="183" t="s">
        <v>38</v>
      </c>
    </row>
    <row r="33" spans="1:39" ht="12.75" customHeight="1">
      <c r="A33" s="8"/>
      <c r="B33" s="119" t="s">
        <v>54</v>
      </c>
      <c r="C33" s="330">
        <v>8.1159999999999997</v>
      </c>
      <c r="D33" s="330">
        <v>8.9629999999999992</v>
      </c>
      <c r="E33" s="127">
        <v>9.327</v>
      </c>
      <c r="F33" s="127">
        <v>8.968</v>
      </c>
      <c r="G33" s="127">
        <v>8.6649999999999991</v>
      </c>
      <c r="H33" s="127">
        <v>8.2550000000000008</v>
      </c>
      <c r="I33" s="127">
        <v>8.0540000000000003</v>
      </c>
      <c r="J33" s="127">
        <v>8.0830000000000002</v>
      </c>
      <c r="K33" s="127">
        <v>8.2330000000000005</v>
      </c>
      <c r="L33" s="127">
        <v>8.4499999999999993</v>
      </c>
      <c r="M33" s="127">
        <v>9.0399999999999991</v>
      </c>
      <c r="N33" s="127">
        <v>9.4870000000000001</v>
      </c>
      <c r="O33" s="127">
        <v>9.8520000000000003</v>
      </c>
      <c r="P33" s="127">
        <v>9.7690000000000001</v>
      </c>
      <c r="Q33" s="127">
        <v>10.005000000000001</v>
      </c>
      <c r="R33" s="127">
        <v>10.358000000000001</v>
      </c>
      <c r="S33" s="127">
        <v>10.715999999999999</v>
      </c>
      <c r="T33" s="127">
        <v>10.920999999999999</v>
      </c>
      <c r="U33" s="127">
        <v>11.189</v>
      </c>
      <c r="V33" s="127">
        <v>11.542999999999999</v>
      </c>
      <c r="W33" s="127">
        <v>12.276</v>
      </c>
      <c r="X33" s="127">
        <v>13.016999999999999</v>
      </c>
      <c r="Y33" s="127">
        <v>13.65</v>
      </c>
      <c r="Z33" s="127">
        <v>14.226000000000001</v>
      </c>
      <c r="AA33" s="127">
        <v>14.93</v>
      </c>
      <c r="AB33" s="127">
        <v>15.536</v>
      </c>
      <c r="AC33" s="127">
        <v>16.251000000000001</v>
      </c>
      <c r="AD33" s="127">
        <v>16.856000000000002</v>
      </c>
      <c r="AE33" s="127">
        <v>17.536000000000001</v>
      </c>
      <c r="AF33" s="127">
        <v>18.100000000000001</v>
      </c>
      <c r="AG33" s="127">
        <v>18.518999999999998</v>
      </c>
      <c r="AH33" s="127">
        <v>19.137</v>
      </c>
      <c r="AI33" s="127">
        <v>19.282</v>
      </c>
      <c r="AJ33" s="127">
        <v>19.524000000000001</v>
      </c>
      <c r="AK33" s="129">
        <v>19.649000000000001</v>
      </c>
      <c r="AL33" s="206">
        <v>0.640237656217991</v>
      </c>
      <c r="AM33" s="206" t="s">
        <v>54</v>
      </c>
    </row>
    <row r="34" spans="1:39" ht="12.75" customHeight="1">
      <c r="A34" s="8"/>
      <c r="B34" s="11" t="s">
        <v>55</v>
      </c>
      <c r="C34" s="549">
        <v>14.253</v>
      </c>
      <c r="D34" s="549">
        <v>12.795999999999999</v>
      </c>
      <c r="E34" s="105">
        <v>14.595000000000001</v>
      </c>
      <c r="F34" s="550">
        <v>14.555</v>
      </c>
      <c r="G34" s="105">
        <v>14.252000000000001</v>
      </c>
      <c r="H34" s="105">
        <v>14.127000000000001</v>
      </c>
      <c r="I34" s="105">
        <v>14.292999999999999</v>
      </c>
      <c r="J34" s="105">
        <v>14.577</v>
      </c>
      <c r="K34" s="105">
        <v>14.753</v>
      </c>
      <c r="L34" s="105">
        <v>14.837999999999999</v>
      </c>
      <c r="M34" s="105">
        <v>14.923999999999999</v>
      </c>
      <c r="N34" s="105">
        <v>14.869</v>
      </c>
      <c r="O34" s="105">
        <v>14.417</v>
      </c>
      <c r="P34" s="105">
        <v>14.246</v>
      </c>
      <c r="Q34" s="105">
        <v>14.013</v>
      </c>
      <c r="R34" s="105">
        <v>13.742000000000001</v>
      </c>
      <c r="S34" s="105">
        <v>13.363</v>
      </c>
      <c r="T34" s="105">
        <v>13.477</v>
      </c>
      <c r="U34" s="105">
        <v>13.643000000000001</v>
      </c>
      <c r="V34" s="105">
        <v>13.315</v>
      </c>
      <c r="W34" s="105">
        <v>13.474</v>
      </c>
      <c r="X34" s="551">
        <v>13.407</v>
      </c>
      <c r="Y34" s="551">
        <v>13.872999999999999</v>
      </c>
      <c r="Z34" s="551">
        <v>13.946999999999999</v>
      </c>
      <c r="AA34" s="551">
        <v>14.202999999999999</v>
      </c>
      <c r="AB34" s="551">
        <v>13.986000000000001</v>
      </c>
      <c r="AC34" s="551">
        <v>13.992000000000001</v>
      </c>
      <c r="AD34" s="551">
        <v>14.114000000000001</v>
      </c>
      <c r="AE34" s="551">
        <v>13.89</v>
      </c>
      <c r="AF34" s="551">
        <v>14.4</v>
      </c>
      <c r="AG34" s="551">
        <v>14.378</v>
      </c>
      <c r="AH34" s="551">
        <v>14.913</v>
      </c>
      <c r="AI34" s="551">
        <v>13.488</v>
      </c>
      <c r="AJ34" s="551">
        <v>13.593</v>
      </c>
      <c r="AK34" s="552">
        <v>14.238</v>
      </c>
      <c r="AL34" s="186">
        <v>4.7450893842418935</v>
      </c>
      <c r="AM34" s="186" t="s">
        <v>55</v>
      </c>
    </row>
    <row r="35" spans="1:39" ht="12.75" customHeight="1">
      <c r="A35" s="8"/>
      <c r="B35" s="119" t="s">
        <v>26</v>
      </c>
      <c r="C35" s="330"/>
      <c r="D35" s="330"/>
      <c r="E35" s="127">
        <v>1.3280000000000001</v>
      </c>
      <c r="F35" s="127">
        <v>1.389</v>
      </c>
      <c r="G35" s="127">
        <v>1.157</v>
      </c>
      <c r="H35" s="127">
        <v>1.1930000000000001</v>
      </c>
      <c r="I35" s="127">
        <v>1.2490000000000001</v>
      </c>
      <c r="J35" s="127">
        <v>1.2949999999999999</v>
      </c>
      <c r="K35" s="127">
        <v>1.363</v>
      </c>
      <c r="L35" s="127">
        <v>1.4830000000000001</v>
      </c>
      <c r="M35" s="127">
        <v>1.544</v>
      </c>
      <c r="N35" s="127">
        <v>1.621</v>
      </c>
      <c r="O35" s="127">
        <v>1.673</v>
      </c>
      <c r="P35" s="127">
        <v>1.7110000000000001</v>
      </c>
      <c r="Q35" s="127">
        <v>1.6990000000000001</v>
      </c>
      <c r="R35" s="127">
        <v>1.7090000000000001</v>
      </c>
      <c r="S35" s="127">
        <v>1.762</v>
      </c>
      <c r="T35" s="127">
        <v>1.899</v>
      </c>
      <c r="U35" s="127">
        <v>1.929</v>
      </c>
      <c r="V35" s="127">
        <v>1.9430000000000001</v>
      </c>
      <c r="W35" s="127">
        <v>1.9550000000000001</v>
      </c>
      <c r="X35" s="127">
        <v>1.8879999999999999</v>
      </c>
      <c r="Y35" s="127">
        <v>1.9159999999999999</v>
      </c>
      <c r="Z35" s="127">
        <v>1.972</v>
      </c>
      <c r="AA35" s="127">
        <v>2.0840000000000001</v>
      </c>
      <c r="AB35" s="127">
        <v>2.1789999999999998</v>
      </c>
      <c r="AC35" s="127">
        <v>2.2999999999999998</v>
      </c>
      <c r="AD35" s="127">
        <v>2.4630000000000001</v>
      </c>
      <c r="AE35" s="127">
        <v>2.8620000000000001</v>
      </c>
      <c r="AF35" s="127">
        <v>3.13</v>
      </c>
      <c r="AG35" s="127">
        <v>3.198</v>
      </c>
      <c r="AH35" s="127">
        <v>3.194</v>
      </c>
      <c r="AI35" s="127">
        <v>3.105</v>
      </c>
      <c r="AJ35" s="127">
        <v>3.625</v>
      </c>
      <c r="AK35" s="129">
        <v>3.22</v>
      </c>
      <c r="AL35" s="206">
        <v>-11.172413793103445</v>
      </c>
      <c r="AM35" s="206" t="s">
        <v>26</v>
      </c>
    </row>
    <row r="36" spans="1:39" ht="12.75" customHeight="1">
      <c r="A36" s="8"/>
      <c r="B36" s="10" t="s">
        <v>65</v>
      </c>
      <c r="C36" s="331"/>
      <c r="D36" s="331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>
        <v>0.10300000000000001</v>
      </c>
      <c r="P36" s="104">
        <v>0.113</v>
      </c>
      <c r="Q36" s="104">
        <v>0.10300000000000001</v>
      </c>
      <c r="R36" s="104">
        <v>9.9000000000000005E-2</v>
      </c>
      <c r="S36" s="104">
        <v>0.10199999999999998</v>
      </c>
      <c r="T36" s="104">
        <v>0.10500000000000001</v>
      </c>
      <c r="U36" s="104">
        <v>0.10599999999999998</v>
      </c>
      <c r="V36" s="104">
        <v>0.10100000000000001</v>
      </c>
      <c r="W36" s="104">
        <v>9.9000000000000005E-2</v>
      </c>
      <c r="X36" s="205">
        <v>0.10300000000000004</v>
      </c>
      <c r="Y36" s="205">
        <v>0.10500000000000004</v>
      </c>
      <c r="Z36" s="205">
        <v>0.10499999999999998</v>
      </c>
      <c r="AA36" s="205">
        <v>0.10500000000000001</v>
      </c>
      <c r="AB36" s="205">
        <v>0.10099999999999999</v>
      </c>
      <c r="AC36" s="205">
        <v>0.10100000000000001</v>
      </c>
      <c r="AD36" s="205">
        <v>0.10299999999999999</v>
      </c>
      <c r="AE36" s="205">
        <v>9.8000000000000004E-2</v>
      </c>
      <c r="AF36" s="205">
        <v>0.1</v>
      </c>
      <c r="AG36" s="205">
        <v>9.9000000000000005E-2</v>
      </c>
      <c r="AH36" s="205">
        <v>0.10199999999999999</v>
      </c>
      <c r="AI36" s="205">
        <v>7.4999999999999997E-2</v>
      </c>
      <c r="AJ36" s="104">
        <v>8.6999999999999994E-2</v>
      </c>
      <c r="AK36" s="130">
        <v>0.10100000000000001</v>
      </c>
      <c r="AL36" s="183">
        <v>16.091954022988531</v>
      </c>
      <c r="AM36" s="183" t="s">
        <v>65</v>
      </c>
    </row>
    <row r="37" spans="1:39" ht="12.75" customHeight="1">
      <c r="A37" s="8"/>
      <c r="B37" s="119" t="s">
        <v>56</v>
      </c>
      <c r="C37" s="330"/>
      <c r="D37" s="330"/>
      <c r="E37" s="127">
        <v>21.222000000000001</v>
      </c>
      <c r="F37" s="127">
        <v>23.288</v>
      </c>
      <c r="G37" s="127">
        <v>26.76</v>
      </c>
      <c r="H37" s="127">
        <v>29.134</v>
      </c>
      <c r="I37" s="127">
        <v>30.547000000000001</v>
      </c>
      <c r="J37" s="127">
        <v>32.515000000000001</v>
      </c>
      <c r="K37" s="127">
        <v>33.959000000000003</v>
      </c>
      <c r="L37" s="127">
        <v>35.170999999999999</v>
      </c>
      <c r="M37" s="127">
        <v>36.218000000000004</v>
      </c>
      <c r="N37" s="127">
        <v>37.039000000000001</v>
      </c>
      <c r="O37" s="127">
        <v>36.686</v>
      </c>
      <c r="P37" s="127">
        <v>35.667000000000002</v>
      </c>
      <c r="Q37" s="127">
        <v>34.11</v>
      </c>
      <c r="R37" s="127">
        <v>32.374000000000002</v>
      </c>
      <c r="S37" s="127">
        <v>30.591999999999999</v>
      </c>
      <c r="T37" s="127">
        <v>28.783000000000001</v>
      </c>
      <c r="U37" s="127">
        <v>26.954000000000001</v>
      </c>
      <c r="V37" s="127">
        <v>25.204000000000001</v>
      </c>
      <c r="W37" s="127">
        <v>23.324000000000002</v>
      </c>
      <c r="X37" s="127">
        <v>21.474</v>
      </c>
      <c r="Y37" s="127">
        <v>20.347999999999999</v>
      </c>
      <c r="Z37" s="127">
        <v>19.239999999999998</v>
      </c>
      <c r="AA37" s="127">
        <v>18.22</v>
      </c>
      <c r="AB37" s="127">
        <v>17.584</v>
      </c>
      <c r="AC37" s="127">
        <v>17.111000000000001</v>
      </c>
      <c r="AD37" s="127">
        <v>16.667999999999999</v>
      </c>
      <c r="AE37" s="127">
        <v>16.257999999999999</v>
      </c>
      <c r="AF37" s="127">
        <v>16.041</v>
      </c>
      <c r="AG37" s="127">
        <v>15.634</v>
      </c>
      <c r="AH37" s="127">
        <v>15.867000000000001</v>
      </c>
      <c r="AI37" s="127">
        <v>16.085999999999999</v>
      </c>
      <c r="AJ37" s="127">
        <v>15.590999999999999</v>
      </c>
      <c r="AK37" s="129">
        <v>15.124000000000001</v>
      </c>
      <c r="AL37" s="206">
        <v>-2.9953178115579391</v>
      </c>
      <c r="AM37" s="206" t="s">
        <v>56</v>
      </c>
    </row>
    <row r="38" spans="1:39" ht="12.75" customHeight="1">
      <c r="A38" s="8"/>
      <c r="B38" s="11" t="s">
        <v>27</v>
      </c>
      <c r="C38" s="549"/>
      <c r="D38" s="549"/>
      <c r="E38" s="105">
        <v>31.18</v>
      </c>
      <c r="F38" s="550">
        <v>32.968000000000004</v>
      </c>
      <c r="G38" s="105">
        <v>34.136000000000003</v>
      </c>
      <c r="H38" s="105">
        <v>34.851999999999997</v>
      </c>
      <c r="I38" s="105">
        <v>35.676000000000002</v>
      </c>
      <c r="J38" s="105">
        <v>36.517000000000003</v>
      </c>
      <c r="K38" s="105">
        <v>37.661999999999999</v>
      </c>
      <c r="L38" s="105">
        <v>38.508000000000003</v>
      </c>
      <c r="M38" s="105">
        <v>39.012</v>
      </c>
      <c r="N38" s="105">
        <v>39.692</v>
      </c>
      <c r="O38" s="105">
        <v>40.26</v>
      </c>
      <c r="P38" s="105">
        <v>41.341999999999999</v>
      </c>
      <c r="Q38" s="105">
        <v>42.401000000000003</v>
      </c>
      <c r="R38" s="105">
        <v>43.628999999999998</v>
      </c>
      <c r="S38" s="105">
        <v>44.783999999999999</v>
      </c>
      <c r="T38" s="105">
        <v>45.784999999999997</v>
      </c>
      <c r="U38" s="105">
        <v>46.445</v>
      </c>
      <c r="V38" s="105">
        <v>48.026000000000003</v>
      </c>
      <c r="W38" s="105">
        <v>48.536000000000001</v>
      </c>
      <c r="X38" s="551">
        <v>50.674999999999997</v>
      </c>
      <c r="Y38" s="551">
        <v>52.750999999999998</v>
      </c>
      <c r="Z38" s="551">
        <v>55.421999999999997</v>
      </c>
      <c r="AA38" s="551">
        <v>58.3</v>
      </c>
      <c r="AB38" s="551">
        <v>60.151000000000003</v>
      </c>
      <c r="AC38" s="551">
        <v>62.436</v>
      </c>
      <c r="AD38" s="551">
        <v>65.72</v>
      </c>
      <c r="AE38" s="551">
        <v>69.676000000000002</v>
      </c>
      <c r="AF38" s="551">
        <v>73.813999999999993</v>
      </c>
      <c r="AG38" s="551">
        <v>77.984999999999999</v>
      </c>
      <c r="AH38" s="551">
        <v>83.054000000000002</v>
      </c>
      <c r="AI38" s="551">
        <v>88.293000000000006</v>
      </c>
      <c r="AJ38" s="551">
        <v>97.805000000000007</v>
      </c>
      <c r="AK38" s="872">
        <v>105.158</v>
      </c>
      <c r="AL38" s="186">
        <v>7.518020551096555</v>
      </c>
      <c r="AM38" s="186" t="s">
        <v>27</v>
      </c>
    </row>
    <row r="39" spans="1:39" ht="12.75" customHeight="1">
      <c r="A39" s="8"/>
      <c r="B39" s="119" t="s">
        <v>311</v>
      </c>
      <c r="C39" s="330"/>
      <c r="D39" s="330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344"/>
      <c r="Y39" s="344"/>
      <c r="Z39" s="344"/>
      <c r="AA39" s="344"/>
      <c r="AB39" s="344"/>
      <c r="AC39" s="344"/>
      <c r="AD39" s="344"/>
      <c r="AE39" s="344"/>
      <c r="AF39" s="344">
        <v>4.3940000000000001</v>
      </c>
      <c r="AG39" s="344">
        <v>4.46</v>
      </c>
      <c r="AH39" s="344">
        <v>4.4580000000000002</v>
      </c>
      <c r="AI39" s="344">
        <v>3.6150000000000002</v>
      </c>
      <c r="AJ39" s="344">
        <v>3.944</v>
      </c>
      <c r="AK39" s="344">
        <v>4.1980000000000004</v>
      </c>
      <c r="AL39" s="206">
        <v>6.4401622718052778</v>
      </c>
      <c r="AM39" s="206" t="s">
        <v>311</v>
      </c>
    </row>
    <row r="40" spans="1:39" s="22" customFormat="1" ht="12.75" customHeight="1">
      <c r="A40" s="203"/>
      <c r="B40" s="10" t="s">
        <v>139</v>
      </c>
      <c r="C40" s="331"/>
      <c r="D40" s="331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4"/>
      <c r="X40" s="104"/>
      <c r="Y40" s="104"/>
      <c r="Z40" s="104">
        <v>1.2170000000000001</v>
      </c>
      <c r="AA40" s="104">
        <v>1.1990000000000001</v>
      </c>
      <c r="AB40" s="104">
        <v>1.246</v>
      </c>
      <c r="AC40" s="104">
        <v>1.2470000000000001</v>
      </c>
      <c r="AD40" s="104">
        <v>1.2609999999999999</v>
      </c>
      <c r="AE40" s="104">
        <v>1.3080000000000001</v>
      </c>
      <c r="AF40" s="104">
        <v>1.37</v>
      </c>
      <c r="AG40" s="104">
        <v>1.4590000000000001</v>
      </c>
      <c r="AH40" s="104">
        <v>1.49</v>
      </c>
      <c r="AI40" s="104">
        <v>0.97899999999999998</v>
      </c>
      <c r="AJ40" s="104">
        <v>1.2250000000000001</v>
      </c>
      <c r="AK40" s="130">
        <v>1.3160000000000001</v>
      </c>
      <c r="AL40" s="183">
        <v>7.4285714285714306</v>
      </c>
      <c r="AM40" s="183" t="s">
        <v>139</v>
      </c>
    </row>
    <row r="41" spans="1:39" ht="12.75" customHeight="1">
      <c r="A41" s="8"/>
      <c r="B41" s="119" t="s">
        <v>313</v>
      </c>
      <c r="C41" s="330"/>
      <c r="D41" s="330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>
        <v>19.741</v>
      </c>
      <c r="T41" s="127">
        <v>19.824999999999999</v>
      </c>
      <c r="U41" s="127">
        <v>21.056000000000001</v>
      </c>
      <c r="V41" s="127">
        <v>21.094999999999999</v>
      </c>
      <c r="W41" s="127">
        <v>21.491</v>
      </c>
      <c r="X41" s="127">
        <v>21.346</v>
      </c>
      <c r="Y41" s="127">
        <v>21.395</v>
      </c>
      <c r="Z41" s="127">
        <v>21.349</v>
      </c>
      <c r="AA41" s="127">
        <v>21.433</v>
      </c>
      <c r="AB41" s="127">
        <v>21.344000000000001</v>
      </c>
      <c r="AC41" s="127">
        <v>21.359000000000002</v>
      </c>
      <c r="AD41" s="127">
        <v>21.134</v>
      </c>
      <c r="AE41" s="127">
        <v>20.968</v>
      </c>
      <c r="AF41" s="127">
        <v>20.943999999999999</v>
      </c>
      <c r="AG41" s="127">
        <v>21.05</v>
      </c>
      <c r="AH41" s="127">
        <v>21.087</v>
      </c>
      <c r="AI41" s="127">
        <v>21.013999999999999</v>
      </c>
      <c r="AJ41" s="127">
        <v>21.076000000000001</v>
      </c>
      <c r="AK41" s="127">
        <v>21.055</v>
      </c>
      <c r="AL41" s="206">
        <v>-9.9639400265701283E-2</v>
      </c>
      <c r="AM41" s="206" t="s">
        <v>313</v>
      </c>
    </row>
    <row r="42" spans="1:39" s="22" customFormat="1" ht="12.75" customHeight="1">
      <c r="A42" s="203"/>
      <c r="B42" s="10" t="s">
        <v>0</v>
      </c>
      <c r="C42" s="331"/>
      <c r="D42" s="331"/>
      <c r="E42" s="104">
        <v>2.3199999999999998</v>
      </c>
      <c r="F42" s="185">
        <v>2.5760000000000001</v>
      </c>
      <c r="G42" s="104">
        <v>2.8279999999999998</v>
      </c>
      <c r="H42" s="104">
        <v>2.9209999999999998</v>
      </c>
      <c r="I42" s="104">
        <v>2.4529999999999998</v>
      </c>
      <c r="J42" s="104">
        <v>2.5409999999999999</v>
      </c>
      <c r="K42" s="104">
        <v>2.4420000000000002</v>
      </c>
      <c r="L42" s="104">
        <v>2.4300000000000002</v>
      </c>
      <c r="M42" s="104">
        <v>2.4780000000000002</v>
      </c>
      <c r="N42" s="104">
        <v>2.4790000000000001</v>
      </c>
      <c r="O42" s="104">
        <v>2.4980000000000002</v>
      </c>
      <c r="P42" s="104">
        <v>2.62</v>
      </c>
      <c r="Q42" s="104">
        <v>2.4969999999999999</v>
      </c>
      <c r="R42" s="104">
        <v>2.4780000000000002</v>
      </c>
      <c r="S42" s="104">
        <v>2.1760000000000002</v>
      </c>
      <c r="T42" s="104">
        <v>2.2690000000000001</v>
      </c>
      <c r="U42" s="104">
        <v>2.2200000000000002</v>
      </c>
      <c r="V42" s="104">
        <v>2.2839999999999998</v>
      </c>
      <c r="W42" s="104">
        <v>2.27</v>
      </c>
      <c r="X42" s="205">
        <v>2.4540000000000002</v>
      </c>
      <c r="Y42" s="205">
        <v>2.6949999999999998</v>
      </c>
      <c r="Z42" s="205">
        <v>2.6360000000000001</v>
      </c>
      <c r="AA42" s="205">
        <v>2.7189999999999999</v>
      </c>
      <c r="AB42" s="205">
        <v>3.0219999999999998</v>
      </c>
      <c r="AC42" s="205">
        <v>3.1640000000000001</v>
      </c>
      <c r="AD42" s="205">
        <v>3.2429999999999999</v>
      </c>
      <c r="AE42" s="205">
        <v>3.23</v>
      </c>
      <c r="AF42" s="205">
        <v>3.1880000000000002</v>
      </c>
      <c r="AG42" s="205">
        <v>3.2010000000000001</v>
      </c>
      <c r="AH42" s="205">
        <v>3.1440000000000001</v>
      </c>
      <c r="AI42" s="205">
        <v>2.6120000000000001</v>
      </c>
      <c r="AJ42" s="205">
        <v>2.9460000000000002</v>
      </c>
      <c r="AK42" s="229">
        <v>2.8679999999999999</v>
      </c>
      <c r="AL42" s="183">
        <v>-2.6476578411405427</v>
      </c>
      <c r="AM42" s="183" t="s">
        <v>0</v>
      </c>
    </row>
    <row r="43" spans="1:39" ht="12.75" customHeight="1">
      <c r="A43" s="8"/>
      <c r="B43" s="939" t="s">
        <v>346</v>
      </c>
      <c r="C43" s="330"/>
      <c r="D43" s="330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344"/>
      <c r="Y43" s="344"/>
      <c r="Z43" s="344"/>
      <c r="AA43" s="995"/>
      <c r="AB43" s="344">
        <v>51.9</v>
      </c>
      <c r="AC43" s="344">
        <v>52.7</v>
      </c>
      <c r="AD43" s="344">
        <v>53</v>
      </c>
      <c r="AE43" s="344">
        <v>53.4</v>
      </c>
      <c r="AF43" s="344" t="s">
        <v>314</v>
      </c>
      <c r="AG43" s="344">
        <v>53.88</v>
      </c>
      <c r="AH43" s="344">
        <v>54.537999999999997</v>
      </c>
      <c r="AI43" s="344">
        <v>54.537999999999997</v>
      </c>
      <c r="AJ43" s="344">
        <v>55.598999999999997</v>
      </c>
      <c r="AK43" s="344">
        <v>54.281999999999996</v>
      </c>
      <c r="AL43" s="206">
        <v>-2.36874763934604</v>
      </c>
      <c r="AM43" s="206" t="s">
        <v>346</v>
      </c>
    </row>
    <row r="44" spans="1:39" s="22" customFormat="1" ht="12.75" customHeight="1">
      <c r="A44" s="203"/>
      <c r="B44" s="935" t="s">
        <v>145</v>
      </c>
      <c r="C44" s="331"/>
      <c r="D44" s="331"/>
      <c r="E44" s="104"/>
      <c r="F44" s="104"/>
      <c r="G44" s="104"/>
      <c r="H44" s="104">
        <v>7.5819999999999999</v>
      </c>
      <c r="I44" s="104">
        <v>8.1489999999999991</v>
      </c>
      <c r="J44" s="104">
        <v>6.6509999999999998</v>
      </c>
      <c r="K44" s="104">
        <v>7.6120000000000001</v>
      </c>
      <c r="L44" s="104">
        <v>8.7469999999999999</v>
      </c>
      <c r="M44" s="104">
        <v>9.2270000000000003</v>
      </c>
      <c r="N44" s="104">
        <v>12.305999999999999</v>
      </c>
      <c r="O44" s="104">
        <v>16.806000000000001</v>
      </c>
      <c r="P44" s="104">
        <v>20.812999999999999</v>
      </c>
      <c r="Q44" s="104">
        <v>21.026</v>
      </c>
      <c r="R44" s="104">
        <v>21.693000000000001</v>
      </c>
      <c r="S44" s="104">
        <v>25.065999999999999</v>
      </c>
      <c r="T44" s="104">
        <v>29.452999999999999</v>
      </c>
      <c r="U44" s="104">
        <v>35.972999999999999</v>
      </c>
      <c r="V44" s="104">
        <v>29.506</v>
      </c>
      <c r="W44" s="104">
        <v>6.6449999999999996</v>
      </c>
      <c r="X44" s="104">
        <v>6.5940000000000003</v>
      </c>
      <c r="Y44" s="104">
        <v>7.032</v>
      </c>
      <c r="Z44" s="104">
        <v>6.6980000000000004</v>
      </c>
      <c r="AA44" s="104">
        <v>5.25</v>
      </c>
      <c r="AB44" s="104">
        <v>5.6760000000000002</v>
      </c>
      <c r="AC44" s="104">
        <v>6.048</v>
      </c>
      <c r="AD44" s="104">
        <v>6.423</v>
      </c>
      <c r="AE44" s="104">
        <v>7.05</v>
      </c>
      <c r="AF44" s="104">
        <v>6.7610000000000001</v>
      </c>
      <c r="AG44" s="104">
        <v>7.1459999999999999</v>
      </c>
      <c r="AH44" s="104">
        <v>7.5350000000000001</v>
      </c>
      <c r="AI44" s="104">
        <v>7.6269999999999998</v>
      </c>
      <c r="AJ44" s="104">
        <v>7.867</v>
      </c>
      <c r="AK44" s="130">
        <v>8.2110000000000003</v>
      </c>
      <c r="AL44" s="183">
        <v>4.3726960722003412</v>
      </c>
      <c r="AM44" s="183" t="s">
        <v>145</v>
      </c>
    </row>
    <row r="45" spans="1:39" ht="12.75" customHeight="1">
      <c r="A45" s="8"/>
      <c r="B45" s="939" t="s">
        <v>138</v>
      </c>
      <c r="C45" s="330"/>
      <c r="D45" s="330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  <c r="P45" s="127">
        <v>9.2870000000000008</v>
      </c>
      <c r="Q45" s="127">
        <v>8.9109999999999996</v>
      </c>
      <c r="R45" s="127">
        <v>9.1440000000000001</v>
      </c>
      <c r="S45" s="127">
        <v>9.125</v>
      </c>
      <c r="T45" s="127">
        <v>9.6959999999999997</v>
      </c>
      <c r="U45" s="127">
        <v>9.3119999999999994</v>
      </c>
      <c r="V45" s="127">
        <v>8.8870000000000005</v>
      </c>
      <c r="W45" s="127">
        <v>8.5570000000000004</v>
      </c>
      <c r="X45" s="344">
        <v>8.8529999999999998</v>
      </c>
      <c r="Y45" s="344">
        <v>8.0340000000000007</v>
      </c>
      <c r="Z45" s="344">
        <v>8.8049999999999997</v>
      </c>
      <c r="AA45" s="344">
        <v>8.8339999999999996</v>
      </c>
      <c r="AB45" s="344">
        <v>9.0190000000000001</v>
      </c>
      <c r="AC45" s="344">
        <v>9.0440000000000005</v>
      </c>
      <c r="AD45" s="344">
        <v>9.4819999999999993</v>
      </c>
      <c r="AE45" s="344">
        <v>9.6259999999999994</v>
      </c>
      <c r="AF45" s="344">
        <v>9.9</v>
      </c>
      <c r="AG45" s="344">
        <v>9.8800000000000008</v>
      </c>
      <c r="AH45" s="344">
        <v>10.441000000000001</v>
      </c>
      <c r="AI45" s="344">
        <v>9.9</v>
      </c>
      <c r="AJ45" s="344">
        <v>10.391999999999999</v>
      </c>
      <c r="AK45" s="341">
        <v>11.135999999999999</v>
      </c>
      <c r="AL45" s="206">
        <v>7.1593533487297947</v>
      </c>
      <c r="AM45" s="206" t="s">
        <v>138</v>
      </c>
    </row>
    <row r="46" spans="1:39" s="22" customFormat="1" ht="12.75" customHeight="1">
      <c r="A46" s="203"/>
      <c r="B46" s="935" t="s">
        <v>40</v>
      </c>
      <c r="C46" s="331"/>
      <c r="D46" s="331"/>
      <c r="E46" s="104">
        <v>188.09899999999999</v>
      </c>
      <c r="F46" s="104">
        <v>202.60499999999999</v>
      </c>
      <c r="G46" s="104">
        <v>220.904</v>
      </c>
      <c r="H46" s="104">
        <v>244.154</v>
      </c>
      <c r="I46" s="104">
        <v>253.96899999999999</v>
      </c>
      <c r="J46" s="104">
        <v>263.24799999999999</v>
      </c>
      <c r="K46" s="104">
        <v>277.67200000000003</v>
      </c>
      <c r="L46" s="104">
        <v>298.95299999999997</v>
      </c>
      <c r="M46" s="104">
        <v>319.85599999999999</v>
      </c>
      <c r="N46" s="104">
        <v>333.86900000000003</v>
      </c>
      <c r="O46" s="104">
        <v>354.339</v>
      </c>
      <c r="P46" s="104">
        <v>358.68700000000001</v>
      </c>
      <c r="Q46" s="104">
        <v>361.79700000000003</v>
      </c>
      <c r="R46" s="104">
        <v>368.89400000000001</v>
      </c>
      <c r="S46" s="104">
        <v>471.666</v>
      </c>
      <c r="T46" s="104">
        <v>501.92899999999997</v>
      </c>
      <c r="U46" s="104">
        <v>533.47199999999998</v>
      </c>
      <c r="V46" s="104">
        <v>561.72900000000004</v>
      </c>
      <c r="W46" s="104">
        <v>583.48199999999997</v>
      </c>
      <c r="X46" s="104">
        <v>585.08600000000001</v>
      </c>
      <c r="Y46" s="104">
        <v>595.48299999999995</v>
      </c>
      <c r="Z46" s="104">
        <v>609.34100000000001</v>
      </c>
      <c r="AA46" s="104">
        <v>632.06799999999998</v>
      </c>
      <c r="AB46" s="104">
        <v>641.73299999999995</v>
      </c>
      <c r="AC46" s="104">
        <v>638.46400000000006</v>
      </c>
      <c r="AD46" s="104">
        <v>666.26900000000001</v>
      </c>
      <c r="AE46" s="104">
        <v>684.29399999999998</v>
      </c>
      <c r="AF46" s="104">
        <v>700.5</v>
      </c>
      <c r="AG46" s="104">
        <v>706.05</v>
      </c>
      <c r="AH46" s="104">
        <v>706.73099999999999</v>
      </c>
      <c r="AI46" s="104">
        <v>705.80200000000002</v>
      </c>
      <c r="AJ46" s="104">
        <v>693.68799999999999</v>
      </c>
      <c r="AK46" s="130">
        <v>695.82299999999998</v>
      </c>
      <c r="AL46" s="183">
        <v>0.30777525342804779</v>
      </c>
      <c r="AM46" s="183" t="s">
        <v>40</v>
      </c>
    </row>
    <row r="47" spans="1:39" ht="12.75" customHeight="1">
      <c r="A47" s="8"/>
      <c r="B47" s="120" t="s">
        <v>312</v>
      </c>
      <c r="C47" s="996"/>
      <c r="D47" s="996"/>
      <c r="E47" s="187"/>
      <c r="F47" s="187"/>
      <c r="G47" s="187"/>
      <c r="H47" s="187"/>
      <c r="I47" s="187"/>
      <c r="J47" s="187"/>
      <c r="K47" s="187"/>
      <c r="L47" s="187"/>
      <c r="M47" s="187"/>
      <c r="N47" s="187">
        <v>144.36000000000001</v>
      </c>
      <c r="O47" s="187">
        <v>145.548</v>
      </c>
      <c r="P47" s="187">
        <v>143.453</v>
      </c>
      <c r="Q47" s="187">
        <v>159.29300000000001</v>
      </c>
      <c r="R47" s="187">
        <v>174.11600000000001</v>
      </c>
      <c r="S47" s="187">
        <v>175.94499999999999</v>
      </c>
      <c r="T47" s="187">
        <v>167.88900000000001</v>
      </c>
      <c r="U47" s="187">
        <v>180.01</v>
      </c>
      <c r="V47" s="187">
        <v>185.50299999999999</v>
      </c>
      <c r="W47" s="187">
        <v>188.00800000000001</v>
      </c>
      <c r="X47" s="997">
        <v>181.5915</v>
      </c>
      <c r="Y47" s="187">
        <v>175.17500000000001</v>
      </c>
      <c r="Z47" s="997">
        <v>253.446</v>
      </c>
      <c r="AA47" s="997">
        <v>253.446</v>
      </c>
      <c r="AB47" s="997">
        <v>253.446</v>
      </c>
      <c r="AC47" s="997">
        <v>253.446</v>
      </c>
      <c r="AD47" s="997">
        <v>253.446</v>
      </c>
      <c r="AE47" s="997">
        <v>253.446</v>
      </c>
      <c r="AF47" s="997">
        <v>253.446</v>
      </c>
      <c r="AG47" s="997">
        <v>253.446</v>
      </c>
      <c r="AH47" s="997">
        <v>253.446</v>
      </c>
      <c r="AI47" s="997">
        <v>253.446</v>
      </c>
      <c r="AJ47" s="997">
        <v>253.446</v>
      </c>
      <c r="AK47" s="997"/>
      <c r="AL47" s="532"/>
      <c r="AM47" s="532" t="s">
        <v>312</v>
      </c>
    </row>
    <row r="48" spans="1:39" s="22" customFormat="1" ht="15.75" customHeight="1">
      <c r="B48" s="935" t="s">
        <v>44</v>
      </c>
      <c r="C48" s="331">
        <v>84.2</v>
      </c>
      <c r="D48" s="331">
        <v>83.3</v>
      </c>
      <c r="E48" s="104">
        <v>75</v>
      </c>
      <c r="F48" s="185">
        <v>75.5</v>
      </c>
      <c r="G48" s="104">
        <v>76</v>
      </c>
      <c r="H48" s="104">
        <v>76.5</v>
      </c>
      <c r="I48" s="104">
        <v>76.5</v>
      </c>
      <c r="J48" s="104">
        <v>75.899999999999991</v>
      </c>
      <c r="K48" s="104">
        <v>78.699999999999989</v>
      </c>
      <c r="L48" s="104">
        <v>80.699999999999989</v>
      </c>
      <c r="M48" s="104">
        <v>82.3</v>
      </c>
      <c r="N48" s="104">
        <v>85.8</v>
      </c>
      <c r="O48" s="104">
        <v>88.6</v>
      </c>
      <c r="P48" s="104">
        <v>90.8</v>
      </c>
      <c r="Q48" s="104">
        <v>94.6</v>
      </c>
      <c r="R48" s="104">
        <v>98.5</v>
      </c>
      <c r="S48" s="104">
        <v>102.2</v>
      </c>
      <c r="T48" s="104">
        <v>105.6</v>
      </c>
      <c r="U48" s="104">
        <v>106.60000000000001</v>
      </c>
      <c r="V48" s="104">
        <v>109.2</v>
      </c>
      <c r="W48" s="104">
        <v>110.9</v>
      </c>
      <c r="X48" s="205">
        <v>111.48699999999999</v>
      </c>
      <c r="Y48" s="205">
        <v>111.535</v>
      </c>
      <c r="Z48" s="205">
        <v>110.221</v>
      </c>
      <c r="AA48" s="205">
        <v>111.09399999999999</v>
      </c>
      <c r="AB48" s="205">
        <v>111.61499999999999</v>
      </c>
      <c r="AC48" s="205">
        <v>112.17100000000001</v>
      </c>
      <c r="AD48" s="205">
        <v>113.34</v>
      </c>
      <c r="AE48" s="205">
        <v>113.90900000000001</v>
      </c>
      <c r="AF48" s="205">
        <v>113.2</v>
      </c>
      <c r="AG48" s="205">
        <v>112.1</v>
      </c>
      <c r="AH48" s="205">
        <v>110.9</v>
      </c>
      <c r="AI48" s="551">
        <v>98.4</v>
      </c>
      <c r="AJ48" s="551">
        <v>102.6</v>
      </c>
      <c r="AK48" s="229">
        <v>100</v>
      </c>
      <c r="AL48" s="186">
        <v>-2.5341130604288509</v>
      </c>
      <c r="AM48" s="183" t="s">
        <v>44</v>
      </c>
    </row>
    <row r="49" spans="2:39" ht="12.75" customHeight="1">
      <c r="B49" s="1292" t="s">
        <v>257</v>
      </c>
      <c r="C49" s="1292"/>
      <c r="D49" s="1292"/>
      <c r="E49" s="1292"/>
      <c r="F49" s="1292"/>
      <c r="G49" s="1292"/>
      <c r="H49" s="1292"/>
      <c r="I49" s="1292"/>
      <c r="J49" s="1292"/>
      <c r="K49" s="1292"/>
      <c r="L49" s="1292"/>
      <c r="M49" s="1292"/>
      <c r="N49" s="1292"/>
      <c r="O49" s="1292"/>
      <c r="P49" s="1292"/>
      <c r="Q49" s="1292"/>
      <c r="R49" s="1292"/>
      <c r="S49" s="1292"/>
      <c r="T49" s="1292"/>
      <c r="U49" s="1292"/>
      <c r="V49" s="1292"/>
      <c r="W49" s="1292"/>
      <c r="X49" s="1292"/>
      <c r="Y49" s="1292"/>
      <c r="Z49" s="1292"/>
      <c r="AA49" s="1292"/>
      <c r="AB49" s="1292"/>
      <c r="AC49" s="1292"/>
      <c r="AD49" s="1292"/>
      <c r="AE49" s="1292"/>
      <c r="AF49" s="1292"/>
      <c r="AG49" s="1292"/>
      <c r="AH49" s="1292"/>
      <c r="AI49" s="1292"/>
      <c r="AJ49" s="1292"/>
      <c r="AK49" s="1292"/>
      <c r="AL49" s="1292"/>
      <c r="AM49" s="1292"/>
    </row>
    <row r="50" spans="2:39" ht="12.75" customHeight="1">
      <c r="B50" s="1294" t="s">
        <v>290</v>
      </c>
      <c r="C50" s="1295"/>
      <c r="D50" s="1295"/>
      <c r="E50" s="1295"/>
      <c r="F50" s="1295"/>
      <c r="G50" s="1295"/>
      <c r="H50" s="1295"/>
      <c r="I50" s="1295"/>
      <c r="J50" s="1295"/>
      <c r="K50" s="1295"/>
      <c r="L50" s="1295"/>
      <c r="M50" s="1295"/>
      <c r="N50" s="1295"/>
      <c r="O50" s="1295"/>
      <c r="P50" s="1295"/>
      <c r="Q50" s="1295"/>
      <c r="R50" s="1295"/>
      <c r="S50" s="1295"/>
      <c r="T50" s="1295"/>
      <c r="U50" s="1295"/>
      <c r="V50" s="1295"/>
      <c r="W50" s="1295"/>
      <c r="X50" s="1295"/>
      <c r="Y50" s="1295"/>
      <c r="Z50" s="1295"/>
      <c r="AA50" s="1295"/>
      <c r="AB50" s="1295"/>
      <c r="AC50" s="1295"/>
      <c r="AD50" s="1295"/>
      <c r="AE50" s="1295"/>
      <c r="AF50" s="1295"/>
      <c r="AG50" s="1295"/>
      <c r="AH50" s="1295"/>
      <c r="AI50" s="1295"/>
      <c r="AJ50" s="1295"/>
      <c r="AK50" s="1295"/>
      <c r="AL50" s="1295"/>
      <c r="AM50" s="1295"/>
    </row>
    <row r="51" spans="2:39">
      <c r="B51" s="1295" t="s">
        <v>126</v>
      </c>
      <c r="C51" s="1295"/>
      <c r="D51" s="1295"/>
      <c r="E51" s="1295"/>
      <c r="F51" s="1295"/>
      <c r="G51" s="1295"/>
      <c r="H51" s="1295"/>
      <c r="I51" s="1295"/>
      <c r="J51" s="1295"/>
      <c r="K51" s="1295"/>
      <c r="L51" s="1295"/>
      <c r="M51" s="1295"/>
      <c r="N51" s="1295"/>
      <c r="O51" s="1295"/>
      <c r="P51" s="1295"/>
      <c r="Q51" s="1295"/>
      <c r="R51" s="1295"/>
      <c r="S51" s="1295"/>
      <c r="T51" s="1295"/>
      <c r="U51" s="1295"/>
      <c r="V51" s="1295"/>
      <c r="W51" s="1295"/>
      <c r="X51" s="1295"/>
      <c r="Y51" s="1295"/>
      <c r="Z51" s="1295"/>
      <c r="AA51" s="1295"/>
      <c r="AB51" s="1295"/>
      <c r="AC51" s="1295"/>
      <c r="AD51" s="1295"/>
      <c r="AE51" s="1295"/>
      <c r="AF51" s="1295"/>
      <c r="AG51" s="1295"/>
      <c r="AH51" s="1295"/>
      <c r="AI51" s="1295"/>
      <c r="AJ51" s="1295"/>
      <c r="AK51" s="1295"/>
      <c r="AL51" s="1295"/>
      <c r="AM51" s="1295"/>
    </row>
    <row r="52" spans="2:39">
      <c r="B52" s="1295" t="s">
        <v>258</v>
      </c>
      <c r="C52" s="1295"/>
      <c r="D52" s="1295"/>
      <c r="E52" s="1295"/>
      <c r="F52" s="1295"/>
      <c r="G52" s="1295"/>
      <c r="H52" s="1295"/>
      <c r="I52" s="1295"/>
      <c r="J52" s="1295"/>
      <c r="K52" s="1295"/>
      <c r="L52" s="1295"/>
      <c r="M52" s="1295"/>
      <c r="N52" s="1295"/>
      <c r="O52" s="1295"/>
      <c r="P52" s="1295"/>
      <c r="Q52" s="1295"/>
      <c r="R52" s="1295"/>
      <c r="S52" s="1295"/>
      <c r="T52" s="1295"/>
      <c r="U52" s="1295"/>
      <c r="V52" s="1295"/>
      <c r="W52" s="1295"/>
      <c r="X52" s="1295"/>
      <c r="Y52" s="1295"/>
      <c r="Z52" s="1295"/>
      <c r="AA52" s="1295"/>
      <c r="AB52" s="1295"/>
      <c r="AC52" s="1295"/>
      <c r="AD52" s="1295"/>
      <c r="AE52" s="1295"/>
      <c r="AF52" s="1295"/>
      <c r="AG52" s="1295"/>
      <c r="AH52" s="1295"/>
      <c r="AI52" s="1295"/>
      <c r="AJ52" s="1295"/>
      <c r="AK52" s="1295"/>
      <c r="AL52" s="1295"/>
      <c r="AM52" s="1295"/>
    </row>
    <row r="53" spans="2:39">
      <c r="B53" s="22" t="s">
        <v>308</v>
      </c>
    </row>
  </sheetData>
  <mergeCells count="7">
    <mergeCell ref="B52:AM52"/>
    <mergeCell ref="B1:C1"/>
    <mergeCell ref="B2:AM2"/>
    <mergeCell ref="B3:AM3"/>
    <mergeCell ref="B49:AM49"/>
    <mergeCell ref="B50:AM50"/>
    <mergeCell ref="B51:AM5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2">
    <pageSetUpPr fitToPage="1"/>
  </sheetPr>
  <dimension ref="A1:AM60"/>
  <sheetViews>
    <sheetView topLeftCell="I1" zoomScaleNormal="100" workbookViewId="0">
      <selection activeCell="AN14" sqref="AN14"/>
    </sheetView>
  </sheetViews>
  <sheetFormatPr defaultRowHeight="11.25"/>
  <cols>
    <col min="1" max="1" width="3.7109375" style="3" customWidth="1"/>
    <col min="2" max="2" width="4.85546875" style="3" customWidth="1"/>
    <col min="3" max="3" width="6.7109375" style="2" customWidth="1"/>
    <col min="4" max="5" width="7.5703125" style="2" customWidth="1"/>
    <col min="6" max="9" width="7.5703125" style="3" customWidth="1"/>
    <col min="10" max="10" width="8.7109375" style="3" customWidth="1"/>
    <col min="11" max="18" width="7.5703125" style="3" customWidth="1"/>
    <col min="19" max="19" width="8.7109375" style="3" customWidth="1"/>
    <col min="20" max="20" width="8.5703125" style="3" customWidth="1"/>
    <col min="21" max="21" width="7.7109375" style="3" customWidth="1"/>
    <col min="22" max="22" width="8.5703125" style="3" customWidth="1"/>
    <col min="23" max="23" width="9" style="3" customWidth="1"/>
    <col min="24" max="24" width="7.7109375" style="3" customWidth="1"/>
    <col min="25" max="25" width="8.42578125" style="3" customWidth="1"/>
    <col min="26" max="26" width="7.7109375" style="3" customWidth="1"/>
    <col min="27" max="27" width="8.85546875" style="3" customWidth="1"/>
    <col min="28" max="28" width="8.5703125" style="3" customWidth="1"/>
    <col min="29" max="29" width="8" style="2" customWidth="1"/>
    <col min="30" max="30" width="8" style="3" customWidth="1"/>
    <col min="31" max="32" width="8.28515625" style="3" customWidth="1"/>
    <col min="33" max="33" width="7.7109375" style="3" customWidth="1"/>
    <col min="34" max="34" width="8.5703125" style="3" customWidth="1"/>
    <col min="35" max="35" width="8.140625" style="3" customWidth="1"/>
    <col min="36" max="37" width="7" style="3" customWidth="1"/>
    <col min="38" max="38" width="7.140625" style="20" customWidth="1"/>
    <col min="39" max="39" width="7" style="3" customWidth="1"/>
    <col min="40" max="16384" width="9.140625" style="3"/>
  </cols>
  <sheetData>
    <row r="1" spans="1:39" ht="14.25" customHeight="1">
      <c r="B1" s="1302"/>
      <c r="C1" s="1302"/>
      <c r="D1" s="413"/>
      <c r="E1" s="414"/>
      <c r="F1" s="415"/>
      <c r="G1" s="415"/>
      <c r="H1" s="415"/>
      <c r="I1" s="415"/>
      <c r="J1" s="415"/>
      <c r="K1" s="415"/>
      <c r="L1" s="415"/>
      <c r="M1" s="415"/>
      <c r="N1" s="415"/>
      <c r="O1" s="415"/>
      <c r="P1" s="415"/>
      <c r="Q1" s="416"/>
      <c r="R1" s="416"/>
      <c r="S1" s="416"/>
      <c r="T1" s="416"/>
      <c r="U1" s="416"/>
      <c r="V1" s="416"/>
      <c r="W1" s="416"/>
      <c r="X1" s="416"/>
      <c r="Y1" s="416"/>
      <c r="Z1" s="416"/>
      <c r="AA1" s="416"/>
      <c r="AB1" s="416"/>
      <c r="AC1" s="417"/>
      <c r="AD1" s="416"/>
      <c r="AE1" s="416"/>
      <c r="AF1" s="416"/>
      <c r="AG1" s="417"/>
      <c r="AH1" s="416"/>
      <c r="AI1" s="416"/>
      <c r="AJ1" s="416"/>
      <c r="AK1" s="416"/>
      <c r="AL1" s="418"/>
      <c r="AM1" s="419" t="s">
        <v>105</v>
      </c>
    </row>
    <row r="2" spans="1:39" s="48" customFormat="1" ht="30" customHeight="1">
      <c r="B2" s="1303" t="s">
        <v>262</v>
      </c>
      <c r="C2" s="1303"/>
      <c r="D2" s="1303"/>
      <c r="E2" s="1303"/>
      <c r="F2" s="1303"/>
      <c r="G2" s="1303"/>
      <c r="H2" s="1303"/>
      <c r="I2" s="1303"/>
      <c r="J2" s="1303"/>
      <c r="K2" s="1303"/>
      <c r="L2" s="1303"/>
      <c r="M2" s="1303"/>
      <c r="N2" s="1303"/>
      <c r="O2" s="1303"/>
      <c r="P2" s="1303"/>
      <c r="Q2" s="1303"/>
      <c r="R2" s="1303"/>
      <c r="S2" s="1303"/>
      <c r="T2" s="1303"/>
      <c r="U2" s="1303"/>
      <c r="V2" s="1303"/>
      <c r="W2" s="1303"/>
      <c r="X2" s="1303"/>
      <c r="Y2" s="1303"/>
      <c r="Z2" s="1303"/>
      <c r="AA2" s="1303"/>
      <c r="AB2" s="1303"/>
      <c r="AC2" s="1303"/>
      <c r="AD2" s="1303"/>
      <c r="AE2" s="1303"/>
      <c r="AF2" s="1303"/>
      <c r="AG2" s="1303"/>
      <c r="AH2" s="1303"/>
      <c r="AI2" s="1303"/>
      <c r="AJ2" s="1303"/>
      <c r="AK2" s="1303"/>
      <c r="AL2" s="1303"/>
      <c r="AM2" s="1303"/>
    </row>
    <row r="3" spans="1:39" s="69" customFormat="1" ht="15" customHeight="1">
      <c r="B3" s="1304" t="s">
        <v>87</v>
      </c>
      <c r="C3" s="1304"/>
      <c r="D3" s="1304"/>
      <c r="E3" s="1304"/>
      <c r="F3" s="1304"/>
      <c r="G3" s="1304"/>
      <c r="H3" s="1304"/>
      <c r="I3" s="1304"/>
      <c r="J3" s="1304"/>
      <c r="K3" s="1304"/>
      <c r="L3" s="1304"/>
      <c r="M3" s="1304"/>
      <c r="N3" s="1304"/>
      <c r="O3" s="1304"/>
      <c r="P3" s="1304"/>
      <c r="Q3" s="1304"/>
      <c r="R3" s="1304"/>
      <c r="S3" s="1304"/>
      <c r="T3" s="1304"/>
      <c r="U3" s="1304"/>
      <c r="V3" s="1304"/>
      <c r="W3" s="1304"/>
      <c r="X3" s="1304"/>
      <c r="Y3" s="1304"/>
      <c r="Z3" s="1304"/>
      <c r="AA3" s="1304"/>
      <c r="AB3" s="1304"/>
      <c r="AC3" s="1304"/>
      <c r="AD3" s="1304"/>
      <c r="AE3" s="1304"/>
      <c r="AF3" s="1304"/>
      <c r="AG3" s="1304"/>
      <c r="AH3" s="1304"/>
      <c r="AI3" s="1304"/>
      <c r="AJ3" s="1304"/>
      <c r="AK3" s="1304"/>
      <c r="AL3" s="1304"/>
      <c r="AM3" s="1304"/>
    </row>
    <row r="4" spans="1:39" ht="18" customHeight="1">
      <c r="B4" s="420"/>
      <c r="C4" s="420"/>
      <c r="D4" s="417"/>
      <c r="E4" s="421"/>
      <c r="F4" s="421"/>
      <c r="G4" s="421"/>
      <c r="H4" s="421"/>
      <c r="I4" s="421"/>
      <c r="J4" s="422"/>
      <c r="K4" s="422"/>
      <c r="L4" s="422"/>
      <c r="M4" s="422"/>
      <c r="N4" s="422"/>
      <c r="O4" s="422"/>
      <c r="P4" s="416"/>
      <c r="Q4" s="416"/>
      <c r="R4" s="416"/>
      <c r="S4" s="416"/>
      <c r="T4" s="416"/>
      <c r="U4" s="416"/>
      <c r="V4" s="416"/>
      <c r="W4" s="423"/>
      <c r="X4" s="423"/>
      <c r="Y4" s="424"/>
      <c r="Z4" s="424"/>
      <c r="AA4" s="424"/>
      <c r="AB4" s="424"/>
      <c r="AC4" s="424"/>
      <c r="AD4" s="424"/>
      <c r="AE4" s="416"/>
      <c r="AF4" s="416"/>
      <c r="AI4" s="594"/>
      <c r="AJ4" s="594"/>
      <c r="AK4" s="594" t="s">
        <v>1</v>
      </c>
      <c r="AL4" s="418"/>
      <c r="AM4" s="424"/>
    </row>
    <row r="5" spans="1:39" ht="20.100000000000001" customHeight="1">
      <c r="B5" s="425"/>
      <c r="C5" s="74">
        <v>1970</v>
      </c>
      <c r="D5" s="85">
        <v>1980</v>
      </c>
      <c r="E5" s="75">
        <v>1990</v>
      </c>
      <c r="F5" s="75">
        <v>1991</v>
      </c>
      <c r="G5" s="75">
        <v>1992</v>
      </c>
      <c r="H5" s="75">
        <v>1993</v>
      </c>
      <c r="I5" s="75">
        <v>1994</v>
      </c>
      <c r="J5" s="75">
        <v>1995</v>
      </c>
      <c r="K5" s="75">
        <v>1996</v>
      </c>
      <c r="L5" s="75">
        <v>1997</v>
      </c>
      <c r="M5" s="75">
        <v>1998</v>
      </c>
      <c r="N5" s="75">
        <v>1999</v>
      </c>
      <c r="O5" s="75">
        <v>2000</v>
      </c>
      <c r="P5" s="75">
        <v>2001</v>
      </c>
      <c r="Q5" s="75">
        <v>2002</v>
      </c>
      <c r="R5" s="75">
        <v>2003</v>
      </c>
      <c r="S5" s="75">
        <v>2004</v>
      </c>
      <c r="T5" s="75">
        <v>2005</v>
      </c>
      <c r="U5" s="75">
        <v>2006</v>
      </c>
      <c r="V5" s="75">
        <v>2007</v>
      </c>
      <c r="W5" s="75">
        <v>2008</v>
      </c>
      <c r="X5" s="75">
        <v>2009</v>
      </c>
      <c r="Y5" s="75">
        <v>2010</v>
      </c>
      <c r="Z5" s="75">
        <v>2011</v>
      </c>
      <c r="AA5" s="75">
        <v>2012</v>
      </c>
      <c r="AB5" s="75">
        <v>2013</v>
      </c>
      <c r="AC5" s="75">
        <v>2014</v>
      </c>
      <c r="AD5" s="75">
        <v>2015</v>
      </c>
      <c r="AE5" s="75">
        <v>2016</v>
      </c>
      <c r="AF5" s="75">
        <v>2017</v>
      </c>
      <c r="AG5" s="75">
        <v>2018</v>
      </c>
      <c r="AH5" s="75">
        <v>2019</v>
      </c>
      <c r="AI5" s="75">
        <v>2020</v>
      </c>
      <c r="AJ5" s="75">
        <v>2021</v>
      </c>
      <c r="AK5" s="75">
        <v>2022</v>
      </c>
      <c r="AL5" s="478" t="s">
        <v>342</v>
      </c>
      <c r="AM5" s="554"/>
    </row>
    <row r="6" spans="1:39" ht="9.9499999999999993" customHeight="1">
      <c r="B6" s="425"/>
      <c r="C6" s="106"/>
      <c r="D6" s="86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  <c r="AL6" s="86" t="s">
        <v>80</v>
      </c>
      <c r="AM6" s="6"/>
    </row>
    <row r="7" spans="1:39" ht="3.75" customHeight="1">
      <c r="B7" s="426"/>
      <c r="C7" s="106"/>
      <c r="D7" s="86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427"/>
      <c r="AM7" s="6"/>
    </row>
    <row r="8" spans="1:39" ht="12.75" customHeight="1">
      <c r="B8" s="428" t="s">
        <v>238</v>
      </c>
      <c r="C8" s="1060"/>
      <c r="D8" s="1061"/>
      <c r="E8" s="1062"/>
      <c r="F8" s="275"/>
      <c r="G8" s="275"/>
      <c r="H8" s="275"/>
      <c r="I8" s="275"/>
      <c r="J8" s="275">
        <v>20297.210999999988</v>
      </c>
      <c r="K8" s="275">
        <v>20978.626</v>
      </c>
      <c r="L8" s="275">
        <v>21500.090000000007</v>
      </c>
      <c r="M8" s="275">
        <v>21943.969999999998</v>
      </c>
      <c r="N8" s="275">
        <v>22958.600999999999</v>
      </c>
      <c r="O8" s="275">
        <v>23988.388999999996</v>
      </c>
      <c r="P8" s="275">
        <v>24887.401999999998</v>
      </c>
      <c r="Q8" s="275">
        <v>25570.899000000001</v>
      </c>
      <c r="R8" s="275">
        <v>26080.991999999995</v>
      </c>
      <c r="S8" s="275">
        <v>26786.479000000003</v>
      </c>
      <c r="T8" s="275">
        <v>27389.331999999999</v>
      </c>
      <c r="U8" s="275">
        <v>28134.867000000002</v>
      </c>
      <c r="V8" s="275">
        <v>29081.703999999994</v>
      </c>
      <c r="W8" s="275">
        <v>29572.258999999998</v>
      </c>
      <c r="X8" s="275">
        <v>29192.778000000006</v>
      </c>
      <c r="Y8" s="275">
        <v>29406.422999999999</v>
      </c>
      <c r="Z8" s="275">
        <v>29826.369999999995</v>
      </c>
      <c r="AA8" s="275">
        <v>29860.094999999994</v>
      </c>
      <c r="AB8" s="275">
        <v>30186.906999999999</v>
      </c>
      <c r="AC8" s="275">
        <v>30429.838000000003</v>
      </c>
      <c r="AD8" s="275">
        <v>30896.623000000007</v>
      </c>
      <c r="AE8" s="275">
        <v>30540.059000000001</v>
      </c>
      <c r="AF8" s="275">
        <v>32394.879999999997</v>
      </c>
      <c r="AG8" s="275">
        <v>31990.079000000002</v>
      </c>
      <c r="AH8" s="275">
        <v>32703.050000000007</v>
      </c>
      <c r="AI8" s="353">
        <v>33109.9833</v>
      </c>
      <c r="AJ8" s="353">
        <v>33840.266579000003</v>
      </c>
      <c r="AK8" s="1047">
        <v>34344.974703999993</v>
      </c>
      <c r="AL8" s="406">
        <v>1.4914425210621403</v>
      </c>
      <c r="AM8" s="428" t="s">
        <v>238</v>
      </c>
    </row>
    <row r="9" spans="1:39" ht="12.75" customHeight="1">
      <c r="B9" s="429" t="s">
        <v>45</v>
      </c>
      <c r="C9" s="1063">
        <v>251.405</v>
      </c>
      <c r="D9" s="1064">
        <v>299.084</v>
      </c>
      <c r="E9" s="1065">
        <v>380.37899999999996</v>
      </c>
      <c r="F9" s="246">
        <v>401.452</v>
      </c>
      <c r="G9" s="246">
        <v>404.32499999999999</v>
      </c>
      <c r="H9" s="246">
        <v>426.91500000000002</v>
      </c>
      <c r="I9" s="246">
        <v>442.05500000000001</v>
      </c>
      <c r="J9" s="246">
        <v>442.46300000000002</v>
      </c>
      <c r="K9" s="246">
        <v>457.16</v>
      </c>
      <c r="L9" s="246">
        <v>476.58300000000003</v>
      </c>
      <c r="M9" s="246">
        <v>495.464</v>
      </c>
      <c r="N9" s="246">
        <v>524.08799999999997</v>
      </c>
      <c r="O9" s="246">
        <v>548.43100000000004</v>
      </c>
      <c r="P9" s="246">
        <v>615.03700000000003</v>
      </c>
      <c r="Q9" s="246">
        <v>591.38300000000004</v>
      </c>
      <c r="R9" s="246">
        <v>610.322</v>
      </c>
      <c r="S9" s="246">
        <v>637.25900000000001</v>
      </c>
      <c r="T9" s="246">
        <v>662.346</v>
      </c>
      <c r="U9" s="246">
        <v>678.55100000000004</v>
      </c>
      <c r="V9" s="1048">
        <v>691.78800000000001</v>
      </c>
      <c r="W9" s="246">
        <v>711.88900000000001</v>
      </c>
      <c r="X9" s="246">
        <v>724.06200000000001</v>
      </c>
      <c r="Y9" s="246">
        <v>737.51</v>
      </c>
      <c r="Z9" s="246">
        <v>761.21400000000006</v>
      </c>
      <c r="AA9" s="246">
        <v>773.01099999999997</v>
      </c>
      <c r="AB9" s="246">
        <v>792.04300000000001</v>
      </c>
      <c r="AC9" s="246">
        <v>809.26599999999996</v>
      </c>
      <c r="AD9" s="246">
        <v>832.21</v>
      </c>
      <c r="AE9" s="246">
        <v>853.971</v>
      </c>
      <c r="AF9" s="246">
        <v>886.70699999999999</v>
      </c>
      <c r="AG9" s="246">
        <v>917.36</v>
      </c>
      <c r="AH9" s="246">
        <v>948.23</v>
      </c>
      <c r="AI9" s="235">
        <v>977.827</v>
      </c>
      <c r="AJ9" s="246">
        <v>1009.98</v>
      </c>
      <c r="AK9" s="1049">
        <v>1017.85</v>
      </c>
      <c r="AL9" s="390">
        <v>0.77922335095743733</v>
      </c>
      <c r="AM9" s="429" t="s">
        <v>45</v>
      </c>
    </row>
    <row r="10" spans="1:39" ht="12.75" customHeight="1">
      <c r="B10" s="431" t="s">
        <v>28</v>
      </c>
      <c r="C10" s="1066"/>
      <c r="D10" s="1067" t="s">
        <v>64</v>
      </c>
      <c r="E10" s="236">
        <v>161.6</v>
      </c>
      <c r="F10" s="236">
        <v>174.2</v>
      </c>
      <c r="G10" s="236">
        <v>187.4</v>
      </c>
      <c r="H10" s="236">
        <v>203.94200000000001</v>
      </c>
      <c r="I10" s="236">
        <v>214.756</v>
      </c>
      <c r="J10" s="236">
        <v>223.17700000000002</v>
      </c>
      <c r="K10" s="236">
        <v>229.84</v>
      </c>
      <c r="L10" s="236">
        <v>232.76600000000002</v>
      </c>
      <c r="M10" s="236">
        <v>242.268</v>
      </c>
      <c r="N10" s="236">
        <v>251.5</v>
      </c>
      <c r="O10" s="236">
        <v>259.39</v>
      </c>
      <c r="P10" s="236">
        <v>269.58600000000001</v>
      </c>
      <c r="Q10" s="236">
        <v>279.858</v>
      </c>
      <c r="R10" s="236">
        <v>293.48700000000002</v>
      </c>
      <c r="S10" s="236">
        <v>317.68099999999998</v>
      </c>
      <c r="T10" s="1050">
        <v>333.86599999999999</v>
      </c>
      <c r="U10" s="236">
        <v>226.09199999999998</v>
      </c>
      <c r="V10" s="236">
        <v>261.31600000000003</v>
      </c>
      <c r="W10" s="236">
        <v>299.161</v>
      </c>
      <c r="X10" s="236">
        <v>317.80799999999999</v>
      </c>
      <c r="Y10" s="236">
        <v>333.5</v>
      </c>
      <c r="Z10" s="236">
        <v>347.56099999999998</v>
      </c>
      <c r="AA10" s="236">
        <v>367.029</v>
      </c>
      <c r="AB10" s="236">
        <v>388</v>
      </c>
      <c r="AC10" s="236">
        <v>411.8</v>
      </c>
      <c r="AD10" s="236">
        <v>444.40000000000003</v>
      </c>
      <c r="AE10" s="236">
        <v>456.8</v>
      </c>
      <c r="AF10" s="236">
        <v>423.2</v>
      </c>
      <c r="AG10" s="236">
        <v>438.3</v>
      </c>
      <c r="AH10" s="236">
        <v>452.483</v>
      </c>
      <c r="AI10" s="236">
        <v>461.4</v>
      </c>
      <c r="AJ10" s="236">
        <v>458.5</v>
      </c>
      <c r="AK10" s="236">
        <v>471.6</v>
      </c>
      <c r="AL10" s="206">
        <v>2.8571428571428754</v>
      </c>
      <c r="AM10" s="432" t="s">
        <v>28</v>
      </c>
    </row>
    <row r="11" spans="1:39" ht="12.75" customHeight="1">
      <c r="A11" s="8"/>
      <c r="B11" s="386" t="s">
        <v>30</v>
      </c>
      <c r="C11" s="953"/>
      <c r="D11" s="1068"/>
      <c r="E11" s="288"/>
      <c r="F11" s="235"/>
      <c r="G11" s="235"/>
      <c r="H11" s="235">
        <v>183.964</v>
      </c>
      <c r="I11" s="1051">
        <v>199.63499999999999</v>
      </c>
      <c r="J11" s="1051">
        <v>219.31100000000001</v>
      </c>
      <c r="K11" s="1051">
        <v>242.959</v>
      </c>
      <c r="L11" s="1051">
        <v>265.37200000000001</v>
      </c>
      <c r="M11" s="1051">
        <v>280.31100000000004</v>
      </c>
      <c r="N11" s="1051">
        <v>289.41000000000003</v>
      </c>
      <c r="O11" s="1051">
        <v>298.286</v>
      </c>
      <c r="P11" s="1051">
        <v>321.23499999999996</v>
      </c>
      <c r="Q11" s="1051">
        <v>349.495</v>
      </c>
      <c r="R11" s="1051">
        <v>365.74599999999998</v>
      </c>
      <c r="S11" s="1051">
        <v>396.20600000000002</v>
      </c>
      <c r="T11" s="1051">
        <v>439.161</v>
      </c>
      <c r="U11" s="1051">
        <v>490.904</v>
      </c>
      <c r="V11" s="1051">
        <v>554.83100000000002</v>
      </c>
      <c r="W11" s="1051">
        <v>607.41199999999992</v>
      </c>
      <c r="X11" s="1051">
        <v>601.76700000000005</v>
      </c>
      <c r="Y11" s="1051">
        <v>597.96600000000001</v>
      </c>
      <c r="Z11" s="1051">
        <v>597.23200000000008</v>
      </c>
      <c r="AA11" s="1051">
        <v>604.15499999999997</v>
      </c>
      <c r="AB11" s="1051">
        <v>601.06499999999994</v>
      </c>
      <c r="AC11" s="1051">
        <v>615.33199999999999</v>
      </c>
      <c r="AD11" s="1051">
        <v>652.07500000000005</v>
      </c>
      <c r="AE11" s="1051">
        <v>672.1930000000001</v>
      </c>
      <c r="AF11" s="1051">
        <v>693.5</v>
      </c>
      <c r="AG11" s="1051">
        <v>710.62199999999996</v>
      </c>
      <c r="AH11" s="1051">
        <v>723.678</v>
      </c>
      <c r="AI11" s="1051">
        <v>731.79700000000003</v>
      </c>
      <c r="AJ11" s="1051">
        <v>735.65499999999997</v>
      </c>
      <c r="AK11" s="1051">
        <v>755.06500000000005</v>
      </c>
      <c r="AL11" s="183">
        <v>2.6384650413577191</v>
      </c>
      <c r="AM11" s="386" t="s">
        <v>30</v>
      </c>
    </row>
    <row r="12" spans="1:39" ht="12.75" customHeight="1">
      <c r="A12" s="8"/>
      <c r="B12" s="431" t="s">
        <v>41</v>
      </c>
      <c r="C12" s="1066">
        <v>245</v>
      </c>
      <c r="D12" s="1067">
        <v>249</v>
      </c>
      <c r="E12" s="236">
        <v>286.613</v>
      </c>
      <c r="F12" s="236">
        <v>298.31200000000001</v>
      </c>
      <c r="G12" s="236">
        <v>304.20499999999998</v>
      </c>
      <c r="H12" s="236">
        <v>312.274</v>
      </c>
      <c r="I12" s="236">
        <v>322.03199999999998</v>
      </c>
      <c r="J12" s="236">
        <v>333.75799999999998</v>
      </c>
      <c r="K12" s="236">
        <v>339.89699999999999</v>
      </c>
      <c r="L12" s="236">
        <v>345.97199999999998</v>
      </c>
      <c r="M12" s="236">
        <v>357.63299999999998</v>
      </c>
      <c r="N12" s="236">
        <v>373.25799999999998</v>
      </c>
      <c r="O12" s="236">
        <v>384.85</v>
      </c>
      <c r="P12" s="236">
        <v>392.26</v>
      </c>
      <c r="Q12" s="236">
        <v>401.762</v>
      </c>
      <c r="R12" s="236">
        <v>412.81299999999999</v>
      </c>
      <c r="S12" s="236">
        <v>436.14699999999999</v>
      </c>
      <c r="T12" s="236">
        <v>469.52299999999997</v>
      </c>
      <c r="U12" s="236">
        <v>508.774</v>
      </c>
      <c r="V12" s="236">
        <v>536.54999999999995</v>
      </c>
      <c r="W12" s="236">
        <v>531.40300000000002</v>
      </c>
      <c r="X12" s="236">
        <v>507.86099999999999</v>
      </c>
      <c r="Y12" s="236">
        <v>485.10899999999998</v>
      </c>
      <c r="Z12" s="236">
        <v>469.24799999999999</v>
      </c>
      <c r="AA12" s="236">
        <v>459.55700000000002</v>
      </c>
      <c r="AB12" s="236">
        <v>444.42499999999995</v>
      </c>
      <c r="AC12" s="236">
        <v>439.56099999999998</v>
      </c>
      <c r="AD12" s="236">
        <v>437.08500000000004</v>
      </c>
      <c r="AE12" s="236">
        <v>438.96699999999998</v>
      </c>
      <c r="AF12" s="236">
        <v>437.93900000000002</v>
      </c>
      <c r="AG12" s="236">
        <v>432.12400000000002</v>
      </c>
      <c r="AH12" s="236">
        <v>422.678</v>
      </c>
      <c r="AI12" s="236">
        <v>418.61700000000002</v>
      </c>
      <c r="AJ12" s="236">
        <v>416.61700000000002</v>
      </c>
      <c r="AK12" s="236">
        <v>408.28699999999998</v>
      </c>
      <c r="AL12" s="182">
        <v>-1.9994383330493122</v>
      </c>
      <c r="AM12" s="431" t="s">
        <v>41</v>
      </c>
    </row>
    <row r="13" spans="1:39" ht="12.75" customHeight="1">
      <c r="A13" s="8"/>
      <c r="B13" s="386" t="s">
        <v>46</v>
      </c>
      <c r="C13" s="764">
        <v>1188</v>
      </c>
      <c r="D13" s="121">
        <v>1511</v>
      </c>
      <c r="E13" s="235">
        <v>1653</v>
      </c>
      <c r="F13" s="235">
        <v>1660</v>
      </c>
      <c r="G13" s="238">
        <v>1849</v>
      </c>
      <c r="H13" s="235">
        <v>2188.9830000000002</v>
      </c>
      <c r="I13" s="235">
        <v>2289.4100000000003</v>
      </c>
      <c r="J13" s="235">
        <v>2378.712</v>
      </c>
      <c r="K13" s="238">
        <v>2428.9589999999998</v>
      </c>
      <c r="L13" s="235">
        <v>2181.9970000000003</v>
      </c>
      <c r="M13" s="235">
        <v>2267.0219999999999</v>
      </c>
      <c r="N13" s="235">
        <v>2361.7220000000002</v>
      </c>
      <c r="O13" s="235">
        <v>2419.107</v>
      </c>
      <c r="P13" s="235">
        <v>2427.6860000000001</v>
      </c>
      <c r="Q13" s="235">
        <v>2397.6219999999998</v>
      </c>
      <c r="R13" s="235">
        <v>2385.0750000000003</v>
      </c>
      <c r="S13" s="235">
        <v>2385.2860000000001</v>
      </c>
      <c r="T13" s="238">
        <v>2404.9049999999997</v>
      </c>
      <c r="U13" s="238">
        <v>2471.221</v>
      </c>
      <c r="V13" s="329">
        <v>2502.9989999999998</v>
      </c>
      <c r="W13" s="235">
        <v>2523.5609999999997</v>
      </c>
      <c r="X13" s="235">
        <v>2556.0100000000002</v>
      </c>
      <c r="Y13" s="235">
        <v>2619.4270000000001</v>
      </c>
      <c r="Z13" s="235">
        <v>2712.9769999999999</v>
      </c>
      <c r="AA13" s="235">
        <v>2761.3960000000002</v>
      </c>
      <c r="AB13" s="235">
        <v>2815.5889999999999</v>
      </c>
      <c r="AC13" s="235">
        <v>2889.7820000000002</v>
      </c>
      <c r="AD13" s="235">
        <v>2995.1219999999998</v>
      </c>
      <c r="AE13" s="665">
        <v>3113.8270000000002</v>
      </c>
      <c r="AF13" s="1052">
        <v>3241.1889999999999</v>
      </c>
      <c r="AG13" s="1052">
        <v>3366.4209999999998</v>
      </c>
      <c r="AH13" s="1052">
        <v>3493.9830000000002</v>
      </c>
      <c r="AI13" s="1052">
        <v>3627.5349999999999</v>
      </c>
      <c r="AJ13" s="1052">
        <v>3771.8710000000001</v>
      </c>
      <c r="AK13" s="1052">
        <v>3868.4650000000001</v>
      </c>
      <c r="AL13" s="183">
        <v>2.5609041242396557</v>
      </c>
      <c r="AM13" s="386" t="s">
        <v>46</v>
      </c>
    </row>
    <row r="14" spans="1:39" ht="12.75" customHeight="1">
      <c r="A14" s="8"/>
      <c r="B14" s="431" t="s">
        <v>31</v>
      </c>
      <c r="C14" s="1066"/>
      <c r="D14" s="1067">
        <v>51.1</v>
      </c>
      <c r="E14" s="236">
        <v>67.7</v>
      </c>
      <c r="F14" s="236">
        <v>77.099999999999994</v>
      </c>
      <c r="G14" s="236">
        <v>74.599999999999994</v>
      </c>
      <c r="H14" s="236">
        <v>74.099999999999994</v>
      </c>
      <c r="I14" s="236">
        <v>53.7</v>
      </c>
      <c r="J14" s="236">
        <v>65.597999999999999</v>
      </c>
      <c r="K14" s="236">
        <v>71.304000000000002</v>
      </c>
      <c r="L14" s="236">
        <v>76.605000000000004</v>
      </c>
      <c r="M14" s="236">
        <v>80.617000000000004</v>
      </c>
      <c r="N14" s="236">
        <v>81.03</v>
      </c>
      <c r="O14" s="236">
        <v>82.119</v>
      </c>
      <c r="P14" s="236">
        <v>80.534999999999997</v>
      </c>
      <c r="Q14" s="236">
        <v>80.179000000000002</v>
      </c>
      <c r="R14" s="236">
        <v>83.43</v>
      </c>
      <c r="S14" s="236">
        <v>85.731999999999999</v>
      </c>
      <c r="T14" s="1050">
        <v>86.200999999999993</v>
      </c>
      <c r="U14" s="1050">
        <v>92.86</v>
      </c>
      <c r="V14" s="236">
        <v>80.28</v>
      </c>
      <c r="W14" s="236">
        <v>83.35</v>
      </c>
      <c r="X14" s="236">
        <v>81.099999999999994</v>
      </c>
      <c r="Y14" s="236">
        <v>81.2</v>
      </c>
      <c r="Z14" s="236">
        <v>84.337000000000003</v>
      </c>
      <c r="AA14" s="236">
        <v>88.045000000000002</v>
      </c>
      <c r="AB14" s="236">
        <v>92.182000000000002</v>
      </c>
      <c r="AC14" s="236">
        <v>96.622</v>
      </c>
      <c r="AD14" s="236">
        <v>101.773</v>
      </c>
      <c r="AE14" s="236">
        <v>108.217</v>
      </c>
      <c r="AF14" s="236">
        <v>114.78</v>
      </c>
      <c r="AG14" s="236">
        <v>121.61199999999999</v>
      </c>
      <c r="AH14" s="236">
        <v>131.11500000000001</v>
      </c>
      <c r="AI14" s="236">
        <v>135.352</v>
      </c>
      <c r="AJ14" s="236">
        <v>140.108</v>
      </c>
      <c r="AK14" s="236">
        <v>144.19300000000001</v>
      </c>
      <c r="AL14" s="182">
        <v>2.9156079595740465</v>
      </c>
      <c r="AM14" s="431" t="s">
        <v>31</v>
      </c>
    </row>
    <row r="15" spans="1:39" ht="12.75" customHeight="1">
      <c r="A15" s="8"/>
      <c r="B15" s="386" t="s">
        <v>49</v>
      </c>
      <c r="C15" s="764">
        <v>49</v>
      </c>
      <c r="D15" s="121">
        <v>65</v>
      </c>
      <c r="E15" s="235">
        <v>143.166</v>
      </c>
      <c r="F15" s="235">
        <v>148.33099999999999</v>
      </c>
      <c r="G15" s="235">
        <v>144.798</v>
      </c>
      <c r="H15" s="235">
        <v>135.22499999999999</v>
      </c>
      <c r="I15" s="235">
        <v>135.809</v>
      </c>
      <c r="J15" s="235">
        <v>141.785</v>
      </c>
      <c r="K15" s="235">
        <v>146.601</v>
      </c>
      <c r="L15" s="235">
        <v>158.15799999999999</v>
      </c>
      <c r="M15" s="235">
        <v>170.86600000000001</v>
      </c>
      <c r="N15" s="235">
        <v>188.81399999999999</v>
      </c>
      <c r="O15" s="235">
        <v>205.57499999999999</v>
      </c>
      <c r="P15" s="235">
        <v>219.51</v>
      </c>
      <c r="Q15" s="235">
        <v>233.06899999999999</v>
      </c>
      <c r="R15" s="235">
        <v>251.13</v>
      </c>
      <c r="S15" s="235">
        <v>268.08199999999999</v>
      </c>
      <c r="T15" s="235">
        <v>286.548</v>
      </c>
      <c r="U15" s="235">
        <v>318.60399999999998</v>
      </c>
      <c r="V15" s="235">
        <v>345.87400000000002</v>
      </c>
      <c r="W15" s="235">
        <v>351.30700000000002</v>
      </c>
      <c r="X15" s="235">
        <v>343.94</v>
      </c>
      <c r="Y15" s="235">
        <v>327.096</v>
      </c>
      <c r="Z15" s="235">
        <v>320.99599999999998</v>
      </c>
      <c r="AA15" s="235">
        <v>309.21899999999999</v>
      </c>
      <c r="AB15" s="235">
        <v>317.84899999999999</v>
      </c>
      <c r="AC15" s="235">
        <v>317.37799999999999</v>
      </c>
      <c r="AD15" s="235">
        <v>330.541</v>
      </c>
      <c r="AE15" s="235">
        <v>342.25900000000001</v>
      </c>
      <c r="AF15" s="235">
        <v>349.14299999999997</v>
      </c>
      <c r="AG15" s="235">
        <v>355.27300000000002</v>
      </c>
      <c r="AH15" s="235">
        <v>366.76</v>
      </c>
      <c r="AI15" s="235">
        <v>377.89</v>
      </c>
      <c r="AJ15" s="235">
        <v>385.09899999999999</v>
      </c>
      <c r="AK15" s="235">
        <v>389.18400000000003</v>
      </c>
      <c r="AL15" s="183">
        <v>1.0607661925894547</v>
      </c>
      <c r="AM15" s="386" t="s">
        <v>49</v>
      </c>
    </row>
    <row r="16" spans="1:39" ht="12.75" customHeight="1">
      <c r="A16" s="8"/>
      <c r="B16" s="431" t="s">
        <v>42</v>
      </c>
      <c r="C16" s="1066">
        <v>105</v>
      </c>
      <c r="D16" s="1067">
        <v>401</v>
      </c>
      <c r="E16" s="236">
        <v>766.42899999999997</v>
      </c>
      <c r="F16" s="236">
        <v>792.77</v>
      </c>
      <c r="G16" s="236">
        <v>797.78800000000001</v>
      </c>
      <c r="H16" s="236">
        <v>825.697</v>
      </c>
      <c r="I16" s="236">
        <v>849.03300000000002</v>
      </c>
      <c r="J16" s="236">
        <v>883.82299999999998</v>
      </c>
      <c r="K16" s="236">
        <v>914.827</v>
      </c>
      <c r="L16" s="236">
        <v>951.78499999999997</v>
      </c>
      <c r="M16" s="236">
        <v>987.35699999999997</v>
      </c>
      <c r="N16" s="236">
        <v>1023.987</v>
      </c>
      <c r="O16" s="236">
        <v>1057.422</v>
      </c>
      <c r="P16" s="236">
        <v>1085.8109999999999</v>
      </c>
      <c r="Q16" s="236">
        <v>1109.1369999999999</v>
      </c>
      <c r="R16" s="236">
        <v>1131.027</v>
      </c>
      <c r="S16" s="236">
        <v>1159.1369999999999</v>
      </c>
      <c r="T16" s="236">
        <v>1186.4829999999999</v>
      </c>
      <c r="U16" s="236">
        <v>1219.8889999999999</v>
      </c>
      <c r="V16" s="236">
        <v>1255.9449999999999</v>
      </c>
      <c r="W16" s="236">
        <v>1289.5250000000001</v>
      </c>
      <c r="X16" s="236">
        <v>1302.43</v>
      </c>
      <c r="Y16" s="236">
        <v>1318.768</v>
      </c>
      <c r="Z16" s="236">
        <v>1321.296</v>
      </c>
      <c r="AA16" s="236">
        <v>1318.9179999999999</v>
      </c>
      <c r="AB16" s="236">
        <v>1315.836</v>
      </c>
      <c r="AC16" s="236">
        <v>1317.9449999999999</v>
      </c>
      <c r="AD16" s="236">
        <v>1322.604</v>
      </c>
      <c r="AE16" s="236">
        <v>1332.8230000000001</v>
      </c>
      <c r="AF16" s="236">
        <v>1343.83</v>
      </c>
      <c r="AG16" s="236">
        <v>1344.0619999999999</v>
      </c>
      <c r="AH16" s="236">
        <v>1359.3409999999999</v>
      </c>
      <c r="AI16" s="236">
        <v>1373.7270000000001</v>
      </c>
      <c r="AJ16" s="236">
        <v>1391.8409999999999</v>
      </c>
      <c r="AK16" s="236">
        <v>1405.971</v>
      </c>
      <c r="AL16" s="182">
        <v>1.0152021674889653</v>
      </c>
      <c r="AM16" s="431" t="s">
        <v>42</v>
      </c>
    </row>
    <row r="17" spans="1:39" ht="12.75" customHeight="1">
      <c r="A17" s="8"/>
      <c r="B17" s="386" t="s">
        <v>47</v>
      </c>
      <c r="C17" s="764">
        <v>710</v>
      </c>
      <c r="D17" s="121">
        <v>1362.424</v>
      </c>
      <c r="E17" s="235">
        <v>2401.085</v>
      </c>
      <c r="F17" s="235">
        <v>2568.4290000000001</v>
      </c>
      <c r="G17" s="235">
        <v>2726.1909999999998</v>
      </c>
      <c r="H17" s="235">
        <v>2812.6099999999997</v>
      </c>
      <c r="I17" s="235">
        <v>2905.75</v>
      </c>
      <c r="J17" s="235">
        <v>3024.2460000000001</v>
      </c>
      <c r="K17" s="235">
        <v>3151.904</v>
      </c>
      <c r="L17" s="235">
        <v>3310.0950000000003</v>
      </c>
      <c r="M17" s="235">
        <v>3509.7509999999997</v>
      </c>
      <c r="N17" s="235">
        <v>3735.1880000000001</v>
      </c>
      <c r="O17" s="235">
        <v>3923.1759999999999</v>
      </c>
      <c r="P17" s="235">
        <v>4104.9580000000005</v>
      </c>
      <c r="Q17" s="238">
        <v>4258.8890000000001</v>
      </c>
      <c r="R17" s="235">
        <v>4363.4169999999995</v>
      </c>
      <c r="S17" s="235">
        <v>4603.4179999999997</v>
      </c>
      <c r="T17" s="235">
        <v>4849.6189999999997</v>
      </c>
      <c r="U17" s="235">
        <v>5087.3109999999997</v>
      </c>
      <c r="V17" s="235">
        <v>5353.2830000000004</v>
      </c>
      <c r="W17" s="235">
        <v>5405.585</v>
      </c>
      <c r="X17" s="235">
        <v>5342.9439999999995</v>
      </c>
      <c r="Y17" s="235">
        <v>5303.4659999999994</v>
      </c>
      <c r="Z17" s="235">
        <v>5256.7510000000002</v>
      </c>
      <c r="AA17" s="235">
        <v>5171.6859999999997</v>
      </c>
      <c r="AB17" s="235">
        <v>5070.174</v>
      </c>
      <c r="AC17" s="235">
        <v>5025.5439999999999</v>
      </c>
      <c r="AD17" s="235">
        <v>5047.1750000000002</v>
      </c>
      <c r="AE17" s="235">
        <v>4010.2939999999999</v>
      </c>
      <c r="AF17" s="235">
        <v>5142.63</v>
      </c>
      <c r="AG17" s="235">
        <v>4043.9050000000002</v>
      </c>
      <c r="AH17" s="235">
        <v>4049.252</v>
      </c>
      <c r="AI17" s="235">
        <v>4039.6759999999999</v>
      </c>
      <c r="AJ17" s="235">
        <v>4040.77</v>
      </c>
      <c r="AK17" s="338">
        <v>4052.5859999999998</v>
      </c>
      <c r="AL17" s="183">
        <v>0.29241951410250522</v>
      </c>
      <c r="AM17" s="386" t="s">
        <v>47</v>
      </c>
    </row>
    <row r="18" spans="1:39" s="770" customFormat="1" ht="12.75" customHeight="1">
      <c r="A18" s="769"/>
      <c r="B18" s="789" t="s">
        <v>48</v>
      </c>
      <c r="C18" s="1069">
        <v>1504</v>
      </c>
      <c r="D18" s="1070">
        <v>2591</v>
      </c>
      <c r="E18" s="1053">
        <v>4840</v>
      </c>
      <c r="F18" s="1053">
        <v>4941</v>
      </c>
      <c r="G18" s="1053">
        <v>4959</v>
      </c>
      <c r="H18" s="1053">
        <v>4989</v>
      </c>
      <c r="I18" s="1053">
        <v>5062</v>
      </c>
      <c r="J18" s="1053">
        <v>5116</v>
      </c>
      <c r="K18" s="1053">
        <v>5173</v>
      </c>
      <c r="L18" s="1053">
        <v>5298</v>
      </c>
      <c r="M18" s="1054">
        <v>4951.165</v>
      </c>
      <c r="N18" s="1053">
        <v>5038.2240000000002</v>
      </c>
      <c r="O18" s="1053">
        <v>5151.6859999999997</v>
      </c>
      <c r="P18" s="1053">
        <v>5252.29</v>
      </c>
      <c r="Q18" s="1053">
        <v>5292.5529999999999</v>
      </c>
      <c r="R18" s="1053">
        <v>5298.4470000000001</v>
      </c>
      <c r="S18" s="1053">
        <v>5314.8419999999996</v>
      </c>
      <c r="T18" s="1053">
        <v>5346.6930000000002</v>
      </c>
      <c r="U18" s="1053">
        <v>5344.7920000000004</v>
      </c>
      <c r="V18" s="1053">
        <v>5476.0450000000001</v>
      </c>
      <c r="W18" s="1053">
        <v>5212.01</v>
      </c>
      <c r="X18" s="1055">
        <v>4709.6769999999997</v>
      </c>
      <c r="Y18" s="1053">
        <v>4709.6769999999997</v>
      </c>
      <c r="Z18" s="236">
        <v>4794.1549999999997</v>
      </c>
      <c r="AA18" s="236">
        <v>4844.5590000000002</v>
      </c>
      <c r="AB18" s="236">
        <v>4924.2120000000004</v>
      </c>
      <c r="AC18" s="236">
        <v>5006.183</v>
      </c>
      <c r="AD18" s="236">
        <v>5077.7359999999999</v>
      </c>
      <c r="AE18" s="236">
        <v>5178.9489999999996</v>
      </c>
      <c r="AF18" s="1056">
        <v>5306.674</v>
      </c>
      <c r="AG18" s="236">
        <v>5374.1559999999999</v>
      </c>
      <c r="AH18" s="1056">
        <v>5346.1580000000004</v>
      </c>
      <c r="AI18" s="1056">
        <v>5350.2969999999996</v>
      </c>
      <c r="AJ18" s="1056">
        <v>5472.1965789999995</v>
      </c>
      <c r="AK18" s="1056">
        <v>5494.3997040000022</v>
      </c>
      <c r="AL18" s="790">
        <v>0.40574428713343025</v>
      </c>
      <c r="AM18" s="791" t="s">
        <v>48</v>
      </c>
    </row>
    <row r="19" spans="1:39" ht="12.75" customHeight="1">
      <c r="A19" s="8"/>
      <c r="B19" s="386" t="s">
        <v>59</v>
      </c>
      <c r="C19" s="764"/>
      <c r="D19" s="121"/>
      <c r="E19" s="235"/>
      <c r="F19" s="235"/>
      <c r="G19" s="235"/>
      <c r="H19" s="235">
        <v>51.117000000000004</v>
      </c>
      <c r="I19" s="235">
        <v>64.438000000000002</v>
      </c>
      <c r="J19" s="235">
        <v>73.497</v>
      </c>
      <c r="K19" s="235">
        <v>94.921000000000006</v>
      </c>
      <c r="L19" s="235">
        <v>109.73400000000001</v>
      </c>
      <c r="M19" s="235">
        <v>115.768</v>
      </c>
      <c r="N19" s="235">
        <v>118.70400000000001</v>
      </c>
      <c r="O19" s="235">
        <v>122.51600000000001</v>
      </c>
      <c r="P19" s="235">
        <v>129.49700000000001</v>
      </c>
      <c r="Q19" s="235">
        <v>138.74300000000002</v>
      </c>
      <c r="R19" s="235">
        <v>148.27499999999998</v>
      </c>
      <c r="S19" s="235">
        <v>154.79</v>
      </c>
      <c r="T19" s="235">
        <v>162.87700000000001</v>
      </c>
      <c r="U19" s="235">
        <v>169.69799999999998</v>
      </c>
      <c r="V19" s="235">
        <v>176.703</v>
      </c>
      <c r="W19" s="235">
        <v>180.30100000000002</v>
      </c>
      <c r="X19" s="235">
        <v>164.761</v>
      </c>
      <c r="Y19" s="235">
        <v>157.73099999999999</v>
      </c>
      <c r="Z19" s="235">
        <v>154.88399999999999</v>
      </c>
      <c r="AA19" s="235">
        <v>141.56700000000001</v>
      </c>
      <c r="AB19" s="235">
        <v>141.49100000000001</v>
      </c>
      <c r="AC19" s="235">
        <v>143.66</v>
      </c>
      <c r="AD19" s="235">
        <v>149.006</v>
      </c>
      <c r="AE19" s="235">
        <v>156.673</v>
      </c>
      <c r="AF19" s="235">
        <v>168.05799999999999</v>
      </c>
      <c r="AG19" s="235">
        <v>181.404</v>
      </c>
      <c r="AH19" s="235">
        <v>193.65</v>
      </c>
      <c r="AI19" s="235">
        <v>202.286</v>
      </c>
      <c r="AJ19" s="235">
        <v>213.90199999999999</v>
      </c>
      <c r="AK19" s="235">
        <v>223.72300000000001</v>
      </c>
      <c r="AL19" s="183">
        <v>4.59135491954261</v>
      </c>
      <c r="AM19" s="386" t="s">
        <v>59</v>
      </c>
    </row>
    <row r="20" spans="1:39" ht="12.75" customHeight="1">
      <c r="A20" s="8"/>
      <c r="B20" s="432" t="s">
        <v>50</v>
      </c>
      <c r="C20" s="952"/>
      <c r="D20" s="122">
        <v>1290.6869999999999</v>
      </c>
      <c r="E20" s="236">
        <v>2207.9029999999998</v>
      </c>
      <c r="F20" s="236">
        <v>2292.9279999999999</v>
      </c>
      <c r="G20" s="236">
        <v>2359.8470000000002</v>
      </c>
      <c r="H20" s="236">
        <v>2389.17</v>
      </c>
      <c r="I20" s="236">
        <v>2446.3229999999999</v>
      </c>
      <c r="J20" s="236">
        <v>2509.893</v>
      </c>
      <c r="K20" s="236">
        <v>2640.1019999999999</v>
      </c>
      <c r="L20" s="236">
        <v>2719.8040000000001</v>
      </c>
      <c r="M20" s="236">
        <v>2828.0030000000002</v>
      </c>
      <c r="N20" s="236">
        <v>2946.806</v>
      </c>
      <c r="O20" s="236">
        <v>3087.0079999999998</v>
      </c>
      <c r="P20" s="236">
        <v>3234.4659999999999</v>
      </c>
      <c r="Q20" s="236">
        <v>3429.8820000000001</v>
      </c>
      <c r="R20" s="236">
        <v>3590.3049999999998</v>
      </c>
      <c r="S20" s="236">
        <v>3645.0459999999998</v>
      </c>
      <c r="T20" s="236">
        <v>3785.913</v>
      </c>
      <c r="U20" s="236">
        <v>3914.797</v>
      </c>
      <c r="V20" s="236">
        <v>3996.9070000000002</v>
      </c>
      <c r="W20" s="236">
        <v>4072.0050000000001</v>
      </c>
      <c r="X20" s="236">
        <v>4102.5889999999999</v>
      </c>
      <c r="Y20" s="236">
        <v>4141.7910000000002</v>
      </c>
      <c r="Z20" s="236">
        <v>4181.8950000000004</v>
      </c>
      <c r="AA20" s="236">
        <v>4143.7659999999996</v>
      </c>
      <c r="AB20" s="236">
        <v>4087.5889999999999</v>
      </c>
      <c r="AC20" s="236">
        <v>4080.9440000000004</v>
      </c>
      <c r="AD20" s="236">
        <v>4097.8220000000001</v>
      </c>
      <c r="AE20" s="236">
        <v>4180.8</v>
      </c>
      <c r="AF20" s="236">
        <v>4256.4049999999997</v>
      </c>
      <c r="AG20" s="236">
        <v>4314.0230000000001</v>
      </c>
      <c r="AH20" s="236">
        <v>4368.3689999999997</v>
      </c>
      <c r="AI20" s="236">
        <v>4417.1869999999999</v>
      </c>
      <c r="AJ20" s="236">
        <v>4495.1279999999997</v>
      </c>
      <c r="AK20" s="236">
        <v>4574.9989999999998</v>
      </c>
      <c r="AL20" s="206">
        <v>1.776834830954769</v>
      </c>
      <c r="AM20" s="432" t="s">
        <v>50</v>
      </c>
    </row>
    <row r="21" spans="1:39" ht="12.75" customHeight="1">
      <c r="A21" s="8"/>
      <c r="B21" s="386" t="s">
        <v>29</v>
      </c>
      <c r="C21" s="764"/>
      <c r="D21" s="121">
        <v>23.6</v>
      </c>
      <c r="E21" s="235">
        <v>74.325000000000003</v>
      </c>
      <c r="F21" s="235"/>
      <c r="G21" s="235"/>
      <c r="H21" s="235"/>
      <c r="I21" s="235"/>
      <c r="J21" s="235">
        <v>101.184</v>
      </c>
      <c r="K21" s="235">
        <v>104.04</v>
      </c>
      <c r="L21" s="235">
        <v>105.657</v>
      </c>
      <c r="M21" s="235">
        <v>109.294</v>
      </c>
      <c r="N21" s="235">
        <v>111.13500000000001</v>
      </c>
      <c r="O21" s="235">
        <v>114.666</v>
      </c>
      <c r="P21" s="235">
        <v>117.947</v>
      </c>
      <c r="Q21" s="235">
        <v>117.792</v>
      </c>
      <c r="R21" s="235">
        <v>119.646</v>
      </c>
      <c r="S21" s="235">
        <v>117.825</v>
      </c>
      <c r="T21" s="235">
        <v>118.355</v>
      </c>
      <c r="U21" s="235">
        <v>115.723</v>
      </c>
      <c r="V21" s="235">
        <v>117.498</v>
      </c>
      <c r="W21" s="235">
        <v>121.779</v>
      </c>
      <c r="X21" s="235">
        <v>124.09699999999999</v>
      </c>
      <c r="Y21" s="235">
        <v>120.69</v>
      </c>
      <c r="Z21" s="235">
        <v>118.003</v>
      </c>
      <c r="AA21" s="235">
        <v>113.74299999999999</v>
      </c>
      <c r="AB21" s="235">
        <v>109.069</v>
      </c>
      <c r="AC21" s="235">
        <v>104.446</v>
      </c>
      <c r="AD21" s="235">
        <v>103.836</v>
      </c>
      <c r="AE21" s="235">
        <v>106.304</v>
      </c>
      <c r="AF21" s="235">
        <v>107.745</v>
      </c>
      <c r="AG21" s="235">
        <v>111.042</v>
      </c>
      <c r="AH21" s="235">
        <v>114.544</v>
      </c>
      <c r="AI21" s="235">
        <v>116.28</v>
      </c>
      <c r="AJ21" s="235">
        <v>117.926</v>
      </c>
      <c r="AK21" s="235">
        <v>120.895</v>
      </c>
      <c r="AL21" s="183">
        <v>2.5176805793463615</v>
      </c>
      <c r="AM21" s="386" t="s">
        <v>29</v>
      </c>
    </row>
    <row r="22" spans="1:39" ht="12.75" customHeight="1">
      <c r="A22" s="8"/>
      <c r="B22" s="432" t="s">
        <v>33</v>
      </c>
      <c r="C22" s="952"/>
      <c r="D22" s="122"/>
      <c r="E22" s="236"/>
      <c r="F22" s="236"/>
      <c r="G22" s="236"/>
      <c r="H22" s="236"/>
      <c r="I22" s="236">
        <v>66.436000000000007</v>
      </c>
      <c r="J22" s="236">
        <v>68.668000000000006</v>
      </c>
      <c r="K22" s="236">
        <v>72.909000000000006</v>
      </c>
      <c r="L22" s="236">
        <v>76.771000000000001</v>
      </c>
      <c r="M22" s="236">
        <v>84.941999999999993</v>
      </c>
      <c r="N22" s="236">
        <v>90.22</v>
      </c>
      <c r="O22" s="236">
        <v>97.081000000000003</v>
      </c>
      <c r="P22" s="236">
        <v>99.707999999999998</v>
      </c>
      <c r="Q22" s="236">
        <v>102.73399999999999</v>
      </c>
      <c r="R22" s="236">
        <v>104.626</v>
      </c>
      <c r="S22" s="236">
        <v>107.553</v>
      </c>
      <c r="T22" s="236">
        <v>113.113</v>
      </c>
      <c r="U22" s="236">
        <v>121.12</v>
      </c>
      <c r="V22" s="236">
        <v>129.614</v>
      </c>
      <c r="W22" s="236">
        <v>129.80500000000001</v>
      </c>
      <c r="X22" s="236">
        <v>120.571</v>
      </c>
      <c r="Y22" s="240">
        <v>71.575000000000003</v>
      </c>
      <c r="Z22" s="236">
        <v>72.622</v>
      </c>
      <c r="AA22" s="236">
        <v>76.302999999999997</v>
      </c>
      <c r="AB22" s="236">
        <v>79.899000000000001</v>
      </c>
      <c r="AC22" s="236">
        <v>83.204999999999998</v>
      </c>
      <c r="AD22" s="236">
        <v>85.998000000000005</v>
      </c>
      <c r="AE22" s="236">
        <v>84.066999999999993</v>
      </c>
      <c r="AF22" s="236">
        <v>87.1</v>
      </c>
      <c r="AG22" s="236">
        <v>89.210999999999999</v>
      </c>
      <c r="AH22" s="236">
        <v>91.311000000000007</v>
      </c>
      <c r="AI22" s="236">
        <v>92.498999999999995</v>
      </c>
      <c r="AJ22" s="236">
        <v>94.811000000000007</v>
      </c>
      <c r="AK22" s="236">
        <v>97.128</v>
      </c>
      <c r="AL22" s="206">
        <v>2.4438092626382968</v>
      </c>
      <c r="AM22" s="432" t="s">
        <v>33</v>
      </c>
    </row>
    <row r="23" spans="1:39" ht="12.75" customHeight="1">
      <c r="A23" s="8"/>
      <c r="B23" s="386" t="s">
        <v>34</v>
      </c>
      <c r="C23" s="764"/>
      <c r="D23" s="121">
        <v>65.7</v>
      </c>
      <c r="E23" s="235">
        <v>83</v>
      </c>
      <c r="F23" s="239">
        <v>88.257000000000005</v>
      </c>
      <c r="G23" s="239">
        <v>93.513999999999996</v>
      </c>
      <c r="H23" s="235">
        <v>98.771000000000001</v>
      </c>
      <c r="I23" s="235">
        <v>101.06</v>
      </c>
      <c r="J23" s="235">
        <v>108.89099999999999</v>
      </c>
      <c r="K23" s="235">
        <v>89.283000000000001</v>
      </c>
      <c r="L23" s="235">
        <v>93.669999999999987</v>
      </c>
      <c r="M23" s="235">
        <v>99.453999999999994</v>
      </c>
      <c r="N23" s="235">
        <v>96.575999999999993</v>
      </c>
      <c r="O23" s="235">
        <v>98.613</v>
      </c>
      <c r="P23" s="235">
        <v>100.38900000000001</v>
      </c>
      <c r="Q23" s="235">
        <v>105.545</v>
      </c>
      <c r="R23" s="235">
        <v>110.517</v>
      </c>
      <c r="S23" s="235">
        <v>115.67700000000001</v>
      </c>
      <c r="T23" s="235">
        <v>122.486</v>
      </c>
      <c r="U23" s="235">
        <v>135.54599999999999</v>
      </c>
      <c r="V23" s="235">
        <v>147.583</v>
      </c>
      <c r="W23" s="235">
        <v>150.108</v>
      </c>
      <c r="X23" s="235">
        <v>146.32500000000002</v>
      </c>
      <c r="Y23" s="235">
        <v>133.92099999999999</v>
      </c>
      <c r="Z23" s="235">
        <v>136.779</v>
      </c>
      <c r="AA23" s="235">
        <v>138.935</v>
      </c>
      <c r="AB23" s="235">
        <v>143.03800000000001</v>
      </c>
      <c r="AC23" s="329">
        <v>143.03800000000001</v>
      </c>
      <c r="AD23" s="235">
        <v>99.679000000000002</v>
      </c>
      <c r="AE23" s="235">
        <v>102.896</v>
      </c>
      <c r="AF23" s="235">
        <v>109.396</v>
      </c>
      <c r="AG23" s="235">
        <v>115.539</v>
      </c>
      <c r="AH23" s="235">
        <v>125.67700000000001</v>
      </c>
      <c r="AI23" s="235">
        <v>135.86799999999999</v>
      </c>
      <c r="AJ23" s="235">
        <v>143.27099999999999</v>
      </c>
      <c r="AK23" s="235">
        <v>153.16</v>
      </c>
      <c r="AL23" s="183">
        <v>6.9023040252388768</v>
      </c>
      <c r="AM23" s="386" t="s">
        <v>34</v>
      </c>
    </row>
    <row r="24" spans="1:39" ht="12.75" customHeight="1">
      <c r="A24" s="8"/>
      <c r="B24" s="432" t="s">
        <v>51</v>
      </c>
      <c r="C24" s="952">
        <v>9</v>
      </c>
      <c r="D24" s="122">
        <v>9</v>
      </c>
      <c r="E24" s="236">
        <v>11.275</v>
      </c>
      <c r="F24" s="236">
        <v>12</v>
      </c>
      <c r="G24" s="236">
        <v>13</v>
      </c>
      <c r="H24" s="236">
        <v>14.641</v>
      </c>
      <c r="I24" s="236">
        <v>15.398</v>
      </c>
      <c r="J24" s="236">
        <v>15.794</v>
      </c>
      <c r="K24" s="236">
        <v>18.380000000000003</v>
      </c>
      <c r="L24" s="236">
        <v>19.378</v>
      </c>
      <c r="M24" s="236">
        <v>20.795999999999999</v>
      </c>
      <c r="N24" s="236">
        <v>22.562999999999999</v>
      </c>
      <c r="O24" s="236">
        <v>24.667000000000002</v>
      </c>
      <c r="P24" s="236">
        <v>26.304000000000002</v>
      </c>
      <c r="Q24" s="236">
        <v>26.952999999999999</v>
      </c>
      <c r="R24" s="236">
        <v>27.928999999999998</v>
      </c>
      <c r="S24" s="236">
        <v>28.425999999999998</v>
      </c>
      <c r="T24" s="236">
        <v>29.588000000000001</v>
      </c>
      <c r="U24" s="236">
        <v>30.735000000000003</v>
      </c>
      <c r="V24" s="236">
        <v>32.519999999999996</v>
      </c>
      <c r="W24" s="236">
        <v>34.408000000000001</v>
      </c>
      <c r="X24" s="236">
        <v>34.735999999999997</v>
      </c>
      <c r="Y24" s="236">
        <v>35.628</v>
      </c>
      <c r="Z24" s="236">
        <v>36.813000000000002</v>
      </c>
      <c r="AA24" s="236">
        <v>37.318999999999996</v>
      </c>
      <c r="AB24" s="236">
        <v>37.658999999999999</v>
      </c>
      <c r="AC24" s="236">
        <v>38.433999999999997</v>
      </c>
      <c r="AD24" s="236">
        <v>39.574000000000005</v>
      </c>
      <c r="AE24" s="236">
        <v>41.247999999999998</v>
      </c>
      <c r="AF24" s="236">
        <v>43.186999999999998</v>
      </c>
      <c r="AG24" s="236">
        <v>44.994</v>
      </c>
      <c r="AH24" s="236">
        <v>46.953000000000003</v>
      </c>
      <c r="AI24" s="236">
        <v>48.62</v>
      </c>
      <c r="AJ24" s="236">
        <v>50.466999999999999</v>
      </c>
      <c r="AK24" s="236">
        <v>51.978999999999999</v>
      </c>
      <c r="AL24" s="206">
        <v>2.9960171993580076</v>
      </c>
      <c r="AM24" s="432" t="s">
        <v>51</v>
      </c>
    </row>
    <row r="25" spans="1:39" ht="12.75" customHeight="1">
      <c r="A25" s="8"/>
      <c r="B25" s="386" t="s">
        <v>32</v>
      </c>
      <c r="C25" s="764"/>
      <c r="D25" s="121">
        <v>197</v>
      </c>
      <c r="E25" s="235">
        <v>262</v>
      </c>
      <c r="F25" s="235"/>
      <c r="G25" s="235"/>
      <c r="H25" s="235"/>
      <c r="I25" s="235"/>
      <c r="J25" s="1057">
        <v>277.97400000000005</v>
      </c>
      <c r="K25" s="338">
        <v>282.20400000000001</v>
      </c>
      <c r="L25" s="338">
        <v>295.38299999999998</v>
      </c>
      <c r="M25" s="338">
        <v>319.779</v>
      </c>
      <c r="N25" s="338">
        <v>332.50299999999999</v>
      </c>
      <c r="O25" s="338">
        <v>352.62799999999999</v>
      </c>
      <c r="P25" s="338">
        <v>366.21300000000002</v>
      </c>
      <c r="Q25" s="338">
        <v>381.43200000000002</v>
      </c>
      <c r="R25" s="338">
        <v>392.029</v>
      </c>
      <c r="S25" s="338">
        <v>395.96200000000005</v>
      </c>
      <c r="T25" s="338">
        <v>412.92100000000005</v>
      </c>
      <c r="U25" s="338">
        <v>429.45699999999999</v>
      </c>
      <c r="V25" s="338">
        <v>444.495</v>
      </c>
      <c r="W25" s="338">
        <v>455.89100000000002</v>
      </c>
      <c r="X25" s="338">
        <v>452.52300000000002</v>
      </c>
      <c r="Y25" s="338">
        <v>451.32100000000003</v>
      </c>
      <c r="Z25" s="338">
        <v>452.76299999999998</v>
      </c>
      <c r="AA25" s="338">
        <v>454.31900000000002</v>
      </c>
      <c r="AB25" s="338">
        <v>462.649</v>
      </c>
      <c r="AC25" s="1057">
        <v>478.411</v>
      </c>
      <c r="AD25" s="338">
        <v>496.23700000000002</v>
      </c>
      <c r="AE25" s="338">
        <v>517.07799999999997</v>
      </c>
      <c r="AF25" s="1057">
        <v>542.52699999999993</v>
      </c>
      <c r="AG25" s="1057">
        <v>570.47500000000002</v>
      </c>
      <c r="AH25" s="1057">
        <v>598.61</v>
      </c>
      <c r="AI25" s="1057">
        <v>615.70299999999997</v>
      </c>
      <c r="AJ25" s="1057">
        <v>637.61300000000006</v>
      </c>
      <c r="AK25" s="1057">
        <v>651.74</v>
      </c>
      <c r="AL25" s="183">
        <v>2.2156072727500771</v>
      </c>
      <c r="AM25" s="386" t="s">
        <v>32</v>
      </c>
    </row>
    <row r="26" spans="1:39" ht="12.75" customHeight="1">
      <c r="A26" s="8"/>
      <c r="B26" s="432" t="s">
        <v>35</v>
      </c>
      <c r="C26" s="952"/>
      <c r="D26" s="122" t="s">
        <v>64</v>
      </c>
      <c r="E26" s="236" t="s">
        <v>64</v>
      </c>
      <c r="F26" s="236"/>
      <c r="G26" s="236"/>
      <c r="H26" s="236">
        <v>34.024000000000001</v>
      </c>
      <c r="I26" s="236">
        <v>37.600999999999999</v>
      </c>
      <c r="J26" s="236">
        <v>40.835000000000001</v>
      </c>
      <c r="K26" s="236">
        <v>38.430999999999997</v>
      </c>
      <c r="L26" s="236">
        <v>46.311999999999998</v>
      </c>
      <c r="M26" s="236">
        <v>48.402999999999999</v>
      </c>
      <c r="N26" s="236">
        <v>50.046999999999997</v>
      </c>
      <c r="O26" s="236">
        <v>51.463000000000001</v>
      </c>
      <c r="P26" s="236">
        <v>43.662999999999997</v>
      </c>
      <c r="Q26" s="236">
        <v>43.852000000000004</v>
      </c>
      <c r="R26" s="236">
        <v>44.656999999999996</v>
      </c>
      <c r="S26" s="236">
        <v>44.575000000000003</v>
      </c>
      <c r="T26" s="236">
        <v>44.371000000000002</v>
      </c>
      <c r="U26" s="236">
        <v>45.505000000000003</v>
      </c>
      <c r="V26" s="236">
        <v>46.853000000000002</v>
      </c>
      <c r="W26" s="236">
        <v>48.21</v>
      </c>
      <c r="X26" s="236">
        <v>47.212000000000003</v>
      </c>
      <c r="Y26" s="240">
        <v>42.454000000000001</v>
      </c>
      <c r="Z26" s="236">
        <v>42.539000000000001</v>
      </c>
      <c r="AA26" s="236">
        <v>42.245000000000005</v>
      </c>
      <c r="AB26" s="236">
        <v>42.85</v>
      </c>
      <c r="AC26" s="236">
        <v>43.573999999999998</v>
      </c>
      <c r="AD26" s="236">
        <v>44.405999999999999</v>
      </c>
      <c r="AE26" s="236">
        <v>45.338000000000001</v>
      </c>
      <c r="AF26" s="236">
        <v>47.070999999999998</v>
      </c>
      <c r="AG26" s="236">
        <v>48.841999999999999</v>
      </c>
      <c r="AH26" s="236">
        <v>50.642000000000003</v>
      </c>
      <c r="AI26" s="236">
        <v>52.043999999999997</v>
      </c>
      <c r="AJ26" s="236">
        <v>52.777000000000001</v>
      </c>
      <c r="AK26" s="236">
        <v>53.731999999999999</v>
      </c>
      <c r="AL26" s="206">
        <v>1.8095003505314651</v>
      </c>
      <c r="AM26" s="432" t="s">
        <v>35</v>
      </c>
    </row>
    <row r="27" spans="1:39" ht="12.75" customHeight="1">
      <c r="A27" s="8"/>
      <c r="B27" s="386" t="s">
        <v>43</v>
      </c>
      <c r="C27" s="764">
        <v>286</v>
      </c>
      <c r="D27" s="121">
        <v>314</v>
      </c>
      <c r="E27" s="235">
        <v>553</v>
      </c>
      <c r="F27" s="235">
        <v>578</v>
      </c>
      <c r="G27" s="235">
        <v>619</v>
      </c>
      <c r="H27" s="235">
        <v>641</v>
      </c>
      <c r="I27" s="235">
        <v>644</v>
      </c>
      <c r="J27" s="235">
        <v>654</v>
      </c>
      <c r="K27" s="235">
        <v>684</v>
      </c>
      <c r="L27" s="235">
        <v>727</v>
      </c>
      <c r="M27" s="235">
        <v>795</v>
      </c>
      <c r="N27" s="235">
        <v>836.04700000000003</v>
      </c>
      <c r="O27" s="235">
        <v>898.99799999999993</v>
      </c>
      <c r="P27" s="235">
        <v>942.3130000000001</v>
      </c>
      <c r="Q27" s="235">
        <v>980.26700000000005</v>
      </c>
      <c r="R27" s="235">
        <v>1009.6420000000001</v>
      </c>
      <c r="S27" s="235">
        <v>1035.5930000000001</v>
      </c>
      <c r="T27" s="235">
        <v>1004.5060000000001</v>
      </c>
      <c r="U27" s="235">
        <v>995.73299999999995</v>
      </c>
      <c r="V27" s="235">
        <v>1010.402</v>
      </c>
      <c r="W27" s="235">
        <v>1025.9059999999999</v>
      </c>
      <c r="X27" s="235">
        <v>1017.2829999999999</v>
      </c>
      <c r="Y27" s="235">
        <v>1003.9649999999999</v>
      </c>
      <c r="Z27" s="235">
        <v>990.69799999999998</v>
      </c>
      <c r="AA27" s="235">
        <v>969.63900000000001</v>
      </c>
      <c r="AB27" s="235">
        <v>951.27800000000002</v>
      </c>
      <c r="AC27" s="235">
        <v>948.84299999999996</v>
      </c>
      <c r="AD27" s="235">
        <v>963.06400000000008</v>
      </c>
      <c r="AE27" s="235">
        <v>989.00499999999988</v>
      </c>
      <c r="AF27" s="235">
        <v>1023.0060000000001</v>
      </c>
      <c r="AG27" s="235">
        <v>1057.807</v>
      </c>
      <c r="AH27" s="235">
        <v>1084.4349999999999</v>
      </c>
      <c r="AI27" s="235">
        <v>1103.8</v>
      </c>
      <c r="AJ27" s="235">
        <v>1118.095</v>
      </c>
      <c r="AK27" s="235">
        <v>1136.3309999999999</v>
      </c>
      <c r="AL27" s="183">
        <v>1.6309884222718125</v>
      </c>
      <c r="AM27" s="386" t="s">
        <v>43</v>
      </c>
    </row>
    <row r="28" spans="1:39" ht="12.75" customHeight="1">
      <c r="A28" s="8"/>
      <c r="B28" s="432" t="s">
        <v>52</v>
      </c>
      <c r="C28" s="952">
        <v>122.29</v>
      </c>
      <c r="D28" s="122">
        <v>189.25</v>
      </c>
      <c r="E28" s="236">
        <v>261.83999999999997</v>
      </c>
      <c r="F28" s="236">
        <v>269.279</v>
      </c>
      <c r="G28" s="236">
        <v>279.94499999999999</v>
      </c>
      <c r="H28" s="236">
        <v>286.67900000000003</v>
      </c>
      <c r="I28" s="236">
        <v>294.92499999999995</v>
      </c>
      <c r="J28" s="236">
        <v>302.90700000000004</v>
      </c>
      <c r="K28" s="236">
        <v>306.91699999999997</v>
      </c>
      <c r="L28" s="236">
        <v>315.05799999999999</v>
      </c>
      <c r="M28" s="236">
        <v>325.33499999999998</v>
      </c>
      <c r="N28" s="236">
        <v>335.77199999999999</v>
      </c>
      <c r="O28" s="236">
        <v>344.46600000000001</v>
      </c>
      <c r="P28" s="237">
        <v>349.67</v>
      </c>
      <c r="Q28" s="236">
        <v>338.79399999999998</v>
      </c>
      <c r="R28" s="236">
        <v>345.62099999999998</v>
      </c>
      <c r="S28" s="236">
        <v>353.05500000000001</v>
      </c>
      <c r="T28" s="236">
        <v>358.04899999999998</v>
      </c>
      <c r="U28" s="236">
        <v>364.32300000000004</v>
      </c>
      <c r="V28" s="236">
        <v>372.64500000000004</v>
      </c>
      <c r="W28" s="236">
        <v>381.33800000000002</v>
      </c>
      <c r="X28" s="236">
        <v>387.97199999999998</v>
      </c>
      <c r="Y28" s="236">
        <v>396.78799999999995</v>
      </c>
      <c r="Z28" s="236">
        <v>407.452</v>
      </c>
      <c r="AA28" s="236">
        <v>416.53500000000003</v>
      </c>
      <c r="AB28" s="236">
        <v>424.75200000000001</v>
      </c>
      <c r="AC28" s="236">
        <v>434.91500000000002</v>
      </c>
      <c r="AD28" s="236">
        <v>444.02299999999997</v>
      </c>
      <c r="AE28" s="236">
        <v>457.214</v>
      </c>
      <c r="AF28" s="236">
        <v>476.3</v>
      </c>
      <c r="AG28" s="236">
        <v>495.23099999999999</v>
      </c>
      <c r="AH28" s="236">
        <v>513.91899999999998</v>
      </c>
      <c r="AI28" s="236">
        <v>531.63400000000001</v>
      </c>
      <c r="AJ28" s="236">
        <v>567.87</v>
      </c>
      <c r="AK28" s="236">
        <v>573.49599999999998</v>
      </c>
      <c r="AL28" s="206">
        <v>0.99071970697517031</v>
      </c>
      <c r="AM28" s="432" t="s">
        <v>52</v>
      </c>
    </row>
    <row r="29" spans="1:39" ht="12.75" customHeight="1">
      <c r="A29" s="8"/>
      <c r="B29" s="386" t="s">
        <v>36</v>
      </c>
      <c r="C29" s="764"/>
      <c r="D29" s="121" t="s">
        <v>64</v>
      </c>
      <c r="E29" s="235" t="s">
        <v>64</v>
      </c>
      <c r="F29" s="235"/>
      <c r="G29" s="235"/>
      <c r="H29" s="235">
        <v>999.84500000000003</v>
      </c>
      <c r="I29" s="235">
        <v>1053.979</v>
      </c>
      <c r="J29" s="235">
        <v>1354.0989999999999</v>
      </c>
      <c r="K29" s="235">
        <v>1431.357</v>
      </c>
      <c r="L29" s="235">
        <v>1487.4389999999999</v>
      </c>
      <c r="M29" s="235">
        <v>1562.8140000000001</v>
      </c>
      <c r="N29" s="235">
        <v>1682.8869999999999</v>
      </c>
      <c r="O29" s="235">
        <v>1879.068</v>
      </c>
      <c r="P29" s="235">
        <v>1979.2929999999999</v>
      </c>
      <c r="Q29" s="235">
        <v>2162.614</v>
      </c>
      <c r="R29" s="235">
        <v>2313.4190000000003</v>
      </c>
      <c r="S29" s="235">
        <v>2391.605</v>
      </c>
      <c r="T29" s="235">
        <v>2304.5050000000001</v>
      </c>
      <c r="U29" s="235">
        <v>2392.6579999999999</v>
      </c>
      <c r="V29" s="235">
        <v>2520.5480000000002</v>
      </c>
      <c r="W29" s="235">
        <v>2709.6970000000001</v>
      </c>
      <c r="X29" s="235">
        <v>2796.7670000000003</v>
      </c>
      <c r="Y29" s="235">
        <v>2981.616</v>
      </c>
      <c r="Z29" s="235">
        <v>3130.7289999999998</v>
      </c>
      <c r="AA29" s="238">
        <v>3178.0050000000001</v>
      </c>
      <c r="AB29" s="235">
        <v>3471.6379999999999</v>
      </c>
      <c r="AC29" s="235">
        <v>3340.616</v>
      </c>
      <c r="AD29" s="235">
        <v>3411.518</v>
      </c>
      <c r="AE29" s="235">
        <v>3523.4520000000002</v>
      </c>
      <c r="AF29" s="235">
        <v>3619.605</v>
      </c>
      <c r="AG29" s="235">
        <v>3735.7719999999999</v>
      </c>
      <c r="AH29" s="235">
        <v>3857.48</v>
      </c>
      <c r="AI29" s="235">
        <v>3968.875</v>
      </c>
      <c r="AJ29" s="235">
        <v>4105.143</v>
      </c>
      <c r="AK29" s="235">
        <v>4210.3509999999997</v>
      </c>
      <c r="AL29" s="183">
        <v>2.5628339865383367</v>
      </c>
      <c r="AM29" s="386" t="s">
        <v>36</v>
      </c>
    </row>
    <row r="30" spans="1:39" ht="12.75" customHeight="1">
      <c r="A30" s="8"/>
      <c r="B30" s="432" t="s">
        <v>53</v>
      </c>
      <c r="C30" s="952">
        <v>157</v>
      </c>
      <c r="D30" s="122">
        <v>350</v>
      </c>
      <c r="E30" s="236">
        <v>781</v>
      </c>
      <c r="F30" s="236">
        <v>847</v>
      </c>
      <c r="G30" s="236">
        <v>928</v>
      </c>
      <c r="H30" s="237">
        <v>1011</v>
      </c>
      <c r="I30" s="236">
        <v>868.24599999999998</v>
      </c>
      <c r="J30" s="236">
        <v>912.29</v>
      </c>
      <c r="K30" s="236">
        <v>969.69899999999996</v>
      </c>
      <c r="L30" s="236">
        <v>1076.556</v>
      </c>
      <c r="M30" s="236">
        <v>1105.287</v>
      </c>
      <c r="N30" s="236">
        <v>1232.3119999999999</v>
      </c>
      <c r="O30" s="236">
        <v>1313.223</v>
      </c>
      <c r="P30" s="236">
        <v>1401.3050000000001</v>
      </c>
      <c r="Q30" s="236">
        <v>1377.335</v>
      </c>
      <c r="R30" s="236">
        <v>1256.8579999999999</v>
      </c>
      <c r="S30" s="241">
        <v>1300</v>
      </c>
      <c r="T30" s="241">
        <v>1308</v>
      </c>
      <c r="U30" s="236">
        <v>1320</v>
      </c>
      <c r="V30" s="236">
        <v>1333</v>
      </c>
      <c r="W30" s="241">
        <v>1335</v>
      </c>
      <c r="X30" s="236">
        <v>1337</v>
      </c>
      <c r="Y30" s="236">
        <v>1337</v>
      </c>
      <c r="Z30" s="236">
        <v>1335.5</v>
      </c>
      <c r="AA30" s="236">
        <v>1295</v>
      </c>
      <c r="AB30" s="240">
        <v>1246.4469999999999</v>
      </c>
      <c r="AC30" s="236">
        <v>1348.5989999999999</v>
      </c>
      <c r="AD30" s="236">
        <v>1313.2190000000001</v>
      </c>
      <c r="AE30" s="236">
        <v>1310.4739999999999</v>
      </c>
      <c r="AF30" s="236">
        <v>1336.8</v>
      </c>
      <c r="AG30" s="236">
        <v>1369.68</v>
      </c>
      <c r="AH30" s="236">
        <v>1513.0450000000001</v>
      </c>
      <c r="AI30" s="236">
        <v>1395.519</v>
      </c>
      <c r="AJ30" s="236">
        <v>1396.1420000000001</v>
      </c>
      <c r="AK30" s="242">
        <v>1403.9169999999999</v>
      </c>
      <c r="AL30" s="206">
        <v>0.55689177748394059</v>
      </c>
      <c r="AM30" s="432" t="s">
        <v>53</v>
      </c>
    </row>
    <row r="31" spans="1:39" ht="12.75" customHeight="1">
      <c r="A31" s="8"/>
      <c r="B31" s="386" t="s">
        <v>37</v>
      </c>
      <c r="C31" s="764"/>
      <c r="D31" s="121">
        <v>250</v>
      </c>
      <c r="E31" s="235">
        <v>258.70100000000002</v>
      </c>
      <c r="F31" s="235">
        <v>259.56599999999997</v>
      </c>
      <c r="G31" s="235">
        <v>275.48700000000002</v>
      </c>
      <c r="H31" s="235">
        <v>298.31799999999998</v>
      </c>
      <c r="I31" s="235">
        <v>322.41699999999997</v>
      </c>
      <c r="J31" s="235">
        <v>343.06400000000002</v>
      </c>
      <c r="K31" s="235">
        <v>376.81700000000001</v>
      </c>
      <c r="L31" s="235">
        <v>390.18099999999998</v>
      </c>
      <c r="M31" s="235">
        <v>405.74299999999999</v>
      </c>
      <c r="N31" s="235">
        <v>417.78</v>
      </c>
      <c r="O31" s="235">
        <v>427.15199999999999</v>
      </c>
      <c r="P31" s="235">
        <v>437.96800000000002</v>
      </c>
      <c r="Q31" s="235">
        <v>447.29899999999998</v>
      </c>
      <c r="R31" s="235">
        <v>463.09899999999999</v>
      </c>
      <c r="S31" s="235">
        <v>482.42500000000001</v>
      </c>
      <c r="T31" s="235">
        <v>493.82100000000003</v>
      </c>
      <c r="U31" s="238">
        <v>545.29999999999995</v>
      </c>
      <c r="V31" s="235">
        <v>501.95699999999999</v>
      </c>
      <c r="W31" s="235">
        <v>645.34</v>
      </c>
      <c r="X31" s="235">
        <v>661.9</v>
      </c>
      <c r="Y31" s="235">
        <v>667.21900000000005</v>
      </c>
      <c r="Z31" s="235">
        <v>696.26</v>
      </c>
      <c r="AA31" s="235">
        <v>719.92599999999993</v>
      </c>
      <c r="AB31" s="235">
        <v>761.55399999999997</v>
      </c>
      <c r="AC31" s="235">
        <v>806.52300000000002</v>
      </c>
      <c r="AD31" s="235">
        <v>856.25699999999995</v>
      </c>
      <c r="AE31" s="235">
        <v>912.79</v>
      </c>
      <c r="AF31" s="235">
        <v>975.2</v>
      </c>
      <c r="AG31" s="235">
        <v>1034.3240000000001</v>
      </c>
      <c r="AH31" s="235">
        <v>1090.008</v>
      </c>
      <c r="AI31" s="235">
        <v>1141.5920000000001</v>
      </c>
      <c r="AJ31" s="235">
        <v>1191.364</v>
      </c>
      <c r="AK31" s="235">
        <v>1228.104</v>
      </c>
      <c r="AL31" s="183">
        <v>3.0838601804318557</v>
      </c>
      <c r="AM31" s="386" t="s">
        <v>37</v>
      </c>
    </row>
    <row r="32" spans="1:39" ht="12.75" customHeight="1">
      <c r="A32" s="8"/>
      <c r="B32" s="432" t="s">
        <v>39</v>
      </c>
      <c r="C32" s="952">
        <v>15.946</v>
      </c>
      <c r="D32" s="122">
        <v>28.454999999999998</v>
      </c>
      <c r="E32" s="236">
        <v>30.766999999999999</v>
      </c>
      <c r="F32" s="237">
        <v>30.771999999999998</v>
      </c>
      <c r="G32" s="236">
        <v>34.535000000000004</v>
      </c>
      <c r="H32" s="236">
        <v>36.976000000000006</v>
      </c>
      <c r="I32" s="236">
        <v>38.852000000000004</v>
      </c>
      <c r="J32" s="236">
        <v>42.866999999999997</v>
      </c>
      <c r="K32" s="236">
        <v>45.588999999999999</v>
      </c>
      <c r="L32" s="236">
        <v>47.88</v>
      </c>
      <c r="M32" s="236">
        <v>49.513000000000005</v>
      </c>
      <c r="N32" s="236">
        <v>51.741</v>
      </c>
      <c r="O32" s="236">
        <v>54.262999999999998</v>
      </c>
      <c r="P32" s="236">
        <v>56.114999999999995</v>
      </c>
      <c r="Q32" s="236">
        <v>57.9</v>
      </c>
      <c r="R32" s="236">
        <v>59.801000000000002</v>
      </c>
      <c r="S32" s="236">
        <v>63.177999999999997</v>
      </c>
      <c r="T32" s="236">
        <v>66.447000000000003</v>
      </c>
      <c r="U32" s="236">
        <v>70.132000000000005</v>
      </c>
      <c r="V32" s="236">
        <v>77.567999999999998</v>
      </c>
      <c r="W32" s="236">
        <v>83.909000000000006</v>
      </c>
      <c r="X32" s="236">
        <v>83.632999999999996</v>
      </c>
      <c r="Y32" s="236">
        <v>84.106999999999999</v>
      </c>
      <c r="Z32" s="236">
        <v>84.644000000000005</v>
      </c>
      <c r="AA32" s="236">
        <v>84.408000000000001</v>
      </c>
      <c r="AB32" s="236">
        <v>84.938000000000002</v>
      </c>
      <c r="AC32" s="236">
        <v>87.265000000000001</v>
      </c>
      <c r="AD32" s="236">
        <v>91.27600000000001</v>
      </c>
      <c r="AE32" s="236">
        <v>96.891999999999996</v>
      </c>
      <c r="AF32" s="236">
        <v>103.3</v>
      </c>
      <c r="AG32" s="236">
        <v>110.378</v>
      </c>
      <c r="AH32" s="236">
        <v>115.982</v>
      </c>
      <c r="AI32" s="236">
        <v>118.46</v>
      </c>
      <c r="AJ32" s="236">
        <v>123.658</v>
      </c>
      <c r="AK32" s="236">
        <v>127.496</v>
      </c>
      <c r="AL32" s="206">
        <v>3.1037215546102885</v>
      </c>
      <c r="AM32" s="432" t="s">
        <v>39</v>
      </c>
    </row>
    <row r="33" spans="1:39" ht="12.75" customHeight="1">
      <c r="A33" s="8"/>
      <c r="B33" s="386" t="s">
        <v>38</v>
      </c>
      <c r="C33" s="953"/>
      <c r="D33" s="1068"/>
      <c r="E33" s="288">
        <v>91.994</v>
      </c>
      <c r="F33" s="235">
        <v>95.335999999999999</v>
      </c>
      <c r="G33" s="235">
        <v>102.295</v>
      </c>
      <c r="H33" s="235">
        <v>101.55200000000001</v>
      </c>
      <c r="I33" s="235">
        <v>102.47</v>
      </c>
      <c r="J33" s="235">
        <v>102.634</v>
      </c>
      <c r="K33" s="235">
        <v>97.078000000000003</v>
      </c>
      <c r="L33" s="235">
        <v>103.68</v>
      </c>
      <c r="M33" s="235">
        <v>112.80200000000001</v>
      </c>
      <c r="N33" s="235">
        <v>118.28699999999999</v>
      </c>
      <c r="O33" s="235">
        <v>113.995</v>
      </c>
      <c r="P33" s="235">
        <v>125.393</v>
      </c>
      <c r="Q33" s="235">
        <v>137.17099999999999</v>
      </c>
      <c r="R33" s="235">
        <v>150.99099999999999</v>
      </c>
      <c r="S33" s="235">
        <v>151.83000000000001</v>
      </c>
      <c r="T33" s="235">
        <v>174.23</v>
      </c>
      <c r="U33" s="235">
        <v>189.256</v>
      </c>
      <c r="V33" s="235">
        <v>215.697</v>
      </c>
      <c r="W33" s="235">
        <v>248.66199999999998</v>
      </c>
      <c r="X33" s="235">
        <v>269.322</v>
      </c>
      <c r="Y33" s="235">
        <v>276.04900000000004</v>
      </c>
      <c r="Z33" s="235">
        <v>281.81100000000004</v>
      </c>
      <c r="AA33" s="235">
        <v>285.97800000000001</v>
      </c>
      <c r="AB33" s="235">
        <v>289.40099999999995</v>
      </c>
      <c r="AC33" s="235">
        <v>293.85299999999995</v>
      </c>
      <c r="AD33" s="235">
        <v>302.88299999999998</v>
      </c>
      <c r="AE33" s="235">
        <v>309.29000000000002</v>
      </c>
      <c r="AF33" s="235">
        <v>316.7</v>
      </c>
      <c r="AG33" s="235">
        <v>324.67599999999999</v>
      </c>
      <c r="AH33" s="235">
        <v>326.36799999999999</v>
      </c>
      <c r="AI33" s="235">
        <v>326.7</v>
      </c>
      <c r="AJ33" s="235">
        <v>333.15800000000002</v>
      </c>
      <c r="AK33" s="235">
        <v>336.95100000000002</v>
      </c>
      <c r="AL33" s="183">
        <v>1.1384988503953224</v>
      </c>
      <c r="AM33" s="386" t="s">
        <v>38</v>
      </c>
    </row>
    <row r="34" spans="1:39" ht="12.75" customHeight="1">
      <c r="A34" s="8"/>
      <c r="B34" s="432" t="s">
        <v>54</v>
      </c>
      <c r="C34" s="952">
        <v>103</v>
      </c>
      <c r="D34" s="122">
        <v>149</v>
      </c>
      <c r="E34" s="236">
        <v>264.15699999999998</v>
      </c>
      <c r="F34" s="237">
        <v>263.8</v>
      </c>
      <c r="G34" s="236">
        <v>263</v>
      </c>
      <c r="H34" s="236">
        <v>253.10900000000001</v>
      </c>
      <c r="I34" s="236">
        <v>246.553</v>
      </c>
      <c r="J34" s="236">
        <v>252.03200000000001</v>
      </c>
      <c r="K34" s="236">
        <v>258.697</v>
      </c>
      <c r="L34" s="236">
        <v>266.94400000000002</v>
      </c>
      <c r="M34" s="236">
        <v>280.61</v>
      </c>
      <c r="N34" s="236">
        <v>293.70699999999999</v>
      </c>
      <c r="O34" s="236">
        <v>304.31799999999998</v>
      </c>
      <c r="P34" s="236">
        <v>312.55700000000002</v>
      </c>
      <c r="Q34" s="236">
        <v>319.69900000000001</v>
      </c>
      <c r="R34" s="236">
        <v>327.12200000000001</v>
      </c>
      <c r="S34" s="236">
        <v>355.16400000000004</v>
      </c>
      <c r="T34" s="236">
        <v>363.64400000000001</v>
      </c>
      <c r="U34" s="236">
        <v>376.09199999999998</v>
      </c>
      <c r="V34" s="236">
        <v>394.71800000000002</v>
      </c>
      <c r="W34" s="236">
        <v>424.49799999999999</v>
      </c>
      <c r="X34" s="236">
        <v>443.91199999999998</v>
      </c>
      <c r="Y34" s="236">
        <v>464.40800000000002</v>
      </c>
      <c r="Z34" s="236">
        <v>488.93900000000002</v>
      </c>
      <c r="AA34" s="236">
        <v>508.01100000000002</v>
      </c>
      <c r="AB34" s="236">
        <v>526.09799999999996</v>
      </c>
      <c r="AC34" s="236">
        <v>542.89400000000001</v>
      </c>
      <c r="AD34" s="236">
        <v>560.89</v>
      </c>
      <c r="AE34" s="236">
        <v>582.05999999999995</v>
      </c>
      <c r="AF34" s="236">
        <v>604.5</v>
      </c>
      <c r="AG34" s="236">
        <v>626.79399999999998</v>
      </c>
      <c r="AH34" s="236">
        <v>649.13499999999999</v>
      </c>
      <c r="AI34" s="236">
        <v>668.80700000000002</v>
      </c>
      <c r="AJ34" s="236">
        <v>685.08199999999999</v>
      </c>
      <c r="AK34" s="236">
        <v>698.44100000000003</v>
      </c>
      <c r="AL34" s="206">
        <v>1.949985549175139</v>
      </c>
      <c r="AM34" s="432" t="s">
        <v>54</v>
      </c>
    </row>
    <row r="35" spans="1:39" ht="12.75" customHeight="1">
      <c r="A35" s="8"/>
      <c r="B35" s="433" t="s">
        <v>55</v>
      </c>
      <c r="C35" s="1071">
        <v>145</v>
      </c>
      <c r="D35" s="1072">
        <v>181.57</v>
      </c>
      <c r="E35" s="1073">
        <v>309.52</v>
      </c>
      <c r="F35" s="247">
        <v>309.81</v>
      </c>
      <c r="G35" s="247">
        <v>304.99</v>
      </c>
      <c r="H35" s="247">
        <v>305.68600000000004</v>
      </c>
      <c r="I35" s="247">
        <v>307.916</v>
      </c>
      <c r="J35" s="247">
        <v>307.709</v>
      </c>
      <c r="K35" s="247">
        <v>311.75099999999998</v>
      </c>
      <c r="L35" s="247">
        <v>321.31</v>
      </c>
      <c r="M35" s="247">
        <v>337.97300000000001</v>
      </c>
      <c r="N35" s="247">
        <v>354.29300000000001</v>
      </c>
      <c r="O35" s="247">
        <v>374.22199999999998</v>
      </c>
      <c r="P35" s="247">
        <v>395.69299999999998</v>
      </c>
      <c r="Q35" s="247">
        <v>408.94</v>
      </c>
      <c r="R35" s="247">
        <v>421.56099999999998</v>
      </c>
      <c r="S35" s="247">
        <v>439.98500000000001</v>
      </c>
      <c r="T35" s="247">
        <v>461.161</v>
      </c>
      <c r="U35" s="247">
        <v>479.79399999999998</v>
      </c>
      <c r="V35" s="247">
        <v>504.08499999999998</v>
      </c>
      <c r="W35" s="247">
        <v>510.19900000000001</v>
      </c>
      <c r="X35" s="247">
        <v>514.57600000000002</v>
      </c>
      <c r="Y35" s="247">
        <v>526.44100000000003</v>
      </c>
      <c r="Z35" s="247">
        <v>548.27200000000005</v>
      </c>
      <c r="AA35" s="247">
        <v>556.82100000000003</v>
      </c>
      <c r="AB35" s="247">
        <v>565.18200000000002</v>
      </c>
      <c r="AC35" s="247">
        <v>581.20500000000004</v>
      </c>
      <c r="AD35" s="247">
        <v>596.21400000000006</v>
      </c>
      <c r="AE35" s="247">
        <v>616.178</v>
      </c>
      <c r="AF35" s="247">
        <v>638.38800000000003</v>
      </c>
      <c r="AG35" s="247">
        <v>656.05200000000002</v>
      </c>
      <c r="AH35" s="247">
        <v>669.24400000000003</v>
      </c>
      <c r="AI35" s="247">
        <v>679.99130000000002</v>
      </c>
      <c r="AJ35" s="247">
        <v>691.22199999999998</v>
      </c>
      <c r="AK35" s="247">
        <v>694.93100000000004</v>
      </c>
      <c r="AL35" s="186">
        <v>0.53658593042467828</v>
      </c>
      <c r="AM35" s="433" t="s">
        <v>55</v>
      </c>
    </row>
    <row r="36" spans="1:39" ht="12.75" customHeight="1">
      <c r="A36" s="8"/>
      <c r="B36" s="432" t="s">
        <v>26</v>
      </c>
      <c r="C36" s="952"/>
      <c r="D36" s="122" t="s">
        <v>64</v>
      </c>
      <c r="E36" s="236">
        <v>13.122</v>
      </c>
      <c r="F36" s="237">
        <v>14.623000000000001</v>
      </c>
      <c r="G36" s="236">
        <v>14.844999999999999</v>
      </c>
      <c r="H36" s="236">
        <v>14.451000000000001</v>
      </c>
      <c r="I36" s="236">
        <v>14.348000000000001</v>
      </c>
      <c r="J36" s="236">
        <v>14.757</v>
      </c>
      <c r="K36" s="236">
        <v>15.260000000000002</v>
      </c>
      <c r="L36" s="236">
        <v>16.027999999999999</v>
      </c>
      <c r="M36" s="236">
        <v>16.549999999999997</v>
      </c>
      <c r="N36" s="236">
        <v>17.806999999999999</v>
      </c>
      <c r="O36" s="236">
        <v>19.431999999999999</v>
      </c>
      <c r="P36" s="236">
        <v>19.990000000000002</v>
      </c>
      <c r="Q36" s="236">
        <v>20.277999999999999</v>
      </c>
      <c r="R36" s="236">
        <v>21.234999999999999</v>
      </c>
      <c r="S36" s="236">
        <v>23.035</v>
      </c>
      <c r="T36" s="236">
        <v>25.544</v>
      </c>
      <c r="U36" s="236">
        <v>28.087</v>
      </c>
      <c r="V36" s="236">
        <v>31.094999999999999</v>
      </c>
      <c r="W36" s="236">
        <v>31.818999999999999</v>
      </c>
      <c r="X36" s="236">
        <v>30.923000000000002</v>
      </c>
      <c r="Y36" s="236">
        <v>30.437000000000001</v>
      </c>
      <c r="Z36" s="236">
        <v>30.209</v>
      </c>
      <c r="AA36" s="236">
        <v>30.338000000000001</v>
      </c>
      <c r="AB36" s="236">
        <v>30.657</v>
      </c>
      <c r="AC36" s="236">
        <v>31.364000000000001</v>
      </c>
      <c r="AD36" s="236">
        <v>33.023000000000003</v>
      </c>
      <c r="AE36" s="236">
        <v>35.572000000000003</v>
      </c>
      <c r="AF36" s="236">
        <v>38.393999999999998</v>
      </c>
      <c r="AG36" s="236">
        <v>40.542000000000002</v>
      </c>
      <c r="AH36" s="236">
        <v>41.786999999999999</v>
      </c>
      <c r="AI36" s="236">
        <v>42.573999999999998</v>
      </c>
      <c r="AJ36" s="236">
        <v>43.98</v>
      </c>
      <c r="AK36" s="241">
        <v>43.98</v>
      </c>
      <c r="AL36" s="454">
        <v>0</v>
      </c>
      <c r="AM36" s="434" t="s">
        <v>26</v>
      </c>
    </row>
    <row r="37" spans="1:39" ht="12.75" customHeight="1">
      <c r="A37" s="8"/>
      <c r="B37" s="386" t="s">
        <v>65</v>
      </c>
      <c r="C37" s="953"/>
      <c r="D37" s="1068"/>
      <c r="E37" s="288"/>
      <c r="F37" s="235"/>
      <c r="G37" s="235"/>
      <c r="H37" s="235"/>
      <c r="I37" s="235"/>
      <c r="J37" s="235"/>
      <c r="K37" s="235"/>
      <c r="L37" s="235"/>
      <c r="M37" s="235"/>
      <c r="N37" s="235">
        <v>2.8839999999999999</v>
      </c>
      <c r="O37" s="235">
        <v>2.46</v>
      </c>
      <c r="P37" s="235">
        <v>2.6</v>
      </c>
      <c r="Q37" s="235">
        <v>2.665</v>
      </c>
      <c r="R37" s="235">
        <v>2.56</v>
      </c>
      <c r="S37" s="235">
        <v>2.5910000000000002</v>
      </c>
      <c r="T37" s="235">
        <v>2.5790000000000002</v>
      </c>
      <c r="U37" s="235">
        <v>2.5249999999999999</v>
      </c>
      <c r="V37" s="235">
        <v>2.5659999999999998</v>
      </c>
      <c r="W37" s="235">
        <v>2.6960000000000002</v>
      </c>
      <c r="X37" s="235">
        <v>2.7120000000000002</v>
      </c>
      <c r="Y37" s="235">
        <v>2.7909999999999999</v>
      </c>
      <c r="Z37" s="235">
        <v>2.89</v>
      </c>
      <c r="AA37" s="235">
        <v>3.0219999999999998</v>
      </c>
      <c r="AB37" s="235">
        <v>3.0859999999999999</v>
      </c>
      <c r="AC37" s="235">
        <v>3.109</v>
      </c>
      <c r="AD37" s="235">
        <v>3.1829999999999998</v>
      </c>
      <c r="AE37" s="235">
        <v>3.286</v>
      </c>
      <c r="AF37" s="235">
        <v>3.3420000000000001</v>
      </c>
      <c r="AG37" s="235">
        <v>3.4340000000000002</v>
      </c>
      <c r="AH37" s="235">
        <v>3.5249999999999999</v>
      </c>
      <c r="AI37" s="235">
        <v>3.5550000000000002</v>
      </c>
      <c r="AJ37" s="235">
        <v>3.63</v>
      </c>
      <c r="AK37" s="235">
        <v>3.6509999999999998</v>
      </c>
      <c r="AL37" s="183">
        <v>0.57851239669422228</v>
      </c>
      <c r="AM37" s="386" t="s">
        <v>65</v>
      </c>
    </row>
    <row r="38" spans="1:39" ht="12.75" customHeight="1">
      <c r="A38" s="8"/>
      <c r="B38" s="432" t="s">
        <v>56</v>
      </c>
      <c r="C38" s="952"/>
      <c r="D38" s="122" t="s">
        <v>64</v>
      </c>
      <c r="E38" s="236">
        <v>308.29899999999998</v>
      </c>
      <c r="F38" s="237">
        <v>311.06299999999999</v>
      </c>
      <c r="G38" s="236">
        <v>314.88200000000001</v>
      </c>
      <c r="H38" s="236">
        <v>323.387</v>
      </c>
      <c r="I38" s="236">
        <v>335.779</v>
      </c>
      <c r="J38" s="236">
        <v>349.50400000000002</v>
      </c>
      <c r="K38" s="236">
        <v>358.12799999999999</v>
      </c>
      <c r="L38" s="236">
        <v>377.01200000000006</v>
      </c>
      <c r="M38" s="236">
        <v>390.82900000000001</v>
      </c>
      <c r="N38" s="236">
        <v>403.03899999999999</v>
      </c>
      <c r="O38" s="236">
        <v>414.34</v>
      </c>
      <c r="P38" s="236">
        <v>426.97699999999998</v>
      </c>
      <c r="Q38" s="236">
        <v>431.02800000000002</v>
      </c>
      <c r="R38" s="236">
        <v>438.28200000000004</v>
      </c>
      <c r="S38" s="236">
        <v>449.80099999999999</v>
      </c>
      <c r="T38" s="236">
        <v>465.43900000000002</v>
      </c>
      <c r="U38" s="236">
        <v>488.565</v>
      </c>
      <c r="V38" s="236">
        <v>513.673</v>
      </c>
      <c r="W38" s="236">
        <v>523.35</v>
      </c>
      <c r="X38" s="236">
        <v>524.15099999999995</v>
      </c>
      <c r="Y38" s="236">
        <v>527.04100000000005</v>
      </c>
      <c r="Z38" s="236">
        <v>534.26099999999997</v>
      </c>
      <c r="AA38" s="236">
        <v>542.52800000000002</v>
      </c>
      <c r="AB38" s="236">
        <v>548.30499999999995</v>
      </c>
      <c r="AC38" s="236">
        <v>550.88199999999995</v>
      </c>
      <c r="AD38" s="236">
        <v>554.11</v>
      </c>
      <c r="AE38" s="236">
        <v>558.81299999999999</v>
      </c>
      <c r="AF38" s="236">
        <v>563.68899999999996</v>
      </c>
      <c r="AG38" s="236">
        <v>565.63199999999995</v>
      </c>
      <c r="AH38" s="236">
        <v>575.77300000000002</v>
      </c>
      <c r="AI38" s="236">
        <v>585.70699999999999</v>
      </c>
      <c r="AJ38" s="236">
        <v>594.46299999999997</v>
      </c>
      <c r="AK38" s="236">
        <v>594.29700000000003</v>
      </c>
      <c r="AL38" s="206">
        <v>-2.7924361987203383E-2</v>
      </c>
      <c r="AM38" s="432" t="s">
        <v>56</v>
      </c>
    </row>
    <row r="39" spans="1:39" ht="12.75" customHeight="1">
      <c r="A39" s="8"/>
      <c r="B39" s="433" t="s">
        <v>27</v>
      </c>
      <c r="C39" s="1071">
        <v>106.997</v>
      </c>
      <c r="D39" s="1072">
        <v>169.40199999999999</v>
      </c>
      <c r="E39" s="1073">
        <v>252.136</v>
      </c>
      <c r="F39" s="247">
        <v>257.64600000000002</v>
      </c>
      <c r="G39" s="247">
        <v>256.61099999999999</v>
      </c>
      <c r="H39" s="247">
        <v>253.46100000000001</v>
      </c>
      <c r="I39" s="247">
        <v>256.28500000000003</v>
      </c>
      <c r="J39" s="247">
        <v>262.35199999999998</v>
      </c>
      <c r="K39" s="247">
        <v>263.02</v>
      </c>
      <c r="L39" s="247">
        <v>264.2</v>
      </c>
      <c r="M39" s="247">
        <v>267.38</v>
      </c>
      <c r="N39" s="247">
        <v>273.95400000000001</v>
      </c>
      <c r="O39" s="247">
        <v>278.51799999999997</v>
      </c>
      <c r="P39" s="247">
        <v>285.24599999999998</v>
      </c>
      <c r="Q39" s="247">
        <v>290.142</v>
      </c>
      <c r="R39" s="247">
        <v>292.32900000000001</v>
      </c>
      <c r="S39" s="247">
        <v>298.19299999999998</v>
      </c>
      <c r="T39" s="247">
        <v>307.161</v>
      </c>
      <c r="U39" s="247">
        <v>314.04000000000002</v>
      </c>
      <c r="V39" s="247">
        <v>324.15300000000002</v>
      </c>
      <c r="W39" s="247">
        <v>326.23200000000003</v>
      </c>
      <c r="X39" s="247">
        <v>327.80799999999999</v>
      </c>
      <c r="Y39" s="247">
        <v>335.2</v>
      </c>
      <c r="Z39" s="247">
        <v>348.553</v>
      </c>
      <c r="AA39" s="247">
        <v>361.92599999999999</v>
      </c>
      <c r="AB39" s="247">
        <v>371.36099999999999</v>
      </c>
      <c r="AC39" s="247">
        <v>382.28100000000001</v>
      </c>
      <c r="AD39" s="247">
        <v>393.59800000000001</v>
      </c>
      <c r="AE39" s="247">
        <v>405.56599999999997</v>
      </c>
      <c r="AF39" s="247">
        <v>416.50099999999998</v>
      </c>
      <c r="AG39" s="247">
        <v>428.80799999999999</v>
      </c>
      <c r="AH39" s="247">
        <v>440.79500000000002</v>
      </c>
      <c r="AI39" s="247">
        <v>452.18599999999998</v>
      </c>
      <c r="AJ39" s="247">
        <v>466.85700000000003</v>
      </c>
      <c r="AK39" s="247">
        <v>475.714</v>
      </c>
      <c r="AL39" s="186">
        <v>1.8971548032909311</v>
      </c>
      <c r="AM39" s="433" t="s">
        <v>27</v>
      </c>
    </row>
    <row r="40" spans="1:39" ht="12.75" customHeight="1">
      <c r="A40" s="8"/>
      <c r="B40" s="432" t="s">
        <v>311</v>
      </c>
      <c r="C40" s="954"/>
      <c r="D40" s="1074"/>
      <c r="E40" s="298"/>
      <c r="F40" s="236"/>
      <c r="G40" s="236"/>
      <c r="H40" s="236"/>
      <c r="I40" s="236"/>
      <c r="J40" s="236"/>
      <c r="K40" s="236"/>
      <c r="L40" s="236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/>
      <c r="X40" s="236"/>
      <c r="Y40" s="236"/>
      <c r="Z40" s="236"/>
      <c r="AA40" s="236"/>
      <c r="AB40" s="236"/>
      <c r="AC40" s="236"/>
      <c r="AD40" s="236"/>
      <c r="AE40" s="236"/>
      <c r="AF40" s="236">
        <v>84.501000000000005</v>
      </c>
      <c r="AG40" s="236">
        <v>88.722999999999999</v>
      </c>
      <c r="AH40" s="236">
        <v>80.373999999999995</v>
      </c>
      <c r="AI40" s="236">
        <v>80.463999999999999</v>
      </c>
      <c r="AJ40" s="236">
        <v>85.233000000000004</v>
      </c>
      <c r="AK40" s="236">
        <v>87.444000000000003</v>
      </c>
      <c r="AL40" s="206">
        <v>2.5940656787863929</v>
      </c>
      <c r="AM40" s="432" t="s">
        <v>311</v>
      </c>
    </row>
    <row r="41" spans="1:39" s="22" customFormat="1" ht="12.75" customHeight="1">
      <c r="A41" s="203" t="s">
        <v>57</v>
      </c>
      <c r="B41" s="386" t="s">
        <v>139</v>
      </c>
      <c r="C41" s="764"/>
      <c r="D41" s="121"/>
      <c r="E41" s="235"/>
      <c r="F41" s="235"/>
      <c r="G41" s="235"/>
      <c r="H41" s="235"/>
      <c r="I41" s="235"/>
      <c r="J41" s="235"/>
      <c r="K41" s="235"/>
      <c r="L41" s="235"/>
      <c r="M41" s="235"/>
      <c r="N41" s="235"/>
      <c r="O41" s="235"/>
      <c r="P41" s="235"/>
      <c r="Q41" s="235"/>
      <c r="R41" s="235"/>
      <c r="S41" s="235"/>
      <c r="T41" s="235"/>
      <c r="U41" s="235"/>
      <c r="V41" s="235"/>
      <c r="W41" s="235"/>
      <c r="X41" s="235"/>
      <c r="Y41" s="235"/>
      <c r="Z41" s="235">
        <v>13.489000000000001</v>
      </c>
      <c r="AA41" s="235">
        <v>13.667999999999999</v>
      </c>
      <c r="AB41" s="235">
        <v>13.807</v>
      </c>
      <c r="AC41" s="235">
        <v>13.830000000000002</v>
      </c>
      <c r="AD41" s="235">
        <v>14.340999999999999</v>
      </c>
      <c r="AE41" s="235">
        <v>15.388</v>
      </c>
      <c r="AF41" s="235">
        <v>16.545999999999999</v>
      </c>
      <c r="AG41" s="235">
        <v>18.233000000000004</v>
      </c>
      <c r="AH41" s="235">
        <v>19.643000000000001</v>
      </c>
      <c r="AI41" s="235">
        <v>19.728000000000002</v>
      </c>
      <c r="AJ41" s="235">
        <v>21.292000000000002</v>
      </c>
      <c r="AK41" s="235">
        <v>21.355</v>
      </c>
      <c r="AL41" s="183">
        <v>0.29588577869621702</v>
      </c>
      <c r="AM41" s="386" t="s">
        <v>139</v>
      </c>
    </row>
    <row r="42" spans="1:39" ht="12.75" customHeight="1">
      <c r="A42" s="8"/>
      <c r="B42" s="432" t="s">
        <v>313</v>
      </c>
      <c r="C42" s="954"/>
      <c r="D42" s="1074"/>
      <c r="E42" s="298"/>
      <c r="F42" s="236"/>
      <c r="G42" s="236"/>
      <c r="H42" s="236"/>
      <c r="I42" s="236"/>
      <c r="J42" s="236"/>
      <c r="K42" s="236"/>
      <c r="L42" s="236"/>
      <c r="M42" s="236"/>
      <c r="N42" s="236"/>
      <c r="O42" s="236"/>
      <c r="P42" s="236"/>
      <c r="Q42" s="236"/>
      <c r="R42" s="236"/>
      <c r="S42" s="236">
        <v>73.774000000000001</v>
      </c>
      <c r="T42" s="236">
        <v>81.798000000000002</v>
      </c>
      <c r="U42" s="236">
        <v>84.087000000000003</v>
      </c>
      <c r="V42" s="236">
        <v>94.828000000000003</v>
      </c>
      <c r="W42" s="236">
        <v>115.967</v>
      </c>
      <c r="X42" s="236">
        <v>120.17400000000001</v>
      </c>
      <c r="Y42" s="236">
        <v>131.24299999999999</v>
      </c>
      <c r="Z42" s="236">
        <v>141.696</v>
      </c>
      <c r="AA42" s="236">
        <v>151.83000000000001</v>
      </c>
      <c r="AB42" s="236">
        <v>154.16300000000001</v>
      </c>
      <c r="AC42" s="236">
        <v>160.19900000000001</v>
      </c>
      <c r="AD42" s="236">
        <v>164.53299999999999</v>
      </c>
      <c r="AE42" s="236">
        <v>168.61799999999999</v>
      </c>
      <c r="AF42" s="236">
        <v>173.38399999999999</v>
      </c>
      <c r="AG42" s="236">
        <v>179.392</v>
      </c>
      <c r="AH42" s="236">
        <v>185.66900000000001</v>
      </c>
      <c r="AI42" s="236">
        <v>185.87799999999999</v>
      </c>
      <c r="AJ42" s="236">
        <v>190.85</v>
      </c>
      <c r="AK42" s="236">
        <v>194.523</v>
      </c>
      <c r="AL42" s="206">
        <v>1.9245480744039867</v>
      </c>
      <c r="AM42" s="432" t="s">
        <v>313</v>
      </c>
    </row>
    <row r="43" spans="1:39" s="22" customFormat="1" ht="12.75" customHeight="1">
      <c r="A43" s="203"/>
      <c r="B43" s="386" t="s">
        <v>0</v>
      </c>
      <c r="C43" s="953"/>
      <c r="D43" s="1068"/>
      <c r="E43" s="288"/>
      <c r="F43" s="235"/>
      <c r="G43" s="235"/>
      <c r="H43" s="235">
        <v>20.103999999999999</v>
      </c>
      <c r="I43" s="235">
        <v>20.026</v>
      </c>
      <c r="J43" s="235">
        <v>22.558</v>
      </c>
      <c r="K43" s="235">
        <v>21.937000000000001</v>
      </c>
      <c r="L43" s="235">
        <v>23.286000000000001</v>
      </c>
      <c r="M43" s="235">
        <v>23.44</v>
      </c>
      <c r="N43" s="235">
        <v>23.47</v>
      </c>
      <c r="O43" s="235">
        <v>24.628</v>
      </c>
      <c r="P43" s="235">
        <v>25.896000000000001</v>
      </c>
      <c r="Q43" s="235">
        <v>24.318000000000001</v>
      </c>
      <c r="R43" s="235">
        <v>22.994</v>
      </c>
      <c r="S43" s="235">
        <v>18.39</v>
      </c>
      <c r="T43" s="235">
        <v>18.041</v>
      </c>
      <c r="U43" s="235">
        <v>16.956</v>
      </c>
      <c r="V43" s="235">
        <v>16.556000000000001</v>
      </c>
      <c r="W43" s="235">
        <v>17.265000000000001</v>
      </c>
      <c r="X43" s="235">
        <v>32.033999999999999</v>
      </c>
      <c r="Y43" s="235">
        <v>33.300000000000004</v>
      </c>
      <c r="Z43" s="235">
        <v>32.553000000000004</v>
      </c>
      <c r="AA43" s="235">
        <v>30.761000000000003</v>
      </c>
      <c r="AB43" s="235">
        <v>35.100999999999999</v>
      </c>
      <c r="AC43" s="235">
        <v>37.370999999999995</v>
      </c>
      <c r="AD43" s="235">
        <v>38.688000000000002</v>
      </c>
      <c r="AE43" s="235">
        <v>40.308999999999997</v>
      </c>
      <c r="AF43" s="235">
        <v>41.699999999999996</v>
      </c>
      <c r="AG43" s="235">
        <v>42.6</v>
      </c>
      <c r="AH43" s="235">
        <v>43.6</v>
      </c>
      <c r="AI43" s="235">
        <v>44.85</v>
      </c>
      <c r="AJ43" s="235">
        <v>49.445999999999998</v>
      </c>
      <c r="AK43" s="235">
        <v>50.722999999999999</v>
      </c>
      <c r="AL43" s="183">
        <v>2.5826153783925889</v>
      </c>
      <c r="AM43" s="386" t="s">
        <v>0</v>
      </c>
    </row>
    <row r="44" spans="1:39" ht="12.75" customHeight="1">
      <c r="A44" s="8"/>
      <c r="B44" s="432" t="s">
        <v>346</v>
      </c>
      <c r="C44" s="954"/>
      <c r="D44" s="1074"/>
      <c r="E44" s="298"/>
      <c r="F44" s="236"/>
      <c r="G44" s="236"/>
      <c r="H44" s="236"/>
      <c r="I44" s="236"/>
      <c r="J44" s="236"/>
      <c r="K44" s="236"/>
      <c r="L44" s="236"/>
      <c r="M44" s="236"/>
      <c r="N44" s="236"/>
      <c r="O44" s="236"/>
      <c r="P44" s="236"/>
      <c r="Q44" s="236"/>
      <c r="R44" s="236"/>
      <c r="S44" s="236"/>
      <c r="T44" s="236"/>
      <c r="U44" s="236"/>
      <c r="V44" s="236"/>
      <c r="W44" s="236"/>
      <c r="X44" s="236"/>
      <c r="Y44" s="236"/>
      <c r="Z44" s="236"/>
      <c r="AA44" s="236"/>
      <c r="AB44" s="236"/>
      <c r="AC44" s="236"/>
      <c r="AD44" s="236"/>
      <c r="AE44" s="236"/>
      <c r="AF44" s="236">
        <v>99.929000000000002</v>
      </c>
      <c r="AG44" s="236">
        <v>101.346</v>
      </c>
      <c r="AH44" s="236">
        <v>104.378</v>
      </c>
      <c r="AI44" s="236">
        <v>104.378</v>
      </c>
      <c r="AJ44" s="236">
        <v>108.72799999999999</v>
      </c>
      <c r="AK44" s="236">
        <v>111.17100000000001</v>
      </c>
      <c r="AL44" s="183">
        <v>2.2468913251416467</v>
      </c>
      <c r="AM44" s="432" t="s">
        <v>346</v>
      </c>
    </row>
    <row r="45" spans="1:39" s="22" customFormat="1" ht="12.75" customHeight="1">
      <c r="A45" s="203"/>
      <c r="B45" s="386" t="s">
        <v>145</v>
      </c>
      <c r="C45" s="764"/>
      <c r="D45" s="121"/>
      <c r="E45" s="235"/>
      <c r="F45" s="235"/>
      <c r="G45" s="235"/>
      <c r="H45" s="235">
        <v>39.335000000000001</v>
      </c>
      <c r="I45" s="235">
        <v>51.113</v>
      </c>
      <c r="J45" s="235">
        <v>29.123999999999999</v>
      </c>
      <c r="K45" s="235">
        <v>30.612000000000002</v>
      </c>
      <c r="L45" s="235">
        <v>33.256</v>
      </c>
      <c r="M45" s="235">
        <v>37.109000000000002</v>
      </c>
      <c r="N45" s="235">
        <v>37.125999999999998</v>
      </c>
      <c r="O45" s="235">
        <v>45.575000000000003</v>
      </c>
      <c r="P45" s="235">
        <v>52.320999999999998</v>
      </c>
      <c r="Q45" s="235">
        <v>54.63</v>
      </c>
      <c r="R45" s="235">
        <v>56.856999999999999</v>
      </c>
      <c r="S45" s="235">
        <v>48.774999999999999</v>
      </c>
      <c r="T45" s="235">
        <v>47.332999999999998</v>
      </c>
      <c r="U45" s="235">
        <v>41.318000000000005</v>
      </c>
      <c r="V45" s="235">
        <v>61.621000000000002</v>
      </c>
      <c r="W45" s="235">
        <v>79.054000000000002</v>
      </c>
      <c r="X45" s="235">
        <v>79.307000000000002</v>
      </c>
      <c r="Y45" s="235">
        <v>83.718999999999994</v>
      </c>
      <c r="Z45" s="235">
        <v>71.209000000000003</v>
      </c>
      <c r="AA45" s="235">
        <v>60</v>
      </c>
      <c r="AB45" s="235">
        <v>65.260000000000005</v>
      </c>
      <c r="AC45" s="235">
        <v>47.81</v>
      </c>
      <c r="AD45" s="235">
        <v>49.92</v>
      </c>
      <c r="AE45" s="235">
        <v>53.7</v>
      </c>
      <c r="AF45" s="235">
        <v>44.8</v>
      </c>
      <c r="AG45" s="235">
        <v>46.6</v>
      </c>
      <c r="AH45" s="235">
        <v>50.8</v>
      </c>
      <c r="AI45" s="235">
        <v>48.599999999999994</v>
      </c>
      <c r="AJ45" s="235">
        <v>59.12</v>
      </c>
      <c r="AK45" s="239">
        <v>59.12</v>
      </c>
      <c r="AL45" s="183">
        <v>0</v>
      </c>
      <c r="AM45" s="386" t="s">
        <v>145</v>
      </c>
    </row>
    <row r="46" spans="1:39" ht="12.75" customHeight="1">
      <c r="A46" s="8"/>
      <c r="B46" s="432" t="s">
        <v>138</v>
      </c>
      <c r="C46" s="954"/>
      <c r="D46" s="1074"/>
      <c r="E46" s="298"/>
      <c r="F46" s="236"/>
      <c r="G46" s="236"/>
      <c r="H46" s="236"/>
      <c r="I46" s="236"/>
      <c r="J46" s="236"/>
      <c r="K46" s="236"/>
      <c r="L46" s="236"/>
      <c r="M46" s="236"/>
      <c r="N46" s="236"/>
      <c r="O46" s="236"/>
      <c r="P46" s="236">
        <v>100.724</v>
      </c>
      <c r="Q46" s="236">
        <v>98.242000000000004</v>
      </c>
      <c r="R46" s="236">
        <v>102.916</v>
      </c>
      <c r="S46" s="236">
        <v>110.91200000000001</v>
      </c>
      <c r="T46" s="236">
        <v>118.259</v>
      </c>
      <c r="U46" s="236">
        <v>127.90900000000001</v>
      </c>
      <c r="V46" s="236">
        <v>131.459</v>
      </c>
      <c r="W46" s="236">
        <v>140.92099999999999</v>
      </c>
      <c r="X46" s="236">
        <v>149.68899999999999</v>
      </c>
      <c r="Y46" s="236">
        <v>151.68700000000001</v>
      </c>
      <c r="Z46" s="236">
        <v>159.45500000000001</v>
      </c>
      <c r="AA46" s="236">
        <v>144.07499999999999</v>
      </c>
      <c r="AB46" s="236">
        <v>140.85400000000001</v>
      </c>
      <c r="AC46" s="236">
        <v>139.22</v>
      </c>
      <c r="AD46" s="236">
        <v>139.886</v>
      </c>
      <c r="AE46" s="236">
        <v>140.11000000000001</v>
      </c>
      <c r="AF46" s="236">
        <v>223.6</v>
      </c>
      <c r="AG46" s="236">
        <v>228.9</v>
      </c>
      <c r="AH46" s="236">
        <v>241.24100000000001</v>
      </c>
      <c r="AI46" s="236">
        <v>255.95400000000001</v>
      </c>
      <c r="AJ46" s="236">
        <v>268.58600000000001</v>
      </c>
      <c r="AK46" s="1058">
        <v>428</v>
      </c>
      <c r="AL46" s="206">
        <v>59.353056376728489</v>
      </c>
      <c r="AM46" s="432" t="s">
        <v>138</v>
      </c>
    </row>
    <row r="47" spans="1:39" s="22" customFormat="1" ht="12.75" customHeight="1">
      <c r="A47" s="203"/>
      <c r="B47" s="386" t="s">
        <v>40</v>
      </c>
      <c r="C47" s="764"/>
      <c r="D47" s="121" t="s">
        <v>64</v>
      </c>
      <c r="E47" s="235" t="s">
        <v>64</v>
      </c>
      <c r="F47" s="235"/>
      <c r="G47" s="235">
        <v>687.59</v>
      </c>
      <c r="H47" s="235">
        <v>760.6880000000001</v>
      </c>
      <c r="I47" s="235">
        <v>793.84699999999998</v>
      </c>
      <c r="J47" s="235">
        <v>829.95900000000006</v>
      </c>
      <c r="K47" s="235">
        <v>896.58400000000006</v>
      </c>
      <c r="L47" s="235">
        <v>1018.909</v>
      </c>
      <c r="M47" s="235">
        <v>1145.7530000000002</v>
      </c>
      <c r="N47" s="235">
        <v>1224.625</v>
      </c>
      <c r="O47" s="235">
        <v>1351.7539999999999</v>
      </c>
      <c r="P47" s="235">
        <v>1395.2379999999998</v>
      </c>
      <c r="Q47" s="235">
        <v>1442.5329999999999</v>
      </c>
      <c r="R47" s="235">
        <v>1552.4670000000001</v>
      </c>
      <c r="S47" s="235">
        <v>1907.2869999999998</v>
      </c>
      <c r="T47" s="235">
        <v>2151.9859999999999</v>
      </c>
      <c r="U47" s="235">
        <v>2405.1590000000001</v>
      </c>
      <c r="V47" s="235">
        <v>2619.6610000000001</v>
      </c>
      <c r="W47" s="235">
        <v>2810.2240000000002</v>
      </c>
      <c r="X47" s="235">
        <v>2932.2530000000002</v>
      </c>
      <c r="Y47" s="235">
        <v>3125.3969999999999</v>
      </c>
      <c r="Z47" s="235">
        <v>3339.5619999999999</v>
      </c>
      <c r="AA47" s="235">
        <v>3546.2560000000003</v>
      </c>
      <c r="AB47" s="235">
        <v>3689</v>
      </c>
      <c r="AC47" s="235">
        <v>3836.2069999999999</v>
      </c>
      <c r="AD47" s="235">
        <v>4059.6179999999999</v>
      </c>
      <c r="AE47" s="235">
        <v>4267.817</v>
      </c>
      <c r="AF47" s="235">
        <v>4481.3</v>
      </c>
      <c r="AG47" s="235">
        <v>4601.0420000000004</v>
      </c>
      <c r="AH47" s="235">
        <v>4641.3999999999996</v>
      </c>
      <c r="AI47" s="235">
        <v>4798.3999999999996</v>
      </c>
      <c r="AJ47" s="235">
        <v>5001.5079999999998</v>
      </c>
      <c r="AK47" s="235">
        <v>5196.549</v>
      </c>
      <c r="AL47" s="183">
        <v>3.8996438674095941</v>
      </c>
      <c r="AM47" s="386" t="s">
        <v>40</v>
      </c>
    </row>
    <row r="48" spans="1:39" ht="12.75" customHeight="1">
      <c r="A48" s="8"/>
      <c r="B48" s="432" t="s">
        <v>312</v>
      </c>
      <c r="C48" s="952"/>
      <c r="D48" s="122"/>
      <c r="E48" s="236"/>
      <c r="F48" s="236"/>
      <c r="G48" s="236"/>
      <c r="H48" s="236"/>
      <c r="I48" s="236"/>
      <c r="J48" s="236"/>
      <c r="K48" s="236"/>
      <c r="L48" s="236"/>
      <c r="M48" s="236"/>
      <c r="N48" s="236"/>
      <c r="O48" s="236"/>
      <c r="P48" s="236"/>
      <c r="Q48" s="236"/>
      <c r="R48" s="236"/>
      <c r="S48" s="236"/>
      <c r="T48" s="236"/>
      <c r="U48" s="236"/>
      <c r="V48" s="236"/>
      <c r="W48" s="236"/>
      <c r="X48" s="236"/>
      <c r="Y48" s="236"/>
      <c r="Z48" s="236"/>
      <c r="AA48" s="236"/>
      <c r="AB48" s="236"/>
      <c r="AC48" s="236"/>
      <c r="AD48" s="236"/>
      <c r="AE48" s="236"/>
      <c r="AF48" s="236"/>
      <c r="AG48" s="236"/>
      <c r="AH48" s="236"/>
      <c r="AI48" s="236"/>
      <c r="AJ48" s="236"/>
      <c r="AK48" s="236"/>
      <c r="AL48" s="206"/>
      <c r="AM48" s="432" t="s">
        <v>312</v>
      </c>
    </row>
    <row r="49" spans="1:39" s="22" customFormat="1" ht="12.75" customHeight="1">
      <c r="A49" s="203"/>
      <c r="B49" s="998" t="s">
        <v>44</v>
      </c>
      <c r="C49" s="1075">
        <v>1749</v>
      </c>
      <c r="D49" s="1076">
        <v>1828</v>
      </c>
      <c r="E49" s="1077">
        <v>2706</v>
      </c>
      <c r="F49" s="1059">
        <v>2640</v>
      </c>
      <c r="G49" s="1059">
        <v>2639</v>
      </c>
      <c r="H49" s="1059">
        <v>2589</v>
      </c>
      <c r="I49" s="1059">
        <v>2585</v>
      </c>
      <c r="J49" s="1059">
        <v>2565</v>
      </c>
      <c r="K49" s="1059">
        <v>2618</v>
      </c>
      <c r="L49" s="1059">
        <v>2679</v>
      </c>
      <c r="M49" s="1059">
        <v>2789</v>
      </c>
      <c r="N49" s="1059">
        <v>2872.7</v>
      </c>
      <c r="O49" s="1059">
        <v>2928.3</v>
      </c>
      <c r="P49" s="1059">
        <v>3019.6</v>
      </c>
      <c r="Q49" s="1059">
        <v>3111.9</v>
      </c>
      <c r="R49" s="1059">
        <v>3236.6</v>
      </c>
      <c r="S49" s="1059">
        <v>3425.2</v>
      </c>
      <c r="T49" s="1059">
        <v>3552.4</v>
      </c>
      <c r="U49" s="1059">
        <v>3641.1</v>
      </c>
      <c r="V49" s="1059">
        <v>3778.7000000000003</v>
      </c>
      <c r="W49" s="1059">
        <v>3805.8</v>
      </c>
      <c r="X49" s="1059">
        <v>3782.07</v>
      </c>
      <c r="Y49" s="1059">
        <v>3796.8630000000003</v>
      </c>
      <c r="Z49" s="1059">
        <v>3833.2350000000001</v>
      </c>
      <c r="AA49" s="1059">
        <v>3860.6709999999998</v>
      </c>
      <c r="AB49" s="1059">
        <v>3940.2980000000002</v>
      </c>
      <c r="AC49" s="1059">
        <v>4066.4</v>
      </c>
      <c r="AD49" s="1059">
        <v>4242.2470000000003</v>
      </c>
      <c r="AE49" s="1059">
        <v>4406.8</v>
      </c>
      <c r="AF49" s="1059">
        <v>4534.6000000000004</v>
      </c>
      <c r="AG49" s="1059">
        <v>4652.2000000000007</v>
      </c>
      <c r="AH49" s="1059">
        <v>4772.1000000000004</v>
      </c>
      <c r="AI49" s="1059">
        <v>4858.4579999999996</v>
      </c>
      <c r="AJ49" s="1059">
        <v>5070.299</v>
      </c>
      <c r="AK49" s="1059">
        <v>5160.3999999999996</v>
      </c>
      <c r="AL49" s="991">
        <v>1.777035239933582</v>
      </c>
      <c r="AM49" s="998" t="s">
        <v>44</v>
      </c>
    </row>
    <row r="50" spans="1:39" ht="12.75" customHeight="1">
      <c r="A50" s="8"/>
      <c r="B50" s="1305" t="s">
        <v>325</v>
      </c>
      <c r="C50" s="1305"/>
      <c r="D50" s="1305"/>
      <c r="E50" s="1305"/>
      <c r="F50" s="1305"/>
      <c r="G50" s="1305"/>
      <c r="H50" s="1305"/>
      <c r="I50" s="1305"/>
      <c r="J50" s="1305"/>
      <c r="K50" s="1305"/>
      <c r="L50" s="1305"/>
      <c r="M50" s="1305"/>
      <c r="N50" s="1305"/>
      <c r="O50" s="1305"/>
      <c r="P50" s="1305"/>
      <c r="Q50" s="1305"/>
      <c r="R50" s="1305"/>
      <c r="S50" s="1305"/>
      <c r="T50" s="1305"/>
      <c r="U50" s="1306"/>
      <c r="V50" s="1306"/>
      <c r="W50" s="1306"/>
      <c r="X50" s="1306"/>
      <c r="Y50" s="1306"/>
      <c r="Z50" s="1306"/>
      <c r="AA50" s="1306"/>
      <c r="AB50" s="1306"/>
      <c r="AC50" s="1306"/>
      <c r="AD50" s="1306"/>
      <c r="AE50" s="1306"/>
      <c r="AF50" s="1306"/>
      <c r="AG50" s="1306"/>
      <c r="AH50" s="1306"/>
      <c r="AI50" s="1306"/>
      <c r="AJ50" s="1306"/>
      <c r="AK50" s="1306"/>
      <c r="AL50" s="1306"/>
      <c r="AM50" s="1306"/>
    </row>
    <row r="51" spans="1:39" ht="17.25" customHeight="1">
      <c r="B51" s="1298" t="s">
        <v>292</v>
      </c>
      <c r="C51" s="1299"/>
      <c r="D51" s="1299"/>
      <c r="E51" s="1299"/>
      <c r="F51" s="1299"/>
      <c r="G51" s="1299"/>
      <c r="H51" s="1299"/>
      <c r="I51" s="1299"/>
      <c r="J51" s="1299"/>
      <c r="K51" s="1299"/>
      <c r="L51" s="1299"/>
      <c r="M51" s="1299"/>
      <c r="N51" s="1299"/>
      <c r="O51" s="1299"/>
      <c r="P51" s="1299"/>
      <c r="Q51" s="1299"/>
      <c r="R51" s="1299"/>
      <c r="S51" s="1299"/>
      <c r="T51" s="1299"/>
      <c r="U51" s="1299"/>
      <c r="V51" s="1299"/>
      <c r="W51" s="1299"/>
      <c r="X51" s="1299"/>
      <c r="Y51" s="1299"/>
      <c r="Z51" s="1299"/>
      <c r="AA51" s="1299"/>
      <c r="AB51" s="1299"/>
      <c r="AC51" s="1299"/>
      <c r="AD51" s="1299"/>
      <c r="AE51" s="1299"/>
      <c r="AF51" s="1299"/>
      <c r="AG51" s="1299"/>
      <c r="AH51" s="1299"/>
      <c r="AI51" s="1299"/>
      <c r="AJ51" s="1299"/>
      <c r="AK51" s="1299"/>
      <c r="AL51" s="1299"/>
      <c r="AM51" s="1299"/>
    </row>
    <row r="52" spans="1:39" ht="12.75" customHeight="1">
      <c r="B52" s="1300" t="s">
        <v>142</v>
      </c>
      <c r="C52" s="1300"/>
      <c r="D52" s="1300"/>
      <c r="E52" s="1300"/>
      <c r="F52" s="1300"/>
      <c r="G52" s="1300"/>
      <c r="H52" s="1300"/>
      <c r="I52" s="1300"/>
      <c r="J52" s="1300"/>
      <c r="K52" s="1300"/>
      <c r="L52" s="1300"/>
      <c r="M52" s="1300"/>
      <c r="N52" s="1300"/>
      <c r="O52" s="1300"/>
      <c r="P52" s="1300"/>
      <c r="Q52" s="1300"/>
      <c r="R52" s="1300"/>
      <c r="S52" s="1300"/>
      <c r="T52" s="1300"/>
      <c r="U52" s="1300"/>
      <c r="V52" s="1300"/>
      <c r="W52" s="1300"/>
      <c r="X52" s="1300"/>
      <c r="Y52" s="1300"/>
      <c r="Z52" s="1300"/>
      <c r="AA52" s="1300"/>
      <c r="AB52" s="1300"/>
      <c r="AC52" s="1300"/>
      <c r="AD52" s="1300"/>
      <c r="AE52" s="1300"/>
      <c r="AF52" s="1300"/>
      <c r="AG52" s="1300"/>
      <c r="AH52" s="1300"/>
      <c r="AI52" s="1300"/>
      <c r="AJ52" s="1300"/>
      <c r="AK52" s="1300"/>
      <c r="AL52" s="1300"/>
      <c r="AM52" s="1300"/>
    </row>
    <row r="53" spans="1:39" ht="11.25" customHeight="1">
      <c r="B53" s="1301" t="s">
        <v>127</v>
      </c>
      <c r="C53" s="1301"/>
      <c r="D53" s="1301"/>
      <c r="E53" s="1301"/>
      <c r="F53" s="1301"/>
      <c r="G53" s="1301"/>
      <c r="H53" s="1301"/>
      <c r="I53" s="1301"/>
      <c r="J53" s="1301"/>
      <c r="K53" s="1301"/>
      <c r="L53" s="1301"/>
      <c r="M53" s="1301"/>
      <c r="N53" s="1301"/>
      <c r="O53" s="1301"/>
      <c r="P53" s="1301"/>
      <c r="Q53" s="1301"/>
      <c r="R53" s="1301"/>
      <c r="S53" s="1301"/>
      <c r="T53" s="1301"/>
      <c r="U53" s="1301"/>
      <c r="V53" s="1301"/>
      <c r="W53" s="1301"/>
      <c r="X53" s="1301"/>
      <c r="Y53" s="1301"/>
      <c r="Z53" s="1301"/>
      <c r="AA53" s="1301"/>
      <c r="AB53" s="1301"/>
      <c r="AC53" s="1301"/>
      <c r="AD53" s="1301"/>
      <c r="AE53" s="1301"/>
      <c r="AF53" s="1301"/>
      <c r="AG53" s="1301"/>
      <c r="AH53" s="1301"/>
      <c r="AI53" s="1301"/>
      <c r="AJ53" s="1301"/>
      <c r="AK53" s="1301"/>
      <c r="AL53" s="1301"/>
      <c r="AM53" s="1301"/>
    </row>
    <row r="54" spans="1:39" ht="12" customHeight="1">
      <c r="B54" s="416" t="s">
        <v>141</v>
      </c>
      <c r="C54" s="417"/>
      <c r="D54" s="417"/>
      <c r="E54" s="417"/>
      <c r="F54" s="416"/>
      <c r="G54" s="416"/>
      <c r="H54" s="416"/>
      <c r="I54" s="416"/>
      <c r="J54" s="416"/>
      <c r="K54" s="416"/>
      <c r="L54" s="416"/>
      <c r="M54" s="416"/>
      <c r="N54" s="416"/>
      <c r="O54" s="416"/>
      <c r="P54" s="416"/>
      <c r="Q54" s="416"/>
    </row>
    <row r="55" spans="1:39">
      <c r="B55" s="416" t="s">
        <v>159</v>
      </c>
      <c r="C55" s="417"/>
      <c r="D55" s="417"/>
      <c r="E55" s="417"/>
      <c r="F55" s="416"/>
      <c r="G55" s="416"/>
      <c r="H55" s="416"/>
      <c r="I55" s="416"/>
      <c r="J55" s="416"/>
      <c r="K55" s="416"/>
      <c r="L55" s="416"/>
      <c r="M55" s="416"/>
      <c r="N55" s="416"/>
      <c r="O55" s="416"/>
      <c r="P55" s="416"/>
      <c r="Q55" s="416"/>
    </row>
    <row r="56" spans="1:39">
      <c r="B56" s="3" t="s">
        <v>347</v>
      </c>
      <c r="E56" s="208"/>
      <c r="J56" s="416"/>
      <c r="K56" s="416"/>
      <c r="L56" s="416"/>
      <c r="M56" s="416"/>
      <c r="N56" s="416"/>
      <c r="O56" s="416"/>
      <c r="P56" s="416"/>
      <c r="AB56" s="2"/>
      <c r="AC56" s="3"/>
    </row>
    <row r="57" spans="1:39" ht="14.25">
      <c r="B57" s="339"/>
      <c r="E57" s="3"/>
      <c r="K57" s="200"/>
      <c r="L57" s="199"/>
      <c r="M57" s="199"/>
      <c r="N57" s="199"/>
      <c r="O57" s="199"/>
      <c r="P57" s="199"/>
      <c r="Q57" s="199"/>
    </row>
    <row r="60" spans="1:39">
      <c r="N60" s="2"/>
    </row>
  </sheetData>
  <mergeCells count="7">
    <mergeCell ref="B51:AM51"/>
    <mergeCell ref="B52:AM52"/>
    <mergeCell ref="B53:AM53"/>
    <mergeCell ref="B1:C1"/>
    <mergeCell ref="B2:AM2"/>
    <mergeCell ref="B3:AM3"/>
    <mergeCell ref="B50:AM50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scale="6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011">
    <pageSetUpPr fitToPage="1"/>
  </sheetPr>
  <dimension ref="A1:AF55"/>
  <sheetViews>
    <sheetView zoomScaleNormal="100" workbookViewId="0">
      <selection activeCell="AH26" sqref="AH26"/>
    </sheetView>
  </sheetViews>
  <sheetFormatPr defaultRowHeight="12.75"/>
  <cols>
    <col min="1" max="1" width="3.7109375" customWidth="1"/>
    <col min="2" max="2" width="4" customWidth="1"/>
    <col min="3" max="7" width="7.28515625" style="1" customWidth="1"/>
    <col min="8" max="13" width="7.28515625" customWidth="1"/>
    <col min="14" max="21" width="7.7109375" customWidth="1"/>
    <col min="22" max="22" width="7.7109375" style="1" customWidth="1"/>
    <col min="23" max="28" width="7.7109375" customWidth="1"/>
    <col min="29" max="29" width="7.140625" customWidth="1"/>
    <col min="30" max="30" width="7" customWidth="1"/>
    <col min="31" max="31" width="7.140625" style="13" customWidth="1"/>
    <col min="32" max="32" width="5.140625" customWidth="1"/>
  </cols>
  <sheetData>
    <row r="1" spans="1:32" ht="14.25" customHeight="1">
      <c r="B1" s="26"/>
      <c r="C1" s="68"/>
      <c r="D1" s="68"/>
      <c r="E1" s="68"/>
      <c r="F1" s="68"/>
      <c r="G1" s="68"/>
      <c r="H1" s="572"/>
      <c r="I1" s="23"/>
      <c r="AF1" s="17" t="s">
        <v>106</v>
      </c>
    </row>
    <row r="2" spans="1:32" s="37" customFormat="1" ht="30" customHeight="1">
      <c r="B2" s="1307" t="s">
        <v>263</v>
      </c>
      <c r="C2" s="1307"/>
      <c r="D2" s="1307"/>
      <c r="E2" s="1307"/>
      <c r="F2" s="1307"/>
      <c r="G2" s="1307"/>
      <c r="H2" s="1307"/>
      <c r="I2" s="1307"/>
      <c r="J2" s="1307"/>
      <c r="K2" s="1307"/>
      <c r="L2" s="1307"/>
      <c r="M2" s="1307"/>
      <c r="N2" s="1307"/>
      <c r="O2" s="1307"/>
      <c r="P2" s="1307"/>
      <c r="Q2" s="1307"/>
      <c r="R2" s="1307"/>
      <c r="S2" s="1307"/>
      <c r="T2" s="1307"/>
      <c r="U2" s="1307"/>
      <c r="V2" s="1307"/>
      <c r="W2" s="1307"/>
      <c r="X2" s="1307"/>
      <c r="Y2" s="1307"/>
      <c r="Z2" s="1307"/>
      <c r="AA2" s="1307"/>
      <c r="AB2" s="1307"/>
      <c r="AC2" s="1307"/>
      <c r="AD2" s="1307"/>
      <c r="AE2" s="1307"/>
      <c r="AF2" s="1307"/>
    </row>
    <row r="3" spans="1:32" ht="15" customHeight="1">
      <c r="B3" s="1308" t="s">
        <v>87</v>
      </c>
      <c r="C3" s="1308"/>
      <c r="D3" s="1308"/>
      <c r="E3" s="1308"/>
      <c r="F3" s="1308"/>
      <c r="G3" s="1308"/>
      <c r="H3" s="1308"/>
      <c r="I3" s="1308"/>
      <c r="J3" s="1308"/>
      <c r="K3" s="1308"/>
      <c r="L3" s="1308"/>
      <c r="M3" s="1308"/>
      <c r="N3" s="1308"/>
      <c r="O3" s="1308"/>
      <c r="P3" s="1308"/>
      <c r="Q3" s="1308"/>
      <c r="R3" s="1308"/>
      <c r="S3" s="1308"/>
      <c r="T3" s="1308"/>
      <c r="U3" s="1308"/>
      <c r="V3" s="1308"/>
      <c r="W3" s="1308"/>
      <c r="X3" s="1308"/>
      <c r="Y3" s="1308"/>
      <c r="Z3" s="1308"/>
      <c r="AA3" s="1308"/>
      <c r="AB3" s="1308"/>
      <c r="AC3" s="1308"/>
      <c r="AD3" s="1308"/>
      <c r="AE3" s="1308"/>
      <c r="AF3" s="1308"/>
    </row>
    <row r="4" spans="1:32" ht="12.75" customHeight="1">
      <c r="B4" s="4"/>
      <c r="C4" s="4"/>
      <c r="D4" s="4"/>
      <c r="E4" s="4"/>
      <c r="F4" s="4"/>
      <c r="G4" s="4"/>
      <c r="H4" s="573"/>
      <c r="I4" s="573"/>
      <c r="J4" s="573"/>
      <c r="K4" s="573"/>
      <c r="L4" s="573"/>
      <c r="M4" s="573"/>
      <c r="N4" s="573"/>
      <c r="O4" s="573"/>
      <c r="P4" s="573"/>
      <c r="Q4" s="573"/>
      <c r="R4" s="573"/>
      <c r="S4" s="573"/>
      <c r="T4" s="573"/>
      <c r="U4" s="573"/>
      <c r="V4" s="573"/>
      <c r="W4" s="573"/>
      <c r="X4" s="573"/>
      <c r="Y4" s="573"/>
      <c r="Z4" s="573"/>
      <c r="AA4" s="1313" t="s">
        <v>1</v>
      </c>
      <c r="AB4" s="1313"/>
      <c r="AC4" s="1313"/>
      <c r="AD4" s="1313"/>
      <c r="AE4" s="1313"/>
      <c r="AF4" s="49"/>
    </row>
    <row r="5" spans="1:32" ht="21.75" customHeight="1">
      <c r="B5" s="4"/>
      <c r="C5" s="74">
        <v>1995</v>
      </c>
      <c r="D5" s="75">
        <v>1996</v>
      </c>
      <c r="E5" s="75">
        <v>1997</v>
      </c>
      <c r="F5" s="75">
        <v>1998</v>
      </c>
      <c r="G5" s="75">
        <v>1999</v>
      </c>
      <c r="H5" s="75">
        <v>2000</v>
      </c>
      <c r="I5" s="75">
        <v>2001</v>
      </c>
      <c r="J5" s="75">
        <v>2002</v>
      </c>
      <c r="K5" s="75">
        <v>2003</v>
      </c>
      <c r="L5" s="75">
        <v>2004</v>
      </c>
      <c r="M5" s="75">
        <v>2005</v>
      </c>
      <c r="N5" s="75">
        <v>2006</v>
      </c>
      <c r="O5" s="75">
        <v>2007</v>
      </c>
      <c r="P5" s="75">
        <v>2008</v>
      </c>
      <c r="Q5" s="75">
        <v>2009</v>
      </c>
      <c r="R5" s="75">
        <v>2010</v>
      </c>
      <c r="S5" s="75">
        <v>2011</v>
      </c>
      <c r="T5" s="75">
        <v>2012</v>
      </c>
      <c r="U5" s="75">
        <v>2013</v>
      </c>
      <c r="V5" s="75">
        <v>2014</v>
      </c>
      <c r="W5" s="75">
        <v>2015</v>
      </c>
      <c r="X5" s="75">
        <v>2016</v>
      </c>
      <c r="Y5" s="75">
        <v>2017</v>
      </c>
      <c r="Z5" s="75">
        <v>2018</v>
      </c>
      <c r="AA5" s="75">
        <v>2019</v>
      </c>
      <c r="AB5" s="75">
        <v>2020</v>
      </c>
      <c r="AC5" s="75">
        <v>2021</v>
      </c>
      <c r="AD5" s="75">
        <v>2022</v>
      </c>
      <c r="AE5" s="524" t="s">
        <v>342</v>
      </c>
      <c r="AF5" s="554"/>
    </row>
    <row r="6" spans="1:32" ht="9.9499999999999993" customHeight="1">
      <c r="B6" s="4"/>
      <c r="C6" s="38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40"/>
      <c r="AE6" s="781" t="s">
        <v>80</v>
      </c>
      <c r="AF6" s="6"/>
    </row>
    <row r="7" spans="1:32" ht="11.25" customHeight="1">
      <c r="B7" s="118" t="s">
        <v>238</v>
      </c>
      <c r="C7" s="1078"/>
      <c r="D7" s="445"/>
      <c r="E7" s="445"/>
      <c r="F7" s="445"/>
      <c r="G7" s="445"/>
      <c r="H7" s="1079">
        <f>SUM(H8:H34)</f>
        <v>22891.812999999991</v>
      </c>
      <c r="I7" s="275">
        <f t="shared" ref="I7:AD7" si="0">SUM(I8:I34)</f>
        <v>25588.329000000002</v>
      </c>
      <c r="J7" s="275">
        <f t="shared" si="0"/>
        <v>26501.10300000001</v>
      </c>
      <c r="K7" s="275">
        <f t="shared" si="0"/>
        <v>27320.305999999993</v>
      </c>
      <c r="L7" s="275">
        <f t="shared" si="0"/>
        <v>27784.717000000008</v>
      </c>
      <c r="M7" s="275">
        <f t="shared" si="0"/>
        <v>29056.468000000001</v>
      </c>
      <c r="N7" s="275">
        <f t="shared" si="0"/>
        <v>30098.16599999999</v>
      </c>
      <c r="O7" s="275">
        <f>SUM(O8:O34)</f>
        <v>32157.304000000004</v>
      </c>
      <c r="P7" s="275">
        <f t="shared" si="0"/>
        <v>31158.513999999999</v>
      </c>
      <c r="Q7" s="275">
        <f t="shared" si="0"/>
        <v>31324.620000000003</v>
      </c>
      <c r="R7" s="275">
        <f t="shared" si="0"/>
        <v>31606.656100000004</v>
      </c>
      <c r="S7" s="275">
        <f t="shared" si="0"/>
        <v>32083.188999999991</v>
      </c>
      <c r="T7" s="275">
        <f t="shared" si="0"/>
        <v>31709.208000000002</v>
      </c>
      <c r="U7" s="275">
        <f t="shared" si="0"/>
        <v>31945.572000000004</v>
      </c>
      <c r="V7" s="275">
        <f t="shared" si="0"/>
        <v>32445.364000000005</v>
      </c>
      <c r="W7" s="275">
        <f t="shared" si="0"/>
        <v>32771.188999999998</v>
      </c>
      <c r="X7" s="275">
        <f t="shared" si="0"/>
        <v>33200.957000000002</v>
      </c>
      <c r="Y7" s="353">
        <f t="shared" si="0"/>
        <v>34478.619000000013</v>
      </c>
      <c r="Z7" s="353">
        <f t="shared" si="0"/>
        <v>34998.599000000002</v>
      </c>
      <c r="AA7" s="353">
        <f t="shared" si="0"/>
        <v>35725.582000000009</v>
      </c>
      <c r="AB7" s="353">
        <f t="shared" si="0"/>
        <v>36187.278999999995</v>
      </c>
      <c r="AC7" s="353">
        <f t="shared" si="0"/>
        <v>37226.686999999991</v>
      </c>
      <c r="AD7" s="353">
        <f t="shared" si="0"/>
        <v>38116.618922287118</v>
      </c>
      <c r="AE7" s="454">
        <f>AD7/AC7*100-100</f>
        <v>2.3905751330681966</v>
      </c>
      <c r="AF7" s="118" t="s">
        <v>238</v>
      </c>
    </row>
    <row r="8" spans="1:32" ht="12" customHeight="1">
      <c r="A8" s="3"/>
      <c r="B8" s="9" t="s">
        <v>45</v>
      </c>
      <c r="C8" s="1080"/>
      <c r="D8" s="246">
        <v>212.43199999999999</v>
      </c>
      <c r="E8" s="246">
        <v>225.31700000000001</v>
      </c>
      <c r="F8" s="246">
        <v>241.11</v>
      </c>
      <c r="G8" s="246">
        <v>260.56700000000001</v>
      </c>
      <c r="H8" s="246">
        <v>277.83800000000002</v>
      </c>
      <c r="I8" s="246">
        <v>293.63</v>
      </c>
      <c r="J8" s="246">
        <v>305.51</v>
      </c>
      <c r="K8" s="246">
        <v>319.48</v>
      </c>
      <c r="L8" s="246">
        <v>322.762</v>
      </c>
      <c r="M8" s="246">
        <v>346.29300000000001</v>
      </c>
      <c r="N8" s="1081">
        <v>360</v>
      </c>
      <c r="O8" s="246">
        <v>374</v>
      </c>
      <c r="P8" s="246">
        <v>388</v>
      </c>
      <c r="Q8" s="246">
        <v>404</v>
      </c>
      <c r="R8" s="246">
        <v>419</v>
      </c>
      <c r="S8" s="246">
        <v>434</v>
      </c>
      <c r="T8" s="246">
        <v>441</v>
      </c>
      <c r="U8" s="1081">
        <v>444.74599999999998</v>
      </c>
      <c r="V8" s="246">
        <v>461.45400000000001</v>
      </c>
      <c r="W8" s="246">
        <v>485.41399999999999</v>
      </c>
      <c r="X8" s="246">
        <v>577.48299999999995</v>
      </c>
      <c r="Y8" s="246">
        <v>630.65700000000004</v>
      </c>
      <c r="Z8" s="235">
        <v>665.30600000000004</v>
      </c>
      <c r="AA8" s="235">
        <v>694.60199999999998</v>
      </c>
      <c r="AB8" s="235">
        <v>731.90200000000004</v>
      </c>
      <c r="AC8" s="235">
        <v>768.44500000000005</v>
      </c>
      <c r="AD8" s="1049">
        <v>803.64300000000003</v>
      </c>
      <c r="AE8" s="390">
        <f t="shared" ref="AE8:AE47" si="1">AD8/AC8*100-100</f>
        <v>4.5804188979042095</v>
      </c>
      <c r="AF8" s="9" t="s">
        <v>45</v>
      </c>
    </row>
    <row r="9" spans="1:32" ht="12.75" customHeight="1">
      <c r="A9" s="3"/>
      <c r="B9" s="43" t="s">
        <v>28</v>
      </c>
      <c r="C9" s="1066">
        <v>519.29999999999995</v>
      </c>
      <c r="D9" s="1056">
        <v>521.70000000000005</v>
      </c>
      <c r="E9" s="1056">
        <v>525</v>
      </c>
      <c r="F9" s="1056">
        <v>515.70000000000005</v>
      </c>
      <c r="G9" s="1056">
        <v>519.20000000000005</v>
      </c>
      <c r="H9" s="1056">
        <v>520.5</v>
      </c>
      <c r="I9" s="1056">
        <v>524.1</v>
      </c>
      <c r="J9" s="1056">
        <v>528.29999999999995</v>
      </c>
      <c r="K9" s="1050">
        <v>533.70000000000005</v>
      </c>
      <c r="L9" s="1056">
        <v>137.69999999999999</v>
      </c>
      <c r="M9" s="1050">
        <v>146.5</v>
      </c>
      <c r="N9" s="1056">
        <v>76.254000000000005</v>
      </c>
      <c r="O9" s="1056">
        <v>90.317999999999998</v>
      </c>
      <c r="P9" s="1056">
        <v>106.911</v>
      </c>
      <c r="Q9" s="1056">
        <v>117.595</v>
      </c>
      <c r="R9" s="1056">
        <v>125.4</v>
      </c>
      <c r="S9" s="1056">
        <v>131.80000000000001</v>
      </c>
      <c r="T9" s="1056">
        <v>139.80000000000001</v>
      </c>
      <c r="U9" s="1056">
        <v>147.9</v>
      </c>
      <c r="V9" s="1056">
        <v>154.80000000000001</v>
      </c>
      <c r="W9" s="1056">
        <v>163.30000000000001</v>
      </c>
      <c r="X9" s="1056">
        <v>171.7</v>
      </c>
      <c r="Y9" s="1056">
        <v>180.9</v>
      </c>
      <c r="Z9" s="1056">
        <v>190</v>
      </c>
      <c r="AA9" s="1056">
        <v>199.1</v>
      </c>
      <c r="AB9" s="1056">
        <v>206.3</v>
      </c>
      <c r="AC9" s="1056">
        <v>212.9</v>
      </c>
      <c r="AD9" s="1263">
        <v>222.5</v>
      </c>
      <c r="AE9" s="182">
        <f t="shared" si="1"/>
        <v>4.5091592296852951</v>
      </c>
      <c r="AF9" s="43" t="s">
        <v>28</v>
      </c>
    </row>
    <row r="10" spans="1:32" ht="14.25" customHeight="1">
      <c r="A10" s="8"/>
      <c r="B10" s="10" t="s">
        <v>30</v>
      </c>
      <c r="C10" s="764">
        <v>915</v>
      </c>
      <c r="D10" s="235">
        <v>1430.2380000000001</v>
      </c>
      <c r="E10" s="235">
        <v>1449.337</v>
      </c>
      <c r="F10" s="238">
        <v>1446.818</v>
      </c>
      <c r="G10" s="235">
        <v>1254.0999999999999</v>
      </c>
      <c r="H10" s="235">
        <v>1178.5999999999999</v>
      </c>
      <c r="I10" s="235">
        <v>1193.5</v>
      </c>
      <c r="J10" s="235">
        <v>1204</v>
      </c>
      <c r="K10" s="235">
        <v>1190</v>
      </c>
      <c r="L10" s="235">
        <v>1196</v>
      </c>
      <c r="M10" s="235">
        <v>1254</v>
      </c>
      <c r="N10" s="235">
        <v>1292</v>
      </c>
      <c r="O10" s="235">
        <v>1336</v>
      </c>
      <c r="P10" s="235">
        <v>1371</v>
      </c>
      <c r="Q10" s="235">
        <v>1376</v>
      </c>
      <c r="R10" s="235">
        <v>1402</v>
      </c>
      <c r="S10" s="235">
        <v>1425</v>
      </c>
      <c r="T10" s="235">
        <v>1458</v>
      </c>
      <c r="U10" s="235">
        <v>1457.0609999999999</v>
      </c>
      <c r="V10" s="235">
        <v>1477.587</v>
      </c>
      <c r="W10" s="235">
        <v>1531.693</v>
      </c>
      <c r="X10" s="235">
        <v>1559.925</v>
      </c>
      <c r="Y10" s="235">
        <v>1587.3489999999999</v>
      </c>
      <c r="Z10" s="235">
        <v>1616.7760000000001</v>
      </c>
      <c r="AA10" s="235">
        <v>1647.1510000000001</v>
      </c>
      <c r="AB10" s="235">
        <v>1680.31</v>
      </c>
      <c r="AC10" s="235">
        <v>1701.057</v>
      </c>
      <c r="AD10" s="243">
        <v>1750.047</v>
      </c>
      <c r="AE10" s="183">
        <f t="shared" si="1"/>
        <v>2.8799740396706142</v>
      </c>
      <c r="AF10" s="935" t="s">
        <v>30</v>
      </c>
    </row>
    <row r="11" spans="1:32" ht="12.75" customHeight="1">
      <c r="A11" s="8"/>
      <c r="B11" s="43" t="s">
        <v>41</v>
      </c>
      <c r="C11" s="1066">
        <v>58.014000000000003</v>
      </c>
      <c r="D11" s="1056">
        <v>73.849999999999994</v>
      </c>
      <c r="E11" s="1056">
        <v>93.875</v>
      </c>
      <c r="F11" s="1056">
        <v>112.12</v>
      </c>
      <c r="G11" s="1056">
        <v>126.938</v>
      </c>
      <c r="H11" s="1056">
        <v>138.31</v>
      </c>
      <c r="I11" s="1056">
        <v>146.36500000000001</v>
      </c>
      <c r="J11" s="1056">
        <v>151.322</v>
      </c>
      <c r="K11" s="1056">
        <v>155.74</v>
      </c>
      <c r="L11" s="1056">
        <v>162.12799999999999</v>
      </c>
      <c r="M11" s="1050">
        <v>171.917</v>
      </c>
      <c r="N11" s="1056">
        <v>184.036</v>
      </c>
      <c r="O11" s="1056">
        <v>197.17699999999999</v>
      </c>
      <c r="P11" s="1056">
        <v>204.76999999999998</v>
      </c>
      <c r="Q11" s="1056">
        <v>205.23899999999998</v>
      </c>
      <c r="R11" s="1056">
        <v>203.608</v>
      </c>
      <c r="S11" s="1056">
        <v>200.59700000000001</v>
      </c>
      <c r="T11" s="1056">
        <v>199.24299999999999</v>
      </c>
      <c r="U11" s="1056">
        <v>198.07599999999999</v>
      </c>
      <c r="V11" s="1056">
        <v>197.512</v>
      </c>
      <c r="W11" s="1056">
        <v>198.035</v>
      </c>
      <c r="X11" s="1056">
        <v>197.5</v>
      </c>
      <c r="Y11" s="1056">
        <v>198</v>
      </c>
      <c r="Z11" s="1056">
        <v>199.227</v>
      </c>
      <c r="AA11" s="1056">
        <v>194.25399999999999</v>
      </c>
      <c r="AB11" s="1056">
        <v>195.85599999999999</v>
      </c>
      <c r="AC11" s="1056">
        <v>196.93799999999999</v>
      </c>
      <c r="AD11" s="1082">
        <v>196.41900000000001</v>
      </c>
      <c r="AE11" s="182">
        <f t="shared" si="1"/>
        <v>-0.2635347165097528</v>
      </c>
      <c r="AF11" s="43" t="s">
        <v>41</v>
      </c>
    </row>
    <row r="12" spans="1:32" ht="12.75" customHeight="1">
      <c r="A12" s="8"/>
      <c r="B12" s="10" t="s">
        <v>46</v>
      </c>
      <c r="C12" s="764">
        <v>3995.4849999999997</v>
      </c>
      <c r="D12" s="238">
        <v>4137.4459999999999</v>
      </c>
      <c r="E12" s="235">
        <v>3730.7559999999999</v>
      </c>
      <c r="F12" s="235">
        <v>4174.3459999999995</v>
      </c>
      <c r="G12" s="235">
        <v>4389.201</v>
      </c>
      <c r="H12" s="235">
        <v>4438.0820000000003</v>
      </c>
      <c r="I12" s="235">
        <v>4667.1490000000003</v>
      </c>
      <c r="J12" s="235">
        <v>4677.8850000000002</v>
      </c>
      <c r="K12" s="235">
        <v>4863.8069999999998</v>
      </c>
      <c r="L12" s="235">
        <v>5077.982</v>
      </c>
      <c r="M12" s="235">
        <v>5202.9009999999998</v>
      </c>
      <c r="N12" s="235">
        <v>5405.9</v>
      </c>
      <c r="O12" s="235">
        <v>5549.9669999999996</v>
      </c>
      <c r="P12" s="329">
        <v>3658.59</v>
      </c>
      <c r="Q12" s="235">
        <v>3762.5610000000001</v>
      </c>
      <c r="R12" s="235">
        <v>3827.8939999999998</v>
      </c>
      <c r="S12" s="235">
        <v>3908.0720000000001</v>
      </c>
      <c r="T12" s="235">
        <v>3982.9780000000001</v>
      </c>
      <c r="U12" s="235">
        <v>4054.9459999999999</v>
      </c>
      <c r="V12" s="235">
        <v>4145.3919999999998</v>
      </c>
      <c r="W12" s="235">
        <v>4228.2380000000003</v>
      </c>
      <c r="X12" s="235">
        <v>4314.4930000000004</v>
      </c>
      <c r="Y12" s="235">
        <v>4372.9780000000001</v>
      </c>
      <c r="Z12" s="235">
        <v>4438.6000000000004</v>
      </c>
      <c r="AA12" s="235">
        <v>4506.41</v>
      </c>
      <c r="AB12" s="235">
        <v>4661.5609999999997</v>
      </c>
      <c r="AC12" s="235">
        <v>4780.8540000000003</v>
      </c>
      <c r="AD12" s="243">
        <f>4913.099</f>
        <v>4913.0990000000002</v>
      </c>
      <c r="AE12" s="183">
        <f t="shared" si="1"/>
        <v>2.7661375980107152</v>
      </c>
      <c r="AF12" s="935" t="s">
        <v>46</v>
      </c>
    </row>
    <row r="13" spans="1:32" ht="12.75" customHeight="1">
      <c r="A13" s="8"/>
      <c r="B13" s="43" t="s">
        <v>31</v>
      </c>
      <c r="C13" s="1066">
        <v>3.3</v>
      </c>
      <c r="D13" s="1056">
        <v>4.7</v>
      </c>
      <c r="E13" s="1056">
        <v>5.3</v>
      </c>
      <c r="F13" s="1056">
        <v>6.1</v>
      </c>
      <c r="G13" s="1056">
        <v>6.7</v>
      </c>
      <c r="H13" s="1056">
        <v>6.7</v>
      </c>
      <c r="I13" s="1056">
        <v>6.8</v>
      </c>
      <c r="J13" s="1056">
        <v>7.3</v>
      </c>
      <c r="K13" s="1056">
        <v>8.1</v>
      </c>
      <c r="L13" s="1056">
        <v>9.1</v>
      </c>
      <c r="M13" s="1056">
        <v>10.234</v>
      </c>
      <c r="N13" s="1056">
        <v>12.593999999999999</v>
      </c>
      <c r="O13" s="1056">
        <v>14.78</v>
      </c>
      <c r="P13" s="1056">
        <v>17.622</v>
      </c>
      <c r="Q13" s="1056">
        <v>18.600000000000001</v>
      </c>
      <c r="R13" s="1056">
        <v>19.7</v>
      </c>
      <c r="S13" s="1083">
        <v>23.216999999999999</v>
      </c>
      <c r="T13" s="1056">
        <v>35.273000000000003</v>
      </c>
      <c r="U13" s="1056">
        <v>38.700000000000003</v>
      </c>
      <c r="V13" s="1056">
        <v>42.3</v>
      </c>
      <c r="W13" s="1056">
        <v>45.5</v>
      </c>
      <c r="X13" s="1056">
        <v>48.8</v>
      </c>
      <c r="Y13" s="1056">
        <v>51.7</v>
      </c>
      <c r="Z13" s="1056">
        <v>54.5</v>
      </c>
      <c r="AA13" s="1056">
        <v>57.866999999999997</v>
      </c>
      <c r="AB13" s="1056">
        <v>60.656999999999996</v>
      </c>
      <c r="AC13" s="1056">
        <v>63.607999999999997</v>
      </c>
      <c r="AD13" s="1082">
        <v>67.165000000000006</v>
      </c>
      <c r="AE13" s="182">
        <f t="shared" si="1"/>
        <v>5.5920638913344476</v>
      </c>
      <c r="AF13" s="43" t="s">
        <v>31</v>
      </c>
    </row>
    <row r="14" spans="1:32" ht="12.75" customHeight="1">
      <c r="A14" s="8"/>
      <c r="B14" s="10" t="s">
        <v>49</v>
      </c>
      <c r="C14" s="764">
        <v>23.452000000000002</v>
      </c>
      <c r="D14" s="235">
        <v>23.847000000000001</v>
      </c>
      <c r="E14" s="235">
        <v>24.423999999999999</v>
      </c>
      <c r="F14" s="235">
        <v>24.398</v>
      </c>
      <c r="G14" s="235">
        <v>26.677</v>
      </c>
      <c r="H14" s="235">
        <v>30.638000000000002</v>
      </c>
      <c r="I14" s="235">
        <v>32.912999999999997</v>
      </c>
      <c r="J14" s="235">
        <v>33.146999999999998</v>
      </c>
      <c r="K14" s="235">
        <v>35.094000000000001</v>
      </c>
      <c r="L14" s="235">
        <v>34.853999999999999</v>
      </c>
      <c r="M14" s="235">
        <v>34.299999999999997</v>
      </c>
      <c r="N14" s="235">
        <v>34.927</v>
      </c>
      <c r="O14" s="235">
        <v>37.177999999999997</v>
      </c>
      <c r="P14" s="235">
        <v>39.408999999999999</v>
      </c>
      <c r="Q14" s="235">
        <v>39.552</v>
      </c>
      <c r="R14" s="235">
        <v>38.145000000000003</v>
      </c>
      <c r="S14" s="235">
        <v>36.582000000000001</v>
      </c>
      <c r="T14" s="235">
        <v>35.106000000000002</v>
      </c>
      <c r="U14" s="235">
        <v>36.622999999999998</v>
      </c>
      <c r="V14" s="235">
        <v>36.573</v>
      </c>
      <c r="W14" s="235">
        <v>36.973999999999997</v>
      </c>
      <c r="X14" s="235">
        <v>38.023000000000003</v>
      </c>
      <c r="Y14" s="235">
        <v>39.872999999999998</v>
      </c>
      <c r="Z14" s="235">
        <v>40.198</v>
      </c>
      <c r="AA14" s="235">
        <v>42.491999999999997</v>
      </c>
      <c r="AB14" s="235">
        <v>44.819000000000003</v>
      </c>
      <c r="AC14" s="235">
        <v>46.636000000000003</v>
      </c>
      <c r="AD14" s="243">
        <v>47.25</v>
      </c>
      <c r="AE14" s="183">
        <f t="shared" si="1"/>
        <v>1.3165794665065675</v>
      </c>
      <c r="AF14" s="935" t="s">
        <v>49</v>
      </c>
    </row>
    <row r="15" spans="1:32" ht="12.75" customHeight="1">
      <c r="A15" s="8"/>
      <c r="B15" s="43" t="s">
        <v>42</v>
      </c>
      <c r="C15" s="1066"/>
      <c r="D15" s="1056"/>
      <c r="E15" s="1056"/>
      <c r="F15" s="1056"/>
      <c r="G15" s="1056"/>
      <c r="H15" s="1056">
        <v>781.36099999999999</v>
      </c>
      <c r="I15" s="1056">
        <v>853.36599999999999</v>
      </c>
      <c r="J15" s="1056">
        <v>910.55499999999995</v>
      </c>
      <c r="K15" s="1056">
        <v>969.89499999999998</v>
      </c>
      <c r="L15" s="1056">
        <v>1042.605</v>
      </c>
      <c r="M15" s="1056">
        <v>1124.172</v>
      </c>
      <c r="N15" s="1056">
        <v>1205.816</v>
      </c>
      <c r="O15" s="1056">
        <v>1298.6880000000001</v>
      </c>
      <c r="P15" s="1056">
        <v>1388.607</v>
      </c>
      <c r="Q15" s="1056">
        <v>1448.8510000000001</v>
      </c>
      <c r="R15" s="1056">
        <v>1499.133</v>
      </c>
      <c r="S15" s="1056">
        <v>1534.902</v>
      </c>
      <c r="T15" s="1056">
        <v>1556.4349999999999</v>
      </c>
      <c r="U15" s="1056">
        <v>1568.596</v>
      </c>
      <c r="V15" s="1056">
        <v>1592.9290000000001</v>
      </c>
      <c r="W15" s="1056">
        <v>1619.6210000000001</v>
      </c>
      <c r="X15" s="1056">
        <v>1653.528</v>
      </c>
      <c r="Y15" s="1056">
        <v>1656.6569999999999</v>
      </c>
      <c r="Z15" s="1056">
        <v>1583.491</v>
      </c>
      <c r="AA15" s="1056">
        <v>1609.923</v>
      </c>
      <c r="AB15" s="1056">
        <v>1637.6079999999999</v>
      </c>
      <c r="AC15" s="1056">
        <v>1675.8040000000001</v>
      </c>
      <c r="AD15" s="1082">
        <f>1714.317</f>
        <v>1714.317</v>
      </c>
      <c r="AE15" s="182">
        <f t="shared" si="1"/>
        <v>2.2981804554709271</v>
      </c>
      <c r="AF15" s="43" t="s">
        <v>42</v>
      </c>
    </row>
    <row r="16" spans="1:32" ht="12.75" customHeight="1">
      <c r="A16" s="8"/>
      <c r="B16" s="10" t="s">
        <v>47</v>
      </c>
      <c r="C16" s="764">
        <v>1301.18</v>
      </c>
      <c r="D16" s="235">
        <v>1308.2080000000001</v>
      </c>
      <c r="E16" s="235">
        <v>1326.3330000000001</v>
      </c>
      <c r="F16" s="235">
        <v>1361.155</v>
      </c>
      <c r="G16" s="235">
        <v>1403.771</v>
      </c>
      <c r="H16" s="238">
        <v>1445.644</v>
      </c>
      <c r="I16" s="235">
        <v>3290.2</v>
      </c>
      <c r="J16" s="235">
        <v>3561.45</v>
      </c>
      <c r="K16" s="235">
        <v>3657.1189999999997</v>
      </c>
      <c r="L16" s="235">
        <v>3854.1279999999997</v>
      </c>
      <c r="M16" s="235">
        <v>4117.6000000000004</v>
      </c>
      <c r="N16" s="235">
        <v>4401.1459999999997</v>
      </c>
      <c r="O16" s="235">
        <v>4741.76</v>
      </c>
      <c r="P16" s="235">
        <v>4911.5039999999999</v>
      </c>
      <c r="Q16" s="235">
        <v>4958.8789999999999</v>
      </c>
      <c r="R16" s="235">
        <v>4997.6890000000003</v>
      </c>
      <c r="S16" s="235">
        <v>5027.4610000000002</v>
      </c>
      <c r="T16" s="235">
        <v>5021.9650000000001</v>
      </c>
      <c r="U16" s="235">
        <v>4998.32</v>
      </c>
      <c r="V16" s="235">
        <v>5033.2089999999998</v>
      </c>
      <c r="W16" s="235">
        <v>5102.674</v>
      </c>
      <c r="X16" s="235">
        <v>5066.933</v>
      </c>
      <c r="Y16" s="235">
        <v>5288.5709999999999</v>
      </c>
      <c r="Z16" s="235">
        <v>5379.2120000000004</v>
      </c>
      <c r="AA16" s="235">
        <v>5499.0129999999999</v>
      </c>
      <c r="AB16" s="235">
        <v>5609.085</v>
      </c>
      <c r="AC16" s="235">
        <v>5713.34</v>
      </c>
      <c r="AD16" s="243">
        <v>5826.8530000000001</v>
      </c>
      <c r="AE16" s="183">
        <f t="shared" si="1"/>
        <v>1.9868063164453673</v>
      </c>
      <c r="AF16" s="935" t="s">
        <v>47</v>
      </c>
    </row>
    <row r="17" spans="1:32" ht="12.75" customHeight="1">
      <c r="A17" s="8"/>
      <c r="B17" s="43" t="s">
        <v>48</v>
      </c>
      <c r="C17" s="1066">
        <v>2289</v>
      </c>
      <c r="D17" s="1056">
        <v>2278</v>
      </c>
      <c r="E17" s="1056">
        <v>2298</v>
      </c>
      <c r="F17" s="1056">
        <v>2321</v>
      </c>
      <c r="G17" s="1056">
        <v>2373</v>
      </c>
      <c r="H17" s="1056">
        <v>2410</v>
      </c>
      <c r="I17" s="1056">
        <v>2440</v>
      </c>
      <c r="J17" s="1056">
        <v>2441</v>
      </c>
      <c r="K17" s="1056">
        <v>2448</v>
      </c>
      <c r="L17" s="1056">
        <v>2462</v>
      </c>
      <c r="M17" s="1056">
        <v>2475.306</v>
      </c>
      <c r="N17" s="1056">
        <v>2543.5609999999997</v>
      </c>
      <c r="O17" s="1083">
        <v>3740</v>
      </c>
      <c r="P17" s="1056">
        <v>3857</v>
      </c>
      <c r="Q17" s="1056">
        <v>3532</v>
      </c>
      <c r="R17" s="1056">
        <v>3560.951</v>
      </c>
      <c r="S17" s="1056">
        <v>3439.4169999999999</v>
      </c>
      <c r="T17" s="1056">
        <v>3089.125</v>
      </c>
      <c r="U17" s="1056">
        <v>2936.2930000000001</v>
      </c>
      <c r="V17" s="1056">
        <v>2815.0940000000001</v>
      </c>
      <c r="W17" s="1056">
        <v>2694.1660000000002</v>
      </c>
      <c r="X17" s="1056">
        <v>2553</v>
      </c>
      <c r="Y17" s="1056">
        <v>3034</v>
      </c>
      <c r="Z17" s="241">
        <v>3034</v>
      </c>
      <c r="AA17" s="472">
        <v>3034</v>
      </c>
      <c r="AB17" s="1056">
        <v>2700</v>
      </c>
      <c r="AC17" s="472">
        <v>2778.03</v>
      </c>
      <c r="AD17" s="320">
        <v>2844.0039222871251</v>
      </c>
      <c r="AE17" s="182">
        <f t="shared" si="1"/>
        <v>2.3748455663590704</v>
      </c>
      <c r="AF17" s="43" t="s">
        <v>48</v>
      </c>
    </row>
    <row r="18" spans="1:32" ht="12.75" customHeight="1">
      <c r="A18" s="8"/>
      <c r="B18" s="10" t="s">
        <v>59</v>
      </c>
      <c r="C18" s="235">
        <v>21</v>
      </c>
      <c r="D18" s="235">
        <v>32</v>
      </c>
      <c r="E18" s="235">
        <v>42</v>
      </c>
      <c r="F18" s="235">
        <v>51</v>
      </c>
      <c r="G18" s="235">
        <v>58</v>
      </c>
      <c r="H18" s="235">
        <v>65</v>
      </c>
      <c r="I18" s="235">
        <v>73</v>
      </c>
      <c r="J18" s="235">
        <v>85</v>
      </c>
      <c r="K18" s="235">
        <v>99</v>
      </c>
      <c r="L18" s="235">
        <v>113</v>
      </c>
      <c r="M18" s="235">
        <v>128</v>
      </c>
      <c r="N18" s="235">
        <v>144</v>
      </c>
      <c r="O18" s="235">
        <v>165</v>
      </c>
      <c r="P18" s="235">
        <v>186</v>
      </c>
      <c r="Q18" s="235">
        <v>188</v>
      </c>
      <c r="R18" s="235">
        <v>179</v>
      </c>
      <c r="S18" s="235">
        <v>177</v>
      </c>
      <c r="T18" s="235">
        <v>159</v>
      </c>
      <c r="U18" s="235">
        <v>157.19999999999999</v>
      </c>
      <c r="V18" s="235">
        <v>155.68799999999999</v>
      </c>
      <c r="W18" s="235">
        <v>153.43799999999999</v>
      </c>
      <c r="X18" s="235">
        <v>152.87299999999999</v>
      </c>
      <c r="Y18" s="235">
        <v>154.26900000000001</v>
      </c>
      <c r="Z18" s="235">
        <v>157.35900000000001</v>
      </c>
      <c r="AA18" s="235">
        <v>159.38800000000001</v>
      </c>
      <c r="AB18" s="235">
        <v>158.91499999999999</v>
      </c>
      <c r="AC18" s="235">
        <v>161.49299999999999</v>
      </c>
      <c r="AD18" s="243">
        <v>168.018</v>
      </c>
      <c r="AE18" s="183">
        <f t="shared" si="1"/>
        <v>4.0404228047036099</v>
      </c>
      <c r="AF18" s="935" t="s">
        <v>59</v>
      </c>
    </row>
    <row r="19" spans="1:32" ht="12.75" customHeight="1">
      <c r="A19" s="8"/>
      <c r="B19" s="119" t="s">
        <v>50</v>
      </c>
      <c r="C19" s="952">
        <v>6228.2950000000001</v>
      </c>
      <c r="D19" s="236">
        <v>6391.2350000000006</v>
      </c>
      <c r="E19" s="236">
        <v>6429.5140000000001</v>
      </c>
      <c r="F19" s="236">
        <v>6823.3230000000003</v>
      </c>
      <c r="G19" s="236">
        <v>7406.7969999999996</v>
      </c>
      <c r="H19" s="236">
        <v>7826.9059999999999</v>
      </c>
      <c r="I19" s="236">
        <v>8228.1190000000006</v>
      </c>
      <c r="J19" s="236">
        <v>8578.3860000000004</v>
      </c>
      <c r="K19" s="236">
        <v>8962.3990000000013</v>
      </c>
      <c r="L19" s="236">
        <v>9207.0430000000015</v>
      </c>
      <c r="M19" s="236">
        <v>9298.3590000000004</v>
      </c>
      <c r="N19" s="236">
        <v>9338.8179999999993</v>
      </c>
      <c r="O19" s="236">
        <v>9280.259</v>
      </c>
      <c r="P19" s="236">
        <v>9180.094000000001</v>
      </c>
      <c r="Q19" s="236">
        <v>9018.098</v>
      </c>
      <c r="R19" s="236">
        <v>8855.0319999999992</v>
      </c>
      <c r="S19" s="236">
        <v>8978.4759999999987</v>
      </c>
      <c r="T19" s="236">
        <v>8582.25</v>
      </c>
      <c r="U19" s="236">
        <v>8737.848</v>
      </c>
      <c r="V19" s="236">
        <v>9022.232</v>
      </c>
      <c r="W19" s="236">
        <v>8965.5590000000011</v>
      </c>
      <c r="X19" s="236">
        <v>9083.6630000000005</v>
      </c>
      <c r="Y19" s="236">
        <v>9218.33</v>
      </c>
      <c r="Z19" s="236">
        <v>9354.7380000000012</v>
      </c>
      <c r="AA19" s="236">
        <v>9521.5329999999994</v>
      </c>
      <c r="AB19" s="236">
        <v>9630.8909999999996</v>
      </c>
      <c r="AC19" s="236">
        <v>10129.291999999999</v>
      </c>
      <c r="AD19" s="242">
        <v>10302.597</v>
      </c>
      <c r="AE19" s="206">
        <f t="shared" si="1"/>
        <v>1.710929056048542</v>
      </c>
      <c r="AF19" s="939" t="s">
        <v>50</v>
      </c>
    </row>
    <row r="20" spans="1:32" ht="12.75" customHeight="1">
      <c r="A20" s="8"/>
      <c r="B20" s="10" t="s">
        <v>29</v>
      </c>
      <c r="C20" s="764">
        <v>50.393000000000001</v>
      </c>
      <c r="D20" s="235"/>
      <c r="E20" s="235"/>
      <c r="F20" s="235">
        <v>44.337000000000003</v>
      </c>
      <c r="G20" s="235">
        <v>44.756</v>
      </c>
      <c r="H20" s="235">
        <v>43.314999999999998</v>
      </c>
      <c r="I20" s="235">
        <v>41.984999999999999</v>
      </c>
      <c r="J20" s="235">
        <v>40.276000000000003</v>
      </c>
      <c r="K20" s="235">
        <v>41.515999999999998</v>
      </c>
      <c r="L20" s="235">
        <v>41.396000000000001</v>
      </c>
      <c r="M20" s="235">
        <v>40.381</v>
      </c>
      <c r="N20" s="235">
        <v>40.359000000000002</v>
      </c>
      <c r="O20" s="235">
        <v>41.210999999999999</v>
      </c>
      <c r="P20" s="235">
        <v>43.219000000000001</v>
      </c>
      <c r="Q20" s="235">
        <v>42.69</v>
      </c>
      <c r="R20" s="235">
        <v>40.727000000000004</v>
      </c>
      <c r="S20" s="235">
        <v>39.802999999999997</v>
      </c>
      <c r="T20" s="235">
        <v>41.104999999999997</v>
      </c>
      <c r="U20" s="235">
        <v>39.969000000000001</v>
      </c>
      <c r="V20" s="235">
        <v>40.97</v>
      </c>
      <c r="W20" s="235">
        <v>39.281999999999996</v>
      </c>
      <c r="X20" s="235">
        <v>39.242000000000004</v>
      </c>
      <c r="Y20" s="235">
        <v>39.4</v>
      </c>
      <c r="Z20" s="235">
        <v>39.764000000000003</v>
      </c>
      <c r="AA20" s="235">
        <v>39.703000000000003</v>
      </c>
      <c r="AB20" s="235">
        <v>40.350999999999999</v>
      </c>
      <c r="AC20" s="235">
        <v>41.140999999999998</v>
      </c>
      <c r="AD20" s="243">
        <v>41.886000000000003</v>
      </c>
      <c r="AE20" s="183">
        <f t="shared" si="1"/>
        <v>1.8108456284485044</v>
      </c>
      <c r="AF20" s="935" t="s">
        <v>29</v>
      </c>
    </row>
    <row r="21" spans="1:32" ht="12.75" customHeight="1">
      <c r="A21" s="8"/>
      <c r="B21" s="119" t="s">
        <v>33</v>
      </c>
      <c r="C21" s="952">
        <v>15.792</v>
      </c>
      <c r="D21" s="236">
        <v>18.443999999999999</v>
      </c>
      <c r="E21" s="236">
        <v>19.266999999999999</v>
      </c>
      <c r="F21" s="236">
        <v>19.408999999999999</v>
      </c>
      <c r="G21" s="236">
        <v>20.056999999999999</v>
      </c>
      <c r="H21" s="237">
        <v>20.731999999999999</v>
      </c>
      <c r="I21" s="236">
        <v>21.37</v>
      </c>
      <c r="J21" s="236">
        <v>22.16</v>
      </c>
      <c r="K21" s="237">
        <v>22.88</v>
      </c>
      <c r="L21" s="236">
        <v>29.924999999999997</v>
      </c>
      <c r="M21" s="236">
        <v>32.477000000000004</v>
      </c>
      <c r="N21" s="236">
        <v>36.874000000000002</v>
      </c>
      <c r="O21" s="236">
        <v>44.411999999999999</v>
      </c>
      <c r="P21" s="236">
        <v>51.284000000000006</v>
      </c>
      <c r="Q21" s="236">
        <v>51.963000000000008</v>
      </c>
      <c r="R21" s="240">
        <v>36.673999999999999</v>
      </c>
      <c r="S21" s="236">
        <v>38.622999999999998</v>
      </c>
      <c r="T21" s="236">
        <v>41.088000000000001</v>
      </c>
      <c r="U21" s="236">
        <v>43.588000000000001</v>
      </c>
      <c r="V21" s="236">
        <v>46.421999999999997</v>
      </c>
      <c r="W21" s="236">
        <v>49.287999999999997</v>
      </c>
      <c r="X21" s="236">
        <v>49.581000000000003</v>
      </c>
      <c r="Y21" s="236">
        <v>52.8</v>
      </c>
      <c r="Z21" s="236">
        <v>55.898000000000003</v>
      </c>
      <c r="AA21" s="236">
        <v>60.415999999999997</v>
      </c>
      <c r="AB21" s="236">
        <v>64.421000000000006</v>
      </c>
      <c r="AC21" s="236">
        <v>69.114999999999995</v>
      </c>
      <c r="AD21" s="242">
        <v>73.281999999999996</v>
      </c>
      <c r="AE21" s="206">
        <f t="shared" si="1"/>
        <v>6.0290819648411969</v>
      </c>
      <c r="AF21" s="939" t="s">
        <v>33</v>
      </c>
    </row>
    <row r="22" spans="1:32" ht="12.75" customHeight="1">
      <c r="A22" s="8"/>
      <c r="B22" s="10" t="s">
        <v>34</v>
      </c>
      <c r="C22" s="764">
        <v>20.033000000000001</v>
      </c>
      <c r="D22" s="235">
        <v>19.402000000000001</v>
      </c>
      <c r="E22" s="235">
        <v>19.128</v>
      </c>
      <c r="F22" s="235">
        <v>19.265999999999998</v>
      </c>
      <c r="G22" s="235">
        <v>19.515000000000001</v>
      </c>
      <c r="H22" s="235">
        <v>19.841999999999999</v>
      </c>
      <c r="I22" s="235">
        <v>20.244</v>
      </c>
      <c r="J22" s="235">
        <v>21.016999999999999</v>
      </c>
      <c r="K22" s="235">
        <v>21.873000000000001</v>
      </c>
      <c r="L22" s="235">
        <v>22.861000000000001</v>
      </c>
      <c r="M22" s="235">
        <v>24.027000000000001</v>
      </c>
      <c r="N22" s="238">
        <v>25.478000000000002</v>
      </c>
      <c r="O22" s="329">
        <v>35.270000000000003</v>
      </c>
      <c r="P22" s="235">
        <v>45.617000000000004</v>
      </c>
      <c r="Q22" s="235">
        <v>51.372</v>
      </c>
      <c r="R22" s="235">
        <v>56.271000000000001</v>
      </c>
      <c r="S22" s="235">
        <v>60.123999999999995</v>
      </c>
      <c r="T22" s="235">
        <v>64.248999999999995</v>
      </c>
      <c r="U22" s="235">
        <v>68.152000000000001</v>
      </c>
      <c r="V22" s="329">
        <v>33.162999999999997</v>
      </c>
      <c r="W22" s="235">
        <v>37.753</v>
      </c>
      <c r="X22" s="235">
        <v>39.713000000000001</v>
      </c>
      <c r="Y22" s="235">
        <v>42.1</v>
      </c>
      <c r="Z22" s="235">
        <v>45.266999999999996</v>
      </c>
      <c r="AA22" s="235">
        <v>53.154000000000003</v>
      </c>
      <c r="AB22" s="235">
        <v>60.911000000000001</v>
      </c>
      <c r="AC22" s="235">
        <v>69.494</v>
      </c>
      <c r="AD22" s="243">
        <v>78.67</v>
      </c>
      <c r="AE22" s="183">
        <f t="shared" si="1"/>
        <v>13.20401761303134</v>
      </c>
      <c r="AF22" s="935" t="s">
        <v>34</v>
      </c>
    </row>
    <row r="23" spans="1:32" ht="12.75" customHeight="1">
      <c r="A23" s="8"/>
      <c r="B23" s="119" t="s">
        <v>51</v>
      </c>
      <c r="C23" s="1084">
        <v>28.405000000000001</v>
      </c>
      <c r="D23" s="236">
        <v>28.900999999999996</v>
      </c>
      <c r="E23" s="236">
        <v>29.673999999999999</v>
      </c>
      <c r="F23" s="236">
        <v>30.587999999999997</v>
      </c>
      <c r="G23" s="236">
        <v>31.762</v>
      </c>
      <c r="H23" s="236">
        <v>32.774000000000001</v>
      </c>
      <c r="I23" s="236">
        <v>33.576000000000001</v>
      </c>
      <c r="J23" s="236">
        <v>34.701000000000001</v>
      </c>
      <c r="K23" s="236">
        <v>35.959000000000003</v>
      </c>
      <c r="L23" s="236">
        <v>36.908999999999999</v>
      </c>
      <c r="M23" s="236">
        <v>37.739000000000004</v>
      </c>
      <c r="N23" s="236">
        <v>38.637999999999998</v>
      </c>
      <c r="O23" s="236">
        <v>39.478999999999999</v>
      </c>
      <c r="P23" s="236">
        <v>40.284999999999997</v>
      </c>
      <c r="Q23" s="236">
        <v>41.250999999999998</v>
      </c>
      <c r="R23" s="236">
        <v>42.093000000000004</v>
      </c>
      <c r="S23" s="236">
        <v>43.335000000000001</v>
      </c>
      <c r="T23" s="236">
        <v>44.526000000000003</v>
      </c>
      <c r="U23" s="240">
        <v>25.753</v>
      </c>
      <c r="V23" s="236">
        <v>27.274999999999999</v>
      </c>
      <c r="W23" s="236">
        <v>28.259</v>
      </c>
      <c r="X23" s="236">
        <v>29.253</v>
      </c>
      <c r="Y23" s="236">
        <v>30.3</v>
      </c>
      <c r="Z23" s="236">
        <v>30.636000000000003</v>
      </c>
      <c r="AA23" s="236">
        <v>30.805</v>
      </c>
      <c r="AB23" s="236">
        <v>32.219000000000001</v>
      </c>
      <c r="AC23" s="236">
        <v>33.962000000000003</v>
      </c>
      <c r="AD23" s="242">
        <v>35.162999999999997</v>
      </c>
      <c r="AE23" s="206">
        <f t="shared" si="1"/>
        <v>3.5363052823744141</v>
      </c>
      <c r="AF23" s="939" t="s">
        <v>51</v>
      </c>
    </row>
    <row r="24" spans="1:32" ht="12.75" customHeight="1">
      <c r="A24" s="8"/>
      <c r="B24" s="10" t="s">
        <v>32</v>
      </c>
      <c r="C24" s="764"/>
      <c r="D24" s="235"/>
      <c r="E24" s="235"/>
      <c r="F24" s="235"/>
      <c r="G24" s="235">
        <v>87.572999999999993</v>
      </c>
      <c r="H24" s="235">
        <v>91.192999999999998</v>
      </c>
      <c r="I24" s="235">
        <v>93.087999999999994</v>
      </c>
      <c r="J24" s="235">
        <v>97.593000000000004</v>
      </c>
      <c r="K24" s="235">
        <v>103.49299999999999</v>
      </c>
      <c r="L24" s="235">
        <v>114.038</v>
      </c>
      <c r="M24" s="235">
        <v>122.705</v>
      </c>
      <c r="N24" s="235">
        <v>130.18799999999999</v>
      </c>
      <c r="O24" s="235">
        <v>135.86500000000001</v>
      </c>
      <c r="P24" s="235">
        <v>141.54</v>
      </c>
      <c r="Q24" s="235">
        <v>141.95599999999999</v>
      </c>
      <c r="R24" s="235">
        <v>142.251</v>
      </c>
      <c r="S24" s="235">
        <v>147.38200000000001</v>
      </c>
      <c r="T24" s="235">
        <v>151.405</v>
      </c>
      <c r="U24" s="235">
        <v>157.178</v>
      </c>
      <c r="V24" s="235">
        <v>161.54</v>
      </c>
      <c r="W24" s="235">
        <v>162.828</v>
      </c>
      <c r="X24" s="235">
        <v>162.148</v>
      </c>
      <c r="Y24" s="235">
        <v>167.4</v>
      </c>
      <c r="Z24" s="235">
        <v>176.07</v>
      </c>
      <c r="AA24" s="235">
        <v>185.94300000000001</v>
      </c>
      <c r="AB24" s="235">
        <v>194.59399999999999</v>
      </c>
      <c r="AC24" s="235">
        <v>202.52099999999999</v>
      </c>
      <c r="AD24" s="243">
        <f>210.746</f>
        <v>210.74600000000001</v>
      </c>
      <c r="AE24" s="183">
        <f t="shared" si="1"/>
        <v>4.061307222460897</v>
      </c>
      <c r="AF24" s="935" t="s">
        <v>32</v>
      </c>
    </row>
    <row r="25" spans="1:32" ht="12.75" customHeight="1">
      <c r="A25" s="8"/>
      <c r="B25" s="119" t="s">
        <v>35</v>
      </c>
      <c r="C25" s="952">
        <v>17.411000000000001</v>
      </c>
      <c r="D25" s="236">
        <v>11.663</v>
      </c>
      <c r="E25" s="236">
        <v>13.881</v>
      </c>
      <c r="F25" s="236">
        <v>14.847</v>
      </c>
      <c r="G25" s="236">
        <v>11.87</v>
      </c>
      <c r="H25" s="236">
        <v>12.401999999999999</v>
      </c>
      <c r="I25" s="236">
        <v>12.83</v>
      </c>
      <c r="J25" s="236">
        <v>13.324</v>
      </c>
      <c r="K25" s="236">
        <v>13.667</v>
      </c>
      <c r="L25" s="236">
        <v>12.782</v>
      </c>
      <c r="M25" s="236">
        <v>11.992999999999999</v>
      </c>
      <c r="N25" s="236">
        <v>12.286</v>
      </c>
      <c r="O25" s="236">
        <v>12.791</v>
      </c>
      <c r="P25" s="236">
        <v>14.413000000000002</v>
      </c>
      <c r="Q25" s="236">
        <v>14.38</v>
      </c>
      <c r="R25" s="240">
        <v>14.716099999999999</v>
      </c>
      <c r="S25" s="236">
        <v>15.562999999999999</v>
      </c>
      <c r="T25" s="236">
        <v>15.815</v>
      </c>
      <c r="U25" s="236">
        <v>16.901000000000003</v>
      </c>
      <c r="V25" s="236">
        <v>17.555</v>
      </c>
      <c r="W25" s="236">
        <v>19.206</v>
      </c>
      <c r="X25" s="236">
        <v>22.285999999999998</v>
      </c>
      <c r="Y25" s="236">
        <v>24.606000000000002</v>
      </c>
      <c r="Z25" s="236">
        <v>27.328999999999997</v>
      </c>
      <c r="AA25" s="236">
        <v>30.27</v>
      </c>
      <c r="AB25" s="236">
        <v>32.106000000000002</v>
      </c>
      <c r="AC25" s="236">
        <v>35.875</v>
      </c>
      <c r="AD25" s="242">
        <v>40.683999999999997</v>
      </c>
      <c r="AE25" s="206">
        <f t="shared" si="1"/>
        <v>13.404878048780475</v>
      </c>
      <c r="AF25" s="939" t="s">
        <v>35</v>
      </c>
    </row>
    <row r="26" spans="1:32" ht="15.75" customHeight="1">
      <c r="A26" s="8"/>
      <c r="B26" s="10" t="s">
        <v>43</v>
      </c>
      <c r="C26" s="764">
        <v>854.99299999999994</v>
      </c>
      <c r="D26" s="235">
        <v>888</v>
      </c>
      <c r="E26" s="235">
        <v>916</v>
      </c>
      <c r="F26" s="235">
        <v>997.42499999999995</v>
      </c>
      <c r="G26" s="235">
        <v>933.98900000000003</v>
      </c>
      <c r="H26" s="235">
        <v>970.798</v>
      </c>
      <c r="I26" s="235">
        <v>964.822</v>
      </c>
      <c r="J26" s="235">
        <v>1002.45</v>
      </c>
      <c r="K26" s="235">
        <v>1015.567</v>
      </c>
      <c r="L26" s="235">
        <v>1038.934</v>
      </c>
      <c r="M26" s="235">
        <v>1112.9490000000001</v>
      </c>
      <c r="N26" s="235">
        <v>1279.703</v>
      </c>
      <c r="O26" s="235">
        <v>1371.6120000000001</v>
      </c>
      <c r="P26" s="235">
        <v>1479.4760000000001</v>
      </c>
      <c r="Q26" s="235">
        <v>1579.143</v>
      </c>
      <c r="R26" s="235">
        <v>1664.2950000000001</v>
      </c>
      <c r="S26" s="235">
        <v>1708.6709999999998</v>
      </c>
      <c r="T26" s="235">
        <v>1738.4879999999998</v>
      </c>
      <c r="U26" s="235">
        <v>1755.9690000000001</v>
      </c>
      <c r="V26" s="235">
        <v>1777.1310000000001</v>
      </c>
      <c r="W26" s="235">
        <v>1803.377</v>
      </c>
      <c r="X26" s="235">
        <v>1834.2909999999999</v>
      </c>
      <c r="Y26" s="235">
        <v>1873.1610000000001</v>
      </c>
      <c r="Z26" s="235">
        <v>1895.9180000000001</v>
      </c>
      <c r="AA26" s="235">
        <v>1929.268</v>
      </c>
      <c r="AB26" s="235">
        <v>1993.077</v>
      </c>
      <c r="AC26" s="235">
        <v>1887.3119999999999</v>
      </c>
      <c r="AD26" s="243">
        <v>1913.6679999999999</v>
      </c>
      <c r="AE26" s="183">
        <f t="shared" si="1"/>
        <v>1.3964834643132633</v>
      </c>
      <c r="AF26" s="935" t="s">
        <v>43</v>
      </c>
    </row>
    <row r="27" spans="1:32" ht="12.75" customHeight="1">
      <c r="A27" s="8"/>
      <c r="B27" s="119" t="s">
        <v>52</v>
      </c>
      <c r="C27" s="952">
        <v>546.41200000000003</v>
      </c>
      <c r="D27" s="236">
        <v>560.19100000000003</v>
      </c>
      <c r="E27" s="236">
        <v>575.72</v>
      </c>
      <c r="F27" s="236">
        <v>600.73099999999999</v>
      </c>
      <c r="G27" s="236">
        <v>622.92700000000002</v>
      </c>
      <c r="H27" s="236">
        <v>632.71199999999999</v>
      </c>
      <c r="I27" s="237">
        <v>641.43399999999997</v>
      </c>
      <c r="J27" s="236">
        <v>596.82400000000007</v>
      </c>
      <c r="K27" s="236">
        <v>606.86799999999994</v>
      </c>
      <c r="L27" s="236">
        <v>612.16</v>
      </c>
      <c r="M27" s="236">
        <v>627.71100000000001</v>
      </c>
      <c r="N27" s="236">
        <v>645.31299999999999</v>
      </c>
      <c r="O27" s="236">
        <v>667.577</v>
      </c>
      <c r="P27" s="236">
        <v>691.24299999999994</v>
      </c>
      <c r="Q27" s="236">
        <v>712.09199999999998</v>
      </c>
      <c r="R27" s="236">
        <v>727.85199999999998</v>
      </c>
      <c r="S27" s="236">
        <v>743.42899999999997</v>
      </c>
      <c r="T27" s="236">
        <v>762.39200000000017</v>
      </c>
      <c r="U27" s="236">
        <v>776.33699999999999</v>
      </c>
      <c r="V27" s="236">
        <v>788.18399999999997</v>
      </c>
      <c r="W27" s="236">
        <v>799.90600000000006</v>
      </c>
      <c r="X27" s="236">
        <v>816.47699999999998</v>
      </c>
      <c r="Y27" s="236">
        <v>832.2</v>
      </c>
      <c r="Z27" s="236">
        <v>847.35500000000002</v>
      </c>
      <c r="AA27" s="236">
        <v>860.75800000000004</v>
      </c>
      <c r="AB27" s="236">
        <v>884.49300000000005</v>
      </c>
      <c r="AC27" s="236">
        <v>909.54200000000003</v>
      </c>
      <c r="AD27" s="242">
        <v>929.82500000000005</v>
      </c>
      <c r="AE27" s="206">
        <f t="shared" si="1"/>
        <v>2.2300234623579911</v>
      </c>
      <c r="AF27" s="939" t="s">
        <v>52</v>
      </c>
    </row>
    <row r="28" spans="1:32" ht="12.75" customHeight="1">
      <c r="A28" s="8"/>
      <c r="B28" s="10" t="s">
        <v>36</v>
      </c>
      <c r="C28" s="764">
        <v>929</v>
      </c>
      <c r="D28" s="235"/>
      <c r="E28" s="235"/>
      <c r="F28" s="235">
        <v>820</v>
      </c>
      <c r="G28" s="235">
        <v>804</v>
      </c>
      <c r="H28" s="238">
        <v>803</v>
      </c>
      <c r="I28" s="235">
        <v>803</v>
      </c>
      <c r="J28" s="235">
        <v>869</v>
      </c>
      <c r="K28" s="235">
        <v>845.45600000000002</v>
      </c>
      <c r="L28" s="238">
        <v>835.79</v>
      </c>
      <c r="M28" s="235">
        <v>1091.1590000000001</v>
      </c>
      <c r="N28" s="235">
        <v>1190.0930000000001</v>
      </c>
      <c r="O28" s="235">
        <v>1350.789</v>
      </c>
      <c r="P28" s="235">
        <v>1607.316</v>
      </c>
      <c r="Q28" s="235">
        <v>1808.723</v>
      </c>
      <c r="R28" s="235">
        <v>1935.1399999999999</v>
      </c>
      <c r="S28" s="235">
        <v>2102.1750000000002</v>
      </c>
      <c r="T28" s="235">
        <v>2207.556</v>
      </c>
      <c r="U28" s="235">
        <v>2316.61</v>
      </c>
      <c r="V28" s="235">
        <v>2406.105</v>
      </c>
      <c r="W28" s="235">
        <v>2531.52</v>
      </c>
      <c r="X28" s="235">
        <v>2647.8249999999998</v>
      </c>
      <c r="Y28" s="235">
        <v>2755</v>
      </c>
      <c r="Z28" s="235">
        <v>2852.8</v>
      </c>
      <c r="AA28" s="235">
        <v>2962.0349999999999</v>
      </c>
      <c r="AB28" s="235">
        <v>3069.1509999999998</v>
      </c>
      <c r="AC28" s="235">
        <v>3169.0059999999999</v>
      </c>
      <c r="AD28" s="243">
        <v>3269.6439999999998</v>
      </c>
      <c r="AE28" s="183">
        <f t="shared" si="1"/>
        <v>3.175696101553612</v>
      </c>
      <c r="AF28" s="935" t="s">
        <v>36</v>
      </c>
    </row>
    <row r="29" spans="1:32" ht="12.75" customHeight="1">
      <c r="A29" s="8"/>
      <c r="B29" s="119" t="s">
        <v>53</v>
      </c>
      <c r="C29" s="952">
        <v>216.29599999999999</v>
      </c>
      <c r="D29" s="236">
        <v>240.946</v>
      </c>
      <c r="E29" s="236">
        <v>271.70800000000003</v>
      </c>
      <c r="F29" s="236">
        <v>301.04500000000002</v>
      </c>
      <c r="G29" s="236">
        <v>323.85399999999998</v>
      </c>
      <c r="H29" s="236">
        <v>345.90300000000002</v>
      </c>
      <c r="I29" s="236">
        <v>368.06299999999999</v>
      </c>
      <c r="J29" s="236">
        <v>386.96899999999999</v>
      </c>
      <c r="K29" s="236">
        <v>402.75900000000001</v>
      </c>
      <c r="L29" s="237">
        <v>418.70400000000001</v>
      </c>
      <c r="M29" s="236">
        <v>588.41999999999996</v>
      </c>
      <c r="N29" s="236">
        <v>558.72</v>
      </c>
      <c r="O29" s="236">
        <v>536.64499999999998</v>
      </c>
      <c r="P29" s="236">
        <v>535</v>
      </c>
      <c r="Q29" s="236">
        <v>533.27</v>
      </c>
      <c r="R29" s="236">
        <v>498</v>
      </c>
      <c r="S29" s="236">
        <v>497</v>
      </c>
      <c r="T29" s="240">
        <v>500.815</v>
      </c>
      <c r="U29" s="236">
        <v>508.45600000000002</v>
      </c>
      <c r="V29" s="236">
        <v>509.67099999999999</v>
      </c>
      <c r="W29" s="236">
        <v>527.58299999999997</v>
      </c>
      <c r="X29" s="236">
        <v>552.09699999999998</v>
      </c>
      <c r="Y29" s="236">
        <v>592.51700000000005</v>
      </c>
      <c r="Z29" s="236">
        <v>616.07500000000005</v>
      </c>
      <c r="AA29" s="236">
        <v>660.93899999999996</v>
      </c>
      <c r="AB29" s="236">
        <v>691.34</v>
      </c>
      <c r="AC29" s="236">
        <v>727.50099999999998</v>
      </c>
      <c r="AD29" s="242">
        <f>764748/1000</f>
        <v>764.74800000000005</v>
      </c>
      <c r="AE29" s="206">
        <f t="shared" si="1"/>
        <v>5.1198555053532715</v>
      </c>
      <c r="AF29" s="939" t="s">
        <v>53</v>
      </c>
    </row>
    <row r="30" spans="1:32" ht="12.75" customHeight="1">
      <c r="A30" s="8"/>
      <c r="B30" s="10" t="s">
        <v>37</v>
      </c>
      <c r="C30" s="764">
        <v>327.72399999999999</v>
      </c>
      <c r="D30" s="235">
        <v>254.99600000000001</v>
      </c>
      <c r="E30" s="235">
        <v>250.51</v>
      </c>
      <c r="F30" s="235">
        <v>245.71899999999999</v>
      </c>
      <c r="G30" s="235">
        <v>242.58300000000003</v>
      </c>
      <c r="H30" s="235">
        <v>239.20800000000003</v>
      </c>
      <c r="I30" s="235">
        <v>237.90099999999998</v>
      </c>
      <c r="J30" s="235">
        <v>238.48000000000002</v>
      </c>
      <c r="K30" s="235">
        <v>235.85</v>
      </c>
      <c r="L30" s="235">
        <v>234.702</v>
      </c>
      <c r="M30" s="235">
        <v>197.40100000000001</v>
      </c>
      <c r="N30" s="238">
        <v>193.98099999999999</v>
      </c>
      <c r="O30" s="329">
        <v>56.478999999999999</v>
      </c>
      <c r="P30" s="235">
        <v>71.826999999999998</v>
      </c>
      <c r="Q30" s="235">
        <v>79.989999999999995</v>
      </c>
      <c r="R30" s="235">
        <v>85.171000000000006</v>
      </c>
      <c r="S30" s="235">
        <v>90.081999999999994</v>
      </c>
      <c r="T30" s="235">
        <v>95.45</v>
      </c>
      <c r="U30" s="235">
        <v>101.622</v>
      </c>
      <c r="V30" s="235">
        <v>107.33799999999999</v>
      </c>
      <c r="W30" s="235">
        <v>112.866</v>
      </c>
      <c r="X30" s="235">
        <v>119.53400000000001</v>
      </c>
      <c r="Y30" s="235">
        <v>127.3</v>
      </c>
      <c r="Z30" s="235">
        <v>136.44</v>
      </c>
      <c r="AA30" s="235">
        <v>148.387</v>
      </c>
      <c r="AB30" s="235">
        <v>162.078</v>
      </c>
      <c r="AC30" s="235">
        <v>175.84399999999999</v>
      </c>
      <c r="AD30" s="243">
        <v>191.73699999999999</v>
      </c>
      <c r="AE30" s="183">
        <f t="shared" si="1"/>
        <v>9.0381247014399264</v>
      </c>
      <c r="AF30" s="935" t="s">
        <v>37</v>
      </c>
    </row>
    <row r="31" spans="1:32" ht="12.75" customHeight="1">
      <c r="A31" s="8"/>
      <c r="B31" s="119" t="s">
        <v>39</v>
      </c>
      <c r="C31" s="952">
        <v>8.5459999999999994</v>
      </c>
      <c r="D31" s="236">
        <v>8.173</v>
      </c>
      <c r="E31" s="236">
        <v>8.2829999999999995</v>
      </c>
      <c r="F31" s="236">
        <v>9.14</v>
      </c>
      <c r="G31" s="236">
        <v>9.9060000000000006</v>
      </c>
      <c r="H31" s="237">
        <v>11.217000000000001</v>
      </c>
      <c r="I31" s="237">
        <v>11.622</v>
      </c>
      <c r="J31" s="236">
        <v>50.607999999999997</v>
      </c>
      <c r="K31" s="236">
        <v>42.392000000000003</v>
      </c>
      <c r="L31" s="236">
        <v>40.200000000000003</v>
      </c>
      <c r="M31" s="236">
        <v>48.670999999999999</v>
      </c>
      <c r="N31" s="236">
        <v>53.192999999999998</v>
      </c>
      <c r="O31" s="236">
        <v>71.492999999999995</v>
      </c>
      <c r="P31" s="236">
        <v>81.996000000000009</v>
      </c>
      <c r="Q31" s="236">
        <v>88.427999999999997</v>
      </c>
      <c r="R31" s="236">
        <v>91.00800000000001</v>
      </c>
      <c r="S31" s="236">
        <v>92.182999999999993</v>
      </c>
      <c r="T31" s="236">
        <v>93.1</v>
      </c>
      <c r="U31" s="236">
        <v>92.98599999999999</v>
      </c>
      <c r="V31" s="236">
        <v>95.795999999999992</v>
      </c>
      <c r="W31" s="236">
        <v>100.32</v>
      </c>
      <c r="X31" s="236">
        <v>103.684</v>
      </c>
      <c r="Y31" s="236">
        <v>125.127</v>
      </c>
      <c r="Z31" s="236">
        <v>130.935</v>
      </c>
      <c r="AA31" s="236">
        <v>135.78</v>
      </c>
      <c r="AB31" s="236">
        <v>140.316</v>
      </c>
      <c r="AC31" s="236">
        <v>145.417</v>
      </c>
      <c r="AD31" s="242">
        <v>153.459</v>
      </c>
      <c r="AE31" s="206">
        <f t="shared" si="1"/>
        <v>5.5303025093352147</v>
      </c>
      <c r="AF31" s="939" t="s">
        <v>39</v>
      </c>
    </row>
    <row r="32" spans="1:32" ht="12.75" customHeight="1">
      <c r="A32" s="8"/>
      <c r="B32" s="10" t="s">
        <v>38</v>
      </c>
      <c r="C32" s="764">
        <v>81.846999999999994</v>
      </c>
      <c r="D32" s="235">
        <v>79.478999999999999</v>
      </c>
      <c r="E32" s="235">
        <v>81.061999999999998</v>
      </c>
      <c r="F32" s="238">
        <v>100.89100000000001</v>
      </c>
      <c r="G32" s="235">
        <v>44.215000000000003</v>
      </c>
      <c r="H32" s="235">
        <v>45.646999999999998</v>
      </c>
      <c r="I32" s="235">
        <v>46.676000000000002</v>
      </c>
      <c r="J32" s="235">
        <v>47.9</v>
      </c>
      <c r="K32" s="235">
        <v>48.709000000000003</v>
      </c>
      <c r="L32" s="235">
        <v>51.976999999999997</v>
      </c>
      <c r="M32" s="235">
        <v>56.366</v>
      </c>
      <c r="N32" s="235">
        <v>58.100999999999999</v>
      </c>
      <c r="O32" s="235">
        <v>63.896999999999998</v>
      </c>
      <c r="P32" s="238">
        <v>70.317999999999998</v>
      </c>
      <c r="Q32" s="235">
        <v>81.900000000000006</v>
      </c>
      <c r="R32" s="235">
        <v>87.9</v>
      </c>
      <c r="S32" s="235">
        <v>93.8</v>
      </c>
      <c r="T32" s="235">
        <v>99.5</v>
      </c>
      <c r="U32" s="235">
        <v>105.9</v>
      </c>
      <c r="V32" s="235">
        <v>112.7</v>
      </c>
      <c r="W32" s="235">
        <v>120.624</v>
      </c>
      <c r="X32" s="235">
        <v>126.128</v>
      </c>
      <c r="Y32" s="235">
        <v>133.309</v>
      </c>
      <c r="Z32" s="235">
        <v>140.44999999999999</v>
      </c>
      <c r="AA32" s="235">
        <v>147.49799999999999</v>
      </c>
      <c r="AB32" s="235">
        <v>154.44499999999999</v>
      </c>
      <c r="AC32" s="235">
        <v>162.14500000000001</v>
      </c>
      <c r="AD32" s="243">
        <v>170.40299999999999</v>
      </c>
      <c r="AE32" s="183">
        <f t="shared" si="1"/>
        <v>5.0929723395725972</v>
      </c>
      <c r="AF32" s="935" t="s">
        <v>38</v>
      </c>
    </row>
    <row r="33" spans="1:32" ht="12.75" customHeight="1">
      <c r="A33" s="8"/>
      <c r="B33" s="119" t="s">
        <v>54</v>
      </c>
      <c r="C33" s="952">
        <v>159.52500000000001</v>
      </c>
      <c r="D33" s="236">
        <v>162.78800000000001</v>
      </c>
      <c r="E33" s="236">
        <v>166.614</v>
      </c>
      <c r="F33" s="236">
        <v>173.32499999999999</v>
      </c>
      <c r="G33" s="236">
        <v>183.18799999999999</v>
      </c>
      <c r="H33" s="236">
        <v>193.422</v>
      </c>
      <c r="I33" s="236">
        <v>206.23500000000001</v>
      </c>
      <c r="J33" s="236">
        <v>223.577</v>
      </c>
      <c r="K33" s="236">
        <v>245.38200000000001</v>
      </c>
      <c r="L33" s="236">
        <v>271.72000000000003</v>
      </c>
      <c r="M33" s="236">
        <v>301.80500000000001</v>
      </c>
      <c r="N33" s="236">
        <v>338.44299999999998</v>
      </c>
      <c r="O33" s="236">
        <v>376.53200000000004</v>
      </c>
      <c r="P33" s="236">
        <v>421.54399999999998</v>
      </c>
      <c r="Q33" s="236">
        <v>456.197</v>
      </c>
      <c r="R33" s="236">
        <v>486.76600000000002</v>
      </c>
      <c r="S33" s="236">
        <v>516</v>
      </c>
      <c r="T33" s="236">
        <v>538.01900000000001</v>
      </c>
      <c r="U33" s="236">
        <v>554.25199999999995</v>
      </c>
      <c r="V33" s="236">
        <v>568.19100000000003</v>
      </c>
      <c r="W33" s="236">
        <v>581.14700000000005</v>
      </c>
      <c r="X33" s="236">
        <v>591.79499999999996</v>
      </c>
      <c r="Y33" s="236">
        <v>603.79999999999995</v>
      </c>
      <c r="Z33" s="236">
        <v>613.74099999999999</v>
      </c>
      <c r="AA33" s="236">
        <v>623.99699999999996</v>
      </c>
      <c r="AB33" s="236">
        <v>636.45699999999999</v>
      </c>
      <c r="AC33" s="236">
        <v>646.06299999999999</v>
      </c>
      <c r="AD33" s="242">
        <f>655.7</f>
        <v>655.7</v>
      </c>
      <c r="AE33" s="206">
        <f t="shared" si="1"/>
        <v>1.4916501951048247</v>
      </c>
      <c r="AF33" s="939" t="s">
        <v>54</v>
      </c>
    </row>
    <row r="34" spans="1:32" ht="12.75" customHeight="1">
      <c r="A34" s="8"/>
      <c r="B34" s="11" t="s">
        <v>55</v>
      </c>
      <c r="C34" s="895">
        <v>264.18</v>
      </c>
      <c r="D34" s="247">
        <v>272.71499999999997</v>
      </c>
      <c r="E34" s="247">
        <v>279.42099999999999</v>
      </c>
      <c r="F34" s="247">
        <v>285.92</v>
      </c>
      <c r="G34" s="247">
        <v>300.46000000000004</v>
      </c>
      <c r="H34" s="247">
        <v>310.06900000000002</v>
      </c>
      <c r="I34" s="247">
        <v>336.34100000000001</v>
      </c>
      <c r="J34" s="247">
        <v>372.36900000000003</v>
      </c>
      <c r="K34" s="247">
        <v>395.601</v>
      </c>
      <c r="L34" s="247">
        <v>403.31700000000001</v>
      </c>
      <c r="M34" s="247">
        <v>453.08199999999999</v>
      </c>
      <c r="N34" s="247">
        <v>497.74400000000003</v>
      </c>
      <c r="O34" s="247">
        <v>528.125</v>
      </c>
      <c r="P34" s="247">
        <v>553.92899999999997</v>
      </c>
      <c r="Q34" s="247">
        <v>571.89</v>
      </c>
      <c r="R34" s="247">
        <v>570.24</v>
      </c>
      <c r="S34" s="247">
        <v>578.495</v>
      </c>
      <c r="T34" s="247">
        <v>615.52499999999998</v>
      </c>
      <c r="U34" s="247">
        <v>605.59</v>
      </c>
      <c r="V34" s="247">
        <v>618.553</v>
      </c>
      <c r="W34" s="247">
        <v>632.61800000000005</v>
      </c>
      <c r="X34" s="247">
        <v>648.98199999999997</v>
      </c>
      <c r="Y34" s="247">
        <v>666.31500000000005</v>
      </c>
      <c r="Z34" s="247">
        <v>676.51400000000001</v>
      </c>
      <c r="AA34" s="247">
        <v>690.89599999999996</v>
      </c>
      <c r="AB34" s="247">
        <v>713.41600000000005</v>
      </c>
      <c r="AC34" s="247">
        <v>723.35199999999998</v>
      </c>
      <c r="AD34" s="1085">
        <v>731.09199999999998</v>
      </c>
      <c r="AE34" s="186">
        <f t="shared" si="1"/>
        <v>1.0700184695694475</v>
      </c>
      <c r="AF34" s="11" t="s">
        <v>55</v>
      </c>
    </row>
    <row r="35" spans="1:32" ht="12.75" customHeight="1">
      <c r="A35" s="8"/>
      <c r="B35" s="118" t="s">
        <v>26</v>
      </c>
      <c r="C35" s="327">
        <v>1.881</v>
      </c>
      <c r="D35" s="327">
        <v>1.95</v>
      </c>
      <c r="E35" s="327">
        <v>2.0470000000000002</v>
      </c>
      <c r="F35" s="327">
        <v>1.9059999999999999</v>
      </c>
      <c r="G35" s="327">
        <v>2.0840000000000001</v>
      </c>
      <c r="H35" s="327">
        <v>2.278</v>
      </c>
      <c r="I35" s="327">
        <v>2.444</v>
      </c>
      <c r="J35" s="327">
        <v>2.5569999999999999</v>
      </c>
      <c r="K35" s="327">
        <v>2.7469999999999999</v>
      </c>
      <c r="L35" s="327">
        <v>3.105</v>
      </c>
      <c r="M35" s="327">
        <v>4.1829999999999998</v>
      </c>
      <c r="N35" s="327">
        <v>5.6989999999999998</v>
      </c>
      <c r="O35" s="327">
        <v>8.0739999999999998</v>
      </c>
      <c r="P35" s="327">
        <v>9.0090000000000003</v>
      </c>
      <c r="Q35" s="327">
        <v>9.42</v>
      </c>
      <c r="R35" s="327">
        <v>9.6509999999999998</v>
      </c>
      <c r="S35" s="327">
        <v>9.9220000000000006</v>
      </c>
      <c r="T35" s="327">
        <v>10.135</v>
      </c>
      <c r="U35" s="327">
        <v>10.212999999999999</v>
      </c>
      <c r="V35" s="327">
        <v>10.305999999999999</v>
      </c>
      <c r="W35" s="327">
        <v>10.398999999999999</v>
      </c>
      <c r="X35" s="327">
        <v>10.573</v>
      </c>
      <c r="Y35" s="327">
        <v>10.778</v>
      </c>
      <c r="Z35" s="236">
        <v>13.378</v>
      </c>
      <c r="AA35" s="327">
        <v>12.788</v>
      </c>
      <c r="AB35" s="327">
        <v>12.981999999999999</v>
      </c>
      <c r="AC35" s="327">
        <v>12.981999999999999</v>
      </c>
      <c r="AD35" s="242">
        <v>20.288</v>
      </c>
      <c r="AE35" s="454">
        <f t="shared" si="1"/>
        <v>56.277923278385487</v>
      </c>
      <c r="AF35" s="118" t="s">
        <v>26</v>
      </c>
    </row>
    <row r="36" spans="1:32" ht="12.75" customHeight="1">
      <c r="A36" s="8"/>
      <c r="B36" s="363" t="s">
        <v>65</v>
      </c>
      <c r="C36" s="1086"/>
      <c r="D36" s="1086"/>
      <c r="E36" s="1086"/>
      <c r="F36" s="1086"/>
      <c r="G36" s="1086">
        <v>2.4430000000000001</v>
      </c>
      <c r="H36" s="1086">
        <v>2.5939999999999999</v>
      </c>
      <c r="I36" s="1086">
        <v>2.754</v>
      </c>
      <c r="J36" s="1086">
        <v>2.8780000000000001</v>
      </c>
      <c r="K36" s="1086">
        <v>2.98</v>
      </c>
      <c r="L36" s="1086">
        <v>3.0030000000000001</v>
      </c>
      <c r="M36" s="1086">
        <v>3.11</v>
      </c>
      <c r="N36" s="1086">
        <v>3.17</v>
      </c>
      <c r="O36" s="1086">
        <v>3.2559999999999998</v>
      </c>
      <c r="P36" s="1086">
        <v>3.4380000000000002</v>
      </c>
      <c r="Q36" s="1086">
        <v>3.577</v>
      </c>
      <c r="R36" s="1086">
        <v>3.734</v>
      </c>
      <c r="S36" s="1086">
        <v>3.7530000000000001</v>
      </c>
      <c r="T36" s="1086">
        <v>3.931</v>
      </c>
      <c r="U36" s="1086">
        <v>3.9990000000000001</v>
      </c>
      <c r="V36" s="1086">
        <v>4.1539999999999999</v>
      </c>
      <c r="W36" s="1086">
        <v>4.2619999999999996</v>
      </c>
      <c r="X36" s="1086">
        <v>4.4409999999999998</v>
      </c>
      <c r="Y36" s="1086">
        <v>4.5609999999999999</v>
      </c>
      <c r="Z36" s="1086">
        <v>4.6529999999999996</v>
      </c>
      <c r="AA36" s="1086">
        <v>4.6589999999999998</v>
      </c>
      <c r="AB36" s="1086">
        <v>4.9359999999999999</v>
      </c>
      <c r="AC36" s="1086">
        <v>4.9080000000000004</v>
      </c>
      <c r="AD36" s="1087">
        <f>4.88</f>
        <v>4.88</v>
      </c>
      <c r="AE36" s="999">
        <f t="shared" si="1"/>
        <v>-0.57049714751427416</v>
      </c>
      <c r="AF36" s="363" t="s">
        <v>65</v>
      </c>
    </row>
    <row r="37" spans="1:32" ht="12.75" customHeight="1">
      <c r="A37" s="8"/>
      <c r="B37" s="119" t="s">
        <v>56</v>
      </c>
      <c r="C37" s="236">
        <v>158.624</v>
      </c>
      <c r="D37" s="236">
        <v>164.77500000000001</v>
      </c>
      <c r="E37" s="236">
        <v>174.60300000000001</v>
      </c>
      <c r="F37" s="236">
        <v>184.34699999999998</v>
      </c>
      <c r="G37" s="236">
        <v>193.00099999999998</v>
      </c>
      <c r="H37" s="236">
        <v>201.56399999999999</v>
      </c>
      <c r="I37" s="236">
        <v>211.42700000000002</v>
      </c>
      <c r="J37" s="236">
        <v>225.173</v>
      </c>
      <c r="K37" s="236">
        <v>239.596</v>
      </c>
      <c r="L37" s="236">
        <v>248.57099999999997</v>
      </c>
      <c r="M37" s="236">
        <v>257.49900000000002</v>
      </c>
      <c r="N37" s="236">
        <v>268.54499999999996</v>
      </c>
      <c r="O37" s="236">
        <v>282.49400000000003</v>
      </c>
      <c r="P37" s="236">
        <v>296.38299999999998</v>
      </c>
      <c r="Q37" s="236">
        <v>306.79200000000003</v>
      </c>
      <c r="R37" s="236">
        <v>315.49599999999998</v>
      </c>
      <c r="S37" s="236">
        <v>323.49599999999998</v>
      </c>
      <c r="T37" s="236">
        <v>331.69900000000001</v>
      </c>
      <c r="U37" s="236">
        <v>337.90999999999997</v>
      </c>
      <c r="V37" s="236">
        <v>345.15100000000001</v>
      </c>
      <c r="W37" s="236">
        <v>354.27500000000003</v>
      </c>
      <c r="X37" s="236">
        <v>362.392</v>
      </c>
      <c r="Y37" s="236">
        <v>362.05700000000002</v>
      </c>
      <c r="Z37" s="236">
        <v>355.97199999999998</v>
      </c>
      <c r="AA37" s="236">
        <v>357.745</v>
      </c>
      <c r="AB37" s="236">
        <v>384.57499999999999</v>
      </c>
      <c r="AC37" s="236">
        <v>387.67399999999998</v>
      </c>
      <c r="AD37" s="242">
        <v>368.137</v>
      </c>
      <c r="AE37" s="206">
        <f t="shared" si="1"/>
        <v>-5.0395435340002166</v>
      </c>
      <c r="AF37" s="939" t="s">
        <v>56</v>
      </c>
    </row>
    <row r="38" spans="1:32" ht="12.75" customHeight="1">
      <c r="A38" s="8"/>
      <c r="B38" s="11" t="s">
        <v>27</v>
      </c>
      <c r="C38" s="247">
        <v>688.48334493180107</v>
      </c>
      <c r="D38" s="247">
        <v>682.99495168409749</v>
      </c>
      <c r="E38" s="247">
        <v>691.21699999999998</v>
      </c>
      <c r="F38" s="247">
        <v>700.46400000000006</v>
      </c>
      <c r="G38" s="247">
        <v>710.375</v>
      </c>
      <c r="H38" s="247">
        <v>712.71299999999997</v>
      </c>
      <c r="I38" s="247">
        <v>720.423</v>
      </c>
      <c r="J38" s="247">
        <v>731.94299999999998</v>
      </c>
      <c r="K38" s="247">
        <v>740.84400000000005</v>
      </c>
      <c r="L38" s="247">
        <v>748.01</v>
      </c>
      <c r="M38" s="247">
        <v>747.96</v>
      </c>
      <c r="N38" s="247">
        <v>759.22299999999996</v>
      </c>
      <c r="O38" s="247">
        <v>763.87</v>
      </c>
      <c r="P38" s="247">
        <v>778.08900000000006</v>
      </c>
      <c r="Q38" s="247">
        <v>781.99699999999996</v>
      </c>
      <c r="R38" s="247">
        <v>790.75</v>
      </c>
      <c r="S38" s="247">
        <v>808.70399999999995</v>
      </c>
      <c r="T38" s="247">
        <v>825.80600000000004</v>
      </c>
      <c r="U38" s="247">
        <v>835.23699999999997</v>
      </c>
      <c r="V38" s="247">
        <v>852.18100000000004</v>
      </c>
      <c r="W38" s="247">
        <v>871.31399999999996</v>
      </c>
      <c r="X38" s="247">
        <v>896.41099999999994</v>
      </c>
      <c r="Y38" s="247">
        <v>917.01900000000001</v>
      </c>
      <c r="Z38" s="247">
        <v>940.76700000000005</v>
      </c>
      <c r="AA38" s="247">
        <v>956.02200000000005</v>
      </c>
      <c r="AB38" s="247">
        <v>1001.0069999999999</v>
      </c>
      <c r="AC38" s="247">
        <v>1033.3</v>
      </c>
      <c r="AD38" s="1085">
        <v>1047.547</v>
      </c>
      <c r="AE38" s="186">
        <f t="shared" si="1"/>
        <v>1.378786412464919</v>
      </c>
      <c r="AF38" s="11" t="s">
        <v>27</v>
      </c>
    </row>
    <row r="39" spans="1:32" ht="12.75" customHeight="1">
      <c r="A39" s="8"/>
      <c r="B39" s="119" t="s">
        <v>311</v>
      </c>
      <c r="C39" s="236"/>
      <c r="D39" s="236"/>
      <c r="E39" s="236"/>
      <c r="F39" s="236"/>
      <c r="G39" s="236"/>
      <c r="H39" s="236"/>
      <c r="I39" s="236"/>
      <c r="J39" s="236"/>
      <c r="K39" s="236"/>
      <c r="L39" s="236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>
        <v>10.766999999999999</v>
      </c>
      <c r="X39" s="236">
        <v>10.582000000000001</v>
      </c>
      <c r="Y39" s="236">
        <v>12.382999999999999</v>
      </c>
      <c r="Z39" s="236">
        <v>15.339</v>
      </c>
      <c r="AA39" s="236">
        <v>16.613</v>
      </c>
      <c r="AB39" s="236">
        <v>17.227</v>
      </c>
      <c r="AC39" s="236">
        <v>19.042000000000002</v>
      </c>
      <c r="AD39" s="242">
        <v>22.652999999999999</v>
      </c>
      <c r="AE39" s="206">
        <f t="shared" si="1"/>
        <v>18.963344186534997</v>
      </c>
      <c r="AF39" s="939" t="s">
        <v>311</v>
      </c>
    </row>
    <row r="40" spans="1:32" s="407" customFormat="1" ht="12.75" customHeight="1">
      <c r="A40" s="203"/>
      <c r="B40" s="10" t="s">
        <v>139</v>
      </c>
      <c r="C40" s="764"/>
      <c r="D40" s="235"/>
      <c r="E40" s="235"/>
      <c r="F40" s="235"/>
      <c r="G40" s="235"/>
      <c r="H40" s="235"/>
      <c r="I40" s="235"/>
      <c r="J40" s="235"/>
      <c r="K40" s="235"/>
      <c r="L40" s="235"/>
      <c r="M40" s="235"/>
      <c r="N40" s="235"/>
      <c r="O40" s="235"/>
      <c r="P40" s="235"/>
      <c r="Q40" s="235"/>
      <c r="R40" s="235"/>
      <c r="S40" s="235">
        <v>4.6609999999999996</v>
      </c>
      <c r="T40" s="235">
        <v>4.5759999999999996</v>
      </c>
      <c r="U40" s="235">
        <v>5.0460000000000003</v>
      </c>
      <c r="V40" s="235">
        <v>3.7029999999999998</v>
      </c>
      <c r="W40" s="235">
        <v>4.2009999999999996</v>
      </c>
      <c r="X40" s="235">
        <v>4.3630000000000004</v>
      </c>
      <c r="Y40" s="235">
        <v>4.7439999999999998</v>
      </c>
      <c r="Z40" s="235">
        <v>5.7</v>
      </c>
      <c r="AA40" s="235">
        <v>6.3</v>
      </c>
      <c r="AB40" s="235">
        <v>5.7649999999999997</v>
      </c>
      <c r="AC40" s="235">
        <v>6.2610000000000001</v>
      </c>
      <c r="AD40" s="243">
        <f>7.165</f>
        <v>7.165</v>
      </c>
      <c r="AE40" s="183">
        <f t="shared" si="1"/>
        <v>14.438588084970448</v>
      </c>
      <c r="AF40" s="935" t="s">
        <v>139</v>
      </c>
    </row>
    <row r="41" spans="1:32" ht="12.75" customHeight="1">
      <c r="A41" s="8"/>
      <c r="B41" s="119" t="s">
        <v>313</v>
      </c>
      <c r="C41" s="952"/>
      <c r="D41" s="236"/>
      <c r="E41" s="236"/>
      <c r="F41" s="236"/>
      <c r="G41" s="236"/>
      <c r="H41" s="236"/>
      <c r="I41" s="236"/>
      <c r="J41" s="236"/>
      <c r="K41" s="236"/>
      <c r="L41" s="236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>
        <v>36.488999999999997</v>
      </c>
      <c r="X41" s="236">
        <v>36.741999999999997</v>
      </c>
      <c r="Y41" s="236">
        <v>39.484999999999999</v>
      </c>
      <c r="Z41" s="236">
        <v>41.365000000000002</v>
      </c>
      <c r="AA41" s="236">
        <v>44.462000000000003</v>
      </c>
      <c r="AB41" s="236">
        <v>39.994</v>
      </c>
      <c r="AC41" s="236">
        <v>43.512</v>
      </c>
      <c r="AD41" s="242">
        <v>47.359000000000002</v>
      </c>
      <c r="AE41" s="206">
        <f t="shared" si="1"/>
        <v>8.8412391983820697</v>
      </c>
      <c r="AF41" s="939" t="s">
        <v>313</v>
      </c>
    </row>
    <row r="42" spans="1:32" s="407" customFormat="1" ht="12.75" customHeight="1">
      <c r="A42" s="203"/>
      <c r="B42" s="10" t="s">
        <v>0</v>
      </c>
      <c r="C42" s="764"/>
      <c r="D42" s="235"/>
      <c r="E42" s="235"/>
      <c r="F42" s="235"/>
      <c r="G42" s="235"/>
      <c r="H42" s="235"/>
      <c r="I42" s="235"/>
      <c r="J42" s="235"/>
      <c r="K42" s="235">
        <v>2.1419999999999999</v>
      </c>
      <c r="L42" s="235">
        <v>1.3819999999999999</v>
      </c>
      <c r="M42" s="235">
        <v>1.724</v>
      </c>
      <c r="N42" s="235">
        <v>3.4420000000000002</v>
      </c>
      <c r="O42" s="235">
        <v>4.4370000000000003</v>
      </c>
      <c r="P42" s="238">
        <v>8.6259999999999994</v>
      </c>
      <c r="Q42" s="235">
        <v>9.0969999999999995</v>
      </c>
      <c r="R42" s="235">
        <v>7.7610000000000001</v>
      </c>
      <c r="S42" s="235">
        <v>8.3729999999999993</v>
      </c>
      <c r="T42" s="235">
        <v>8.4730000000000008</v>
      </c>
      <c r="U42" s="235">
        <v>8.093</v>
      </c>
      <c r="V42" s="235">
        <v>8.6340000000000003</v>
      </c>
      <c r="W42" s="235">
        <v>10.050000000000001</v>
      </c>
      <c r="X42" s="235">
        <v>11.696999999999999</v>
      </c>
      <c r="Y42" s="235">
        <v>14.13</v>
      </c>
      <c r="Z42" s="235">
        <v>13.34</v>
      </c>
      <c r="AA42" s="235">
        <v>11.987</v>
      </c>
      <c r="AB42" s="235">
        <v>12.794</v>
      </c>
      <c r="AC42" s="235">
        <v>15.786</v>
      </c>
      <c r="AD42" s="243">
        <f>18.775</f>
        <v>18.774999999999999</v>
      </c>
      <c r="AE42" s="183">
        <f t="shared" si="1"/>
        <v>18.934498923096399</v>
      </c>
      <c r="AF42" s="935" t="s">
        <v>0</v>
      </c>
    </row>
    <row r="43" spans="1:32" ht="12.75" customHeight="1">
      <c r="A43" s="8"/>
      <c r="B43" s="119" t="s">
        <v>145</v>
      </c>
      <c r="C43" s="952">
        <v>6.9459999999999997</v>
      </c>
      <c r="D43" s="236">
        <v>5.5410000000000004</v>
      </c>
      <c r="E43" s="236">
        <v>3.645</v>
      </c>
      <c r="F43" s="236">
        <v>4.109</v>
      </c>
      <c r="G43" s="236">
        <v>3.214</v>
      </c>
      <c r="H43" s="237">
        <v>3.8079999999999998</v>
      </c>
      <c r="I43" s="237">
        <v>3.4470000000000001</v>
      </c>
      <c r="J43" s="236">
        <v>3.4</v>
      </c>
      <c r="K43" s="236">
        <v>3.8959999999999999</v>
      </c>
      <c r="L43" s="236">
        <v>4.8769999999999998</v>
      </c>
      <c r="M43" s="236">
        <v>7.17</v>
      </c>
      <c r="N43" s="236">
        <v>11.638999999999999</v>
      </c>
      <c r="O43" s="236">
        <v>13.859</v>
      </c>
      <c r="P43" s="236">
        <v>18.329000000000001</v>
      </c>
      <c r="Q43" s="236">
        <v>20.873999999999999</v>
      </c>
      <c r="R43" s="236">
        <v>24.021999999999998</v>
      </c>
      <c r="S43" s="236">
        <v>24.009</v>
      </c>
      <c r="T43" s="236">
        <v>25.492000000000001</v>
      </c>
      <c r="U43" s="236">
        <v>26.664000000000001</v>
      </c>
      <c r="V43" s="236">
        <v>30.975000000000001</v>
      </c>
      <c r="W43" s="236">
        <v>33.07</v>
      </c>
      <c r="X43" s="236">
        <v>36.095999999999997</v>
      </c>
      <c r="Y43" s="236">
        <v>31.399000000000001</v>
      </c>
      <c r="Z43" s="236">
        <v>33.662999999999997</v>
      </c>
      <c r="AA43" s="236">
        <v>37.090000000000003</v>
      </c>
      <c r="AB43" s="236">
        <v>40.923999999999999</v>
      </c>
      <c r="AC43" s="236">
        <v>45.164999999999999</v>
      </c>
      <c r="AD43" s="242">
        <v>50.332000000000001</v>
      </c>
      <c r="AE43" s="206">
        <f t="shared" si="1"/>
        <v>11.440274548876346</v>
      </c>
      <c r="AF43" s="939" t="s">
        <v>145</v>
      </c>
    </row>
    <row r="44" spans="1:32" s="407" customFormat="1" ht="12.75" customHeight="1">
      <c r="A44" s="203"/>
      <c r="B44" s="10" t="s">
        <v>138</v>
      </c>
      <c r="C44" s="764"/>
      <c r="D44" s="235"/>
      <c r="E44" s="235"/>
      <c r="F44" s="235"/>
      <c r="G44" s="235"/>
      <c r="H44" s="235"/>
      <c r="I44" s="235">
        <v>13.097</v>
      </c>
      <c r="J44" s="235">
        <v>12.339</v>
      </c>
      <c r="K44" s="235">
        <v>13.287000000000001</v>
      </c>
      <c r="L44" s="235">
        <v>14.771000000000001</v>
      </c>
      <c r="M44" s="235">
        <v>16.042000000000002</v>
      </c>
      <c r="N44" s="235">
        <v>20.38</v>
      </c>
      <c r="O44" s="235">
        <v>24.896999999999998</v>
      </c>
      <c r="P44" s="238">
        <v>31.803000000000001</v>
      </c>
      <c r="Q44" s="235">
        <v>34.5</v>
      </c>
      <c r="R44" s="235">
        <v>37.945999999999998</v>
      </c>
      <c r="S44" s="235">
        <v>39.134999999999998</v>
      </c>
      <c r="T44" s="235">
        <v>47.237000000000002</v>
      </c>
      <c r="U44" s="235">
        <v>58.697000000000003</v>
      </c>
      <c r="V44" s="235">
        <v>63.167000000000002</v>
      </c>
      <c r="W44" s="235">
        <v>64.241</v>
      </c>
      <c r="X44" s="235">
        <v>64.390999999999991</v>
      </c>
      <c r="Y44" s="235">
        <v>66.433000000000007</v>
      </c>
      <c r="Z44" s="235">
        <v>62.39</v>
      </c>
      <c r="AA44" s="235">
        <v>72.019000000000005</v>
      </c>
      <c r="AB44" s="235">
        <v>77.022000000000006</v>
      </c>
      <c r="AC44" s="235">
        <v>80.072999999999993</v>
      </c>
      <c r="AD44" s="243">
        <v>90.519000000000005</v>
      </c>
      <c r="AE44" s="183">
        <f t="shared" si="1"/>
        <v>13.045595893746963</v>
      </c>
      <c r="AF44" s="935" t="s">
        <v>138</v>
      </c>
    </row>
    <row r="45" spans="1:32" ht="12.75" customHeight="1">
      <c r="A45" s="8"/>
      <c r="B45" s="119" t="s">
        <v>40</v>
      </c>
      <c r="C45" s="952">
        <v>819.92200000000003</v>
      </c>
      <c r="D45" s="236">
        <v>854.15</v>
      </c>
      <c r="E45" s="236">
        <v>905.12099999999998</v>
      </c>
      <c r="F45" s="236">
        <v>940.93499999999995</v>
      </c>
      <c r="G45" s="236">
        <v>975.74599999999998</v>
      </c>
      <c r="H45" s="237">
        <v>1011.284</v>
      </c>
      <c r="I45" s="237">
        <v>1031.221</v>
      </c>
      <c r="J45" s="236">
        <v>1046.9069999999999</v>
      </c>
      <c r="K45" s="236">
        <v>1073.415</v>
      </c>
      <c r="L45" s="236">
        <v>1218.6769999999999</v>
      </c>
      <c r="M45" s="236">
        <v>1441.066</v>
      </c>
      <c r="N45" s="236">
        <v>1822.8309999999999</v>
      </c>
      <c r="O45" s="236">
        <v>2003.492</v>
      </c>
      <c r="P45" s="236">
        <v>2181.3829999999998</v>
      </c>
      <c r="Q45" s="236">
        <v>2303.261</v>
      </c>
      <c r="R45" s="236">
        <v>2389.4879999999998</v>
      </c>
      <c r="S45" s="236">
        <v>2527.19</v>
      </c>
      <c r="T45" s="236">
        <v>2657.7220000000002</v>
      </c>
      <c r="U45" s="236">
        <v>2722.826</v>
      </c>
      <c r="V45" s="236">
        <v>2828.4659999999999</v>
      </c>
      <c r="W45" s="236">
        <v>2938.364</v>
      </c>
      <c r="X45" s="236">
        <v>3003.7330000000002</v>
      </c>
      <c r="Y45" s="236">
        <v>3103</v>
      </c>
      <c r="Z45" s="236">
        <v>3211.328</v>
      </c>
      <c r="AA45" s="236">
        <v>3331.326</v>
      </c>
      <c r="AB45" s="236">
        <v>3512.576</v>
      </c>
      <c r="AC45" s="236">
        <v>3744.37</v>
      </c>
      <c r="AD45" s="242">
        <v>4141.9139999999998</v>
      </c>
      <c r="AE45" s="206">
        <f t="shared" si="1"/>
        <v>10.617113159223052</v>
      </c>
      <c r="AF45" s="939" t="s">
        <v>40</v>
      </c>
    </row>
    <row r="46" spans="1:32" s="407" customFormat="1" ht="12.75" customHeight="1">
      <c r="A46" s="203"/>
      <c r="B46" s="11" t="s">
        <v>312</v>
      </c>
      <c r="C46" s="895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247"/>
      <c r="T46" s="247"/>
      <c r="U46" s="247"/>
      <c r="V46" s="247"/>
      <c r="W46" s="247"/>
      <c r="X46" s="247"/>
      <c r="Y46" s="247"/>
      <c r="Z46" s="247"/>
      <c r="AA46" s="247"/>
      <c r="AB46" s="247"/>
      <c r="AC46" s="247"/>
      <c r="AD46" s="1085"/>
      <c r="AE46" s="186"/>
      <c r="AF46" s="11" t="s">
        <v>312</v>
      </c>
    </row>
    <row r="47" spans="1:32" ht="12.75" customHeight="1">
      <c r="A47" s="8"/>
      <c r="B47" s="119" t="s">
        <v>44</v>
      </c>
      <c r="C47" s="952">
        <v>714</v>
      </c>
      <c r="D47" s="236">
        <v>752</v>
      </c>
      <c r="E47" s="236">
        <v>766</v>
      </c>
      <c r="F47" s="237">
        <v>828</v>
      </c>
      <c r="G47" s="236">
        <v>905</v>
      </c>
      <c r="H47" s="236">
        <v>971</v>
      </c>
      <c r="I47" s="236">
        <v>1028</v>
      </c>
      <c r="J47" s="236">
        <v>1090</v>
      </c>
      <c r="K47" s="236">
        <v>1162</v>
      </c>
      <c r="L47" s="236">
        <v>1218</v>
      </c>
      <c r="M47" s="236">
        <v>1235</v>
      </c>
      <c r="N47" s="236">
        <v>1239.5999999999999</v>
      </c>
      <c r="O47" s="236">
        <v>1280.3</v>
      </c>
      <c r="P47" s="237">
        <v>1305.5999999999999</v>
      </c>
      <c r="Q47" s="236">
        <v>1306.7559999999999</v>
      </c>
      <c r="R47" s="236">
        <v>1264.4010000000001</v>
      </c>
      <c r="S47" s="236">
        <v>1266.836</v>
      </c>
      <c r="T47" s="236">
        <v>1251.798</v>
      </c>
      <c r="U47" s="236">
        <v>1243.7450000000001</v>
      </c>
      <c r="V47" s="236">
        <v>1240.2</v>
      </c>
      <c r="W47" s="236">
        <v>1253.0999999999999</v>
      </c>
      <c r="X47" s="236">
        <v>1270.2</v>
      </c>
      <c r="Y47" s="236">
        <v>1255.8599999999999</v>
      </c>
      <c r="Z47" s="236">
        <v>1265.0999999999999</v>
      </c>
      <c r="AA47" s="236">
        <v>1273.4000000000001</v>
      </c>
      <c r="AB47" s="245">
        <v>1297.8019999999999</v>
      </c>
      <c r="AC47" s="245">
        <v>1341.566</v>
      </c>
      <c r="AD47" s="242">
        <v>1363.7</v>
      </c>
      <c r="AE47" s="206">
        <f t="shared" si="1"/>
        <v>1.6498629213918719</v>
      </c>
      <c r="AF47" s="939" t="s">
        <v>44</v>
      </c>
    </row>
    <row r="48" spans="1:32" ht="12.75" customHeight="1">
      <c r="A48" s="8"/>
      <c r="B48" s="1309" t="s">
        <v>309</v>
      </c>
      <c r="C48" s="1310"/>
      <c r="D48" s="1310"/>
      <c r="E48" s="1310"/>
      <c r="F48" s="1310"/>
      <c r="G48" s="1310"/>
      <c r="H48" s="1310"/>
      <c r="I48" s="1310"/>
      <c r="J48" s="1310"/>
      <c r="K48" s="1310"/>
      <c r="L48" s="1310"/>
      <c r="M48" s="1310"/>
      <c r="N48" s="1310"/>
      <c r="O48" s="1310"/>
      <c r="P48" s="1310"/>
      <c r="Q48" s="1310"/>
      <c r="R48" s="1310"/>
      <c r="S48" s="1310"/>
      <c r="T48" s="1310"/>
      <c r="U48" s="1310"/>
      <c r="V48" s="1310"/>
      <c r="W48" s="1310"/>
      <c r="X48" s="1310"/>
      <c r="Y48" s="1310"/>
      <c r="Z48" s="1310"/>
      <c r="AA48" s="1310"/>
      <c r="AB48" s="1310"/>
      <c r="AC48" s="1310"/>
      <c r="AD48" s="1310"/>
      <c r="AE48" s="1310"/>
      <c r="AF48" s="1310"/>
    </row>
    <row r="49" spans="1:32" ht="12.75" customHeight="1">
      <c r="A49" s="8"/>
      <c r="B49" s="1311" t="s">
        <v>290</v>
      </c>
      <c r="C49" s="1289"/>
      <c r="D49" s="1289"/>
      <c r="E49" s="1289"/>
      <c r="F49" s="1289"/>
      <c r="G49" s="1289"/>
      <c r="H49" s="1289"/>
      <c r="I49" s="1289"/>
      <c r="J49" s="1289"/>
      <c r="K49" s="1289"/>
      <c r="L49" s="1289"/>
      <c r="M49" s="1289"/>
      <c r="N49" s="1289"/>
      <c r="O49" s="1289"/>
      <c r="P49" s="1289"/>
      <c r="Q49" s="1289"/>
      <c r="R49" s="1289"/>
      <c r="S49" s="1289"/>
      <c r="T49" s="1289"/>
      <c r="U49" s="1289"/>
      <c r="V49" s="1289"/>
      <c r="W49" s="1289"/>
      <c r="X49" s="1289"/>
      <c r="Y49" s="1289"/>
      <c r="Z49" s="1289"/>
      <c r="AA49" s="1289"/>
      <c r="AB49" s="1289"/>
      <c r="AC49" s="1289"/>
      <c r="AD49" s="1289"/>
      <c r="AE49" s="1289"/>
      <c r="AF49" s="1289"/>
    </row>
    <row r="50" spans="1:32" ht="11.25" customHeight="1">
      <c r="A50" s="8"/>
      <c r="B50" s="1312" t="s">
        <v>126</v>
      </c>
      <c r="C50" s="1312"/>
      <c r="D50" s="1312"/>
      <c r="E50" s="1312"/>
      <c r="F50" s="1312"/>
      <c r="G50" s="1312"/>
      <c r="H50" s="1312"/>
      <c r="I50" s="1312"/>
      <c r="J50" s="1312"/>
      <c r="K50" s="1312"/>
      <c r="L50" s="1312"/>
      <c r="M50" s="1312"/>
      <c r="N50" s="1312"/>
      <c r="O50" s="1312"/>
      <c r="P50" s="1312"/>
      <c r="Q50" s="1312"/>
      <c r="R50" s="1312"/>
      <c r="S50" s="1312"/>
      <c r="T50" s="1312"/>
      <c r="U50" s="1312"/>
      <c r="V50" s="1312"/>
      <c r="W50" s="1312"/>
      <c r="X50" s="1312"/>
      <c r="Y50" s="1312"/>
      <c r="Z50" s="1312"/>
      <c r="AA50" s="1312"/>
      <c r="AB50" s="1312"/>
      <c r="AC50" s="1312"/>
      <c r="AD50" s="1312"/>
      <c r="AE50" s="1312"/>
      <c r="AF50" s="1312"/>
    </row>
    <row r="51" spans="1:32" ht="12.75" customHeight="1">
      <c r="B51" s="1312" t="s">
        <v>128</v>
      </c>
      <c r="C51" s="1312"/>
      <c r="D51" s="1312"/>
      <c r="E51" s="1312"/>
      <c r="F51" s="1312"/>
      <c r="G51" s="1312"/>
      <c r="H51" s="1312"/>
      <c r="I51" s="1312"/>
      <c r="J51" s="1312"/>
      <c r="K51" s="1312"/>
      <c r="L51" s="1312"/>
      <c r="M51" s="1312"/>
      <c r="N51" s="1312"/>
      <c r="O51" s="1312"/>
      <c r="P51" s="1312"/>
      <c r="Q51" s="1312"/>
      <c r="R51" s="1312"/>
      <c r="S51" s="1312"/>
      <c r="T51" s="1312"/>
      <c r="U51" s="1312"/>
      <c r="V51" s="1312"/>
      <c r="W51" s="1312"/>
      <c r="X51" s="1312"/>
      <c r="Y51" s="1312"/>
      <c r="Z51" s="1312"/>
      <c r="AA51" s="1312"/>
      <c r="AB51" s="1312"/>
      <c r="AC51" s="1312"/>
      <c r="AD51" s="1312"/>
      <c r="AE51" s="1312"/>
      <c r="AF51" s="1312"/>
    </row>
    <row r="52" spans="1:32" ht="12.75" customHeight="1">
      <c r="B52" s="1312" t="s">
        <v>307</v>
      </c>
      <c r="C52" s="1312"/>
      <c r="D52" s="1312"/>
      <c r="E52" s="1312"/>
      <c r="F52" s="1312"/>
      <c r="G52" s="1312"/>
      <c r="H52" s="1312"/>
      <c r="I52" s="1312"/>
      <c r="J52" s="1312"/>
      <c r="K52" s="1312"/>
      <c r="L52" s="1312"/>
      <c r="M52" s="1312"/>
      <c r="N52" s="1312"/>
      <c r="O52" s="1312"/>
      <c r="P52" s="1312"/>
      <c r="Q52" s="1312"/>
      <c r="R52" s="1312"/>
      <c r="S52" s="1312"/>
      <c r="T52" s="1312"/>
      <c r="U52" s="1312"/>
      <c r="V52" s="1312"/>
      <c r="W52" s="1312"/>
      <c r="X52" s="1312"/>
      <c r="Y52" s="1312"/>
      <c r="Z52" s="1312"/>
      <c r="AA52" s="1312"/>
      <c r="AB52" s="1312"/>
      <c r="AC52" s="1312"/>
      <c r="AD52" s="1312"/>
      <c r="AE52" s="1312"/>
      <c r="AF52" s="1312"/>
    </row>
    <row r="53" spans="1:32" ht="12.75" customHeight="1">
      <c r="B53" s="1312" t="s">
        <v>305</v>
      </c>
      <c r="C53" s="1312"/>
      <c r="D53" s="1312"/>
      <c r="E53" s="1312"/>
      <c r="F53" s="1312"/>
      <c r="G53" s="1312"/>
      <c r="H53" s="1312"/>
      <c r="I53" s="1312"/>
      <c r="J53" s="1312"/>
      <c r="K53" s="1312"/>
      <c r="L53" s="1312"/>
      <c r="M53" s="1312"/>
      <c r="N53" s="1312"/>
      <c r="O53" s="1312"/>
      <c r="P53" s="1312"/>
      <c r="Q53" s="1312"/>
      <c r="R53" s="1312"/>
      <c r="S53" s="1312"/>
      <c r="T53" s="1312"/>
      <c r="U53" s="1312"/>
      <c r="V53" s="1312"/>
      <c r="W53" s="1312"/>
      <c r="X53" s="1312"/>
      <c r="Y53" s="1312"/>
      <c r="Z53" s="1312"/>
      <c r="AA53" s="1312"/>
      <c r="AB53" s="1312"/>
      <c r="AC53" s="1312"/>
      <c r="AD53" s="1312"/>
      <c r="AE53" s="1312"/>
      <c r="AF53" s="1312"/>
    </row>
    <row r="54" spans="1:32" ht="12.75" customHeight="1">
      <c r="B54" s="1312" t="s">
        <v>306</v>
      </c>
      <c r="C54" s="1312"/>
      <c r="D54" s="1312"/>
      <c r="E54" s="1312"/>
      <c r="F54" s="1312"/>
      <c r="G54" s="1312"/>
      <c r="H54" s="1312"/>
      <c r="I54" s="1312"/>
      <c r="J54" s="1312"/>
      <c r="K54" s="1312"/>
      <c r="L54" s="1312"/>
      <c r="M54" s="1312"/>
      <c r="N54" s="1312"/>
      <c r="O54" s="1312"/>
      <c r="P54" s="1312"/>
      <c r="Q54" s="1312"/>
      <c r="R54" s="1312"/>
      <c r="S54" s="1312"/>
      <c r="T54" s="1312"/>
      <c r="U54" s="1312"/>
      <c r="V54" s="1312"/>
      <c r="W54" s="1312"/>
      <c r="X54" s="1312"/>
      <c r="Y54" s="1312"/>
      <c r="Z54" s="1312"/>
      <c r="AA54" s="1312"/>
      <c r="AB54" s="1312"/>
      <c r="AC54" s="1312"/>
      <c r="AD54" s="1312"/>
      <c r="AE54" s="1312"/>
      <c r="AF54" s="1312"/>
    </row>
    <row r="55" spans="1:32">
      <c r="B55" s="1312"/>
      <c r="C55" s="1312"/>
      <c r="D55" s="1312"/>
      <c r="E55" s="1312"/>
      <c r="F55" s="1312"/>
      <c r="G55" s="1312"/>
      <c r="H55" s="1312"/>
      <c r="I55" s="1312"/>
      <c r="J55" s="1312"/>
      <c r="K55" s="1312"/>
      <c r="L55" s="1312"/>
      <c r="M55" s="1312"/>
      <c r="N55" s="1312"/>
      <c r="O55" s="1312"/>
      <c r="P55" s="1312"/>
      <c r="Q55" s="1312"/>
      <c r="R55" s="1312"/>
      <c r="S55" s="1312"/>
      <c r="T55" s="1312"/>
      <c r="U55" s="1312"/>
      <c r="V55" s="1312"/>
      <c r="W55" s="1312"/>
      <c r="X55" s="1312"/>
      <c r="Y55" s="1312"/>
      <c r="Z55" s="1312"/>
      <c r="AA55" s="1312"/>
      <c r="AB55" s="1312"/>
      <c r="AC55" s="1312"/>
      <c r="AD55" s="1312"/>
      <c r="AE55" s="1312"/>
      <c r="AF55" s="1312"/>
    </row>
  </sheetData>
  <mergeCells count="11">
    <mergeCell ref="B55:AF55"/>
    <mergeCell ref="B54:AF54"/>
    <mergeCell ref="B52:AF52"/>
    <mergeCell ref="B53:AF53"/>
    <mergeCell ref="B51:AF51"/>
    <mergeCell ref="B2:AF2"/>
    <mergeCell ref="B3:AF3"/>
    <mergeCell ref="B48:AF48"/>
    <mergeCell ref="B49:AF49"/>
    <mergeCell ref="B50:AF50"/>
    <mergeCell ref="AA4:AE4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scale="84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A55"/>
  <sheetViews>
    <sheetView workbookViewId="0">
      <selection activeCell="BE8" sqref="BE8"/>
    </sheetView>
  </sheetViews>
  <sheetFormatPr defaultRowHeight="12.75"/>
  <cols>
    <col min="1" max="2" width="4" customWidth="1"/>
    <col min="3" max="4" width="8.7109375" style="111" hidden="1" customWidth="1"/>
    <col min="5" max="5" width="9.7109375" style="111" hidden="1" customWidth="1"/>
    <col min="6" max="9" width="8.7109375" style="111" hidden="1" customWidth="1"/>
    <col min="10" max="16" width="9.7109375" style="111" hidden="1" customWidth="1"/>
    <col min="17" max="17" width="8" style="111" hidden="1" customWidth="1"/>
    <col min="18" max="22" width="8.140625" customWidth="1"/>
    <col min="23" max="23" width="7.140625" customWidth="1"/>
    <col min="24" max="24" width="6.85546875" customWidth="1"/>
    <col min="25" max="25" width="8.140625" customWidth="1"/>
    <col min="26" max="27" width="6.85546875" customWidth="1"/>
    <col min="28" max="28" width="7.85546875" customWidth="1"/>
    <col min="29" max="29" width="7" hidden="1" customWidth="1"/>
    <col min="30" max="31" width="6.85546875" hidden="1" customWidth="1"/>
    <col min="32" max="41" width="7.140625" hidden="1" customWidth="1"/>
    <col min="42" max="42" width="6" customWidth="1"/>
    <col min="43" max="45" width="7.140625" hidden="1" customWidth="1"/>
    <col min="46" max="46" width="6.5703125" hidden="1" customWidth="1"/>
    <col min="47" max="47" width="4.85546875" hidden="1" customWidth="1"/>
    <col min="48" max="48" width="5.7109375" hidden="1" customWidth="1"/>
    <col min="49" max="50" width="5.42578125" customWidth="1"/>
    <col min="51" max="51" width="5.85546875" customWidth="1"/>
    <col min="52" max="52" width="0.7109375" customWidth="1"/>
    <col min="53" max="53" width="6.5703125" style="436" customWidth="1"/>
  </cols>
  <sheetData>
    <row r="1" spans="1:53" ht="14.25" customHeight="1">
      <c r="B1" s="1314" t="s">
        <v>107</v>
      </c>
      <c r="C1" s="1314"/>
      <c r="D1" s="1314"/>
      <c r="E1" s="1314"/>
      <c r="F1" s="1314"/>
      <c r="G1" s="1314"/>
      <c r="H1" s="1314"/>
      <c r="I1" s="1314"/>
      <c r="J1" s="1314"/>
      <c r="K1" s="1314"/>
      <c r="L1" s="1314"/>
      <c r="M1" s="1314"/>
      <c r="N1" s="1314"/>
      <c r="O1" s="1314"/>
      <c r="P1" s="1314"/>
      <c r="Q1" s="1314"/>
      <c r="R1" s="1314"/>
      <c r="S1" s="1314"/>
      <c r="T1" s="1314"/>
      <c r="U1" s="1314"/>
      <c r="V1" s="1314"/>
      <c r="W1" s="1314"/>
      <c r="X1" s="1314"/>
      <c r="Y1" s="1314"/>
      <c r="Z1" s="1314"/>
      <c r="AA1" s="1314"/>
      <c r="AB1" s="1314"/>
      <c r="AC1" s="1314"/>
      <c r="AD1" s="1314"/>
      <c r="AE1" s="1314"/>
      <c r="AF1" s="1314"/>
      <c r="AG1" s="1314"/>
      <c r="AH1" s="1314"/>
      <c r="AI1" s="1314"/>
      <c r="AJ1" s="1314"/>
      <c r="AK1" s="1314"/>
      <c r="AL1" s="1314"/>
      <c r="AM1" s="1314"/>
      <c r="AN1" s="1314"/>
      <c r="AO1" s="1314"/>
      <c r="AP1" s="1314"/>
      <c r="AQ1" s="1314"/>
      <c r="AR1" s="1314"/>
      <c r="AS1" s="1314"/>
      <c r="AT1" s="1314"/>
      <c r="AU1" s="1314"/>
      <c r="AV1" s="1314"/>
      <c r="AW1" s="1314"/>
      <c r="AX1" s="1314"/>
      <c r="AY1" s="1314"/>
      <c r="AZ1" s="1314"/>
      <c r="BA1" s="1314"/>
    </row>
    <row r="2" spans="1:53" s="482" customFormat="1" ht="30" customHeight="1">
      <c r="B2" s="1315" t="s">
        <v>261</v>
      </c>
      <c r="C2" s="1315"/>
      <c r="D2" s="1315"/>
      <c r="E2" s="1315"/>
      <c r="F2" s="1315"/>
      <c r="G2" s="1315"/>
      <c r="H2" s="1315"/>
      <c r="I2" s="1315"/>
      <c r="J2" s="1315"/>
      <c r="K2" s="1315"/>
      <c r="L2" s="1315"/>
      <c r="M2" s="1315"/>
      <c r="N2" s="1315"/>
      <c r="O2" s="1315"/>
      <c r="P2" s="1315"/>
      <c r="Q2" s="1315"/>
      <c r="R2" s="1315"/>
      <c r="S2" s="1315"/>
      <c r="T2" s="1315"/>
      <c r="U2" s="1315"/>
      <c r="V2" s="1315"/>
      <c r="W2" s="1315"/>
      <c r="X2" s="1315"/>
      <c r="Y2" s="1315"/>
      <c r="Z2" s="1315"/>
      <c r="AA2" s="1315"/>
      <c r="AB2" s="1315"/>
      <c r="AC2" s="1315"/>
      <c r="AD2" s="1315"/>
      <c r="AE2" s="1315"/>
      <c r="AF2" s="1315"/>
      <c r="AG2" s="1315"/>
      <c r="AH2" s="1315"/>
      <c r="AI2" s="1315"/>
      <c r="AJ2" s="1315"/>
      <c r="AK2" s="1315"/>
      <c r="AL2" s="1315"/>
      <c r="AM2" s="1315"/>
      <c r="AN2" s="1315"/>
      <c r="AO2" s="1315"/>
      <c r="AP2" s="1315"/>
      <c r="AQ2" s="1315"/>
      <c r="AR2" s="1315"/>
      <c r="AS2" s="1315"/>
      <c r="AT2" s="1315"/>
      <c r="AU2" s="1315"/>
      <c r="AV2" s="1315"/>
      <c r="AW2" s="1315"/>
      <c r="AX2" s="1315"/>
      <c r="AY2" s="1315"/>
      <c r="AZ2" s="1315"/>
      <c r="BA2" s="1315"/>
    </row>
    <row r="3" spans="1:53" ht="15" customHeight="1">
      <c r="B3" s="1316" t="s">
        <v>72</v>
      </c>
      <c r="C3" s="1316"/>
      <c r="D3" s="1316"/>
      <c r="E3" s="1316"/>
      <c r="F3" s="1316"/>
      <c r="G3" s="1316"/>
      <c r="H3" s="1316"/>
      <c r="I3" s="1316"/>
      <c r="J3" s="1316"/>
      <c r="K3" s="1316"/>
      <c r="L3" s="1316"/>
      <c r="M3" s="1316"/>
      <c r="N3" s="1316"/>
      <c r="O3" s="1316"/>
      <c r="P3" s="1316"/>
      <c r="Q3" s="1316"/>
      <c r="R3" s="1316"/>
      <c r="S3" s="1316"/>
      <c r="T3" s="1316"/>
      <c r="U3" s="1316"/>
      <c r="V3" s="1316"/>
      <c r="W3" s="1316"/>
      <c r="X3" s="1316"/>
      <c r="Y3" s="1316"/>
      <c r="Z3" s="1316"/>
      <c r="AA3" s="1316"/>
      <c r="AB3" s="1316"/>
      <c r="AC3" s="1316"/>
      <c r="AD3" s="1316"/>
      <c r="AE3" s="1316"/>
      <c r="AF3" s="1316"/>
      <c r="AG3" s="1316"/>
      <c r="AH3" s="1316"/>
      <c r="AI3" s="1316"/>
      <c r="AJ3" s="1316"/>
      <c r="AK3" s="1316"/>
      <c r="AL3" s="1316"/>
      <c r="AM3" s="1316"/>
      <c r="AN3" s="1316"/>
      <c r="AO3" s="1316"/>
      <c r="AP3" s="1316"/>
      <c r="AQ3" s="1316"/>
      <c r="AR3" s="1316"/>
      <c r="AS3" s="1316"/>
      <c r="AT3" s="1316"/>
      <c r="AU3" s="1316"/>
      <c r="AV3" s="1316"/>
      <c r="AW3" s="1316"/>
      <c r="AX3" s="1316"/>
      <c r="AY3" s="1316"/>
      <c r="AZ3" s="1316"/>
      <c r="BA3" s="1316"/>
    </row>
    <row r="4" spans="1:53" ht="23.25" customHeight="1">
      <c r="B4" s="4"/>
      <c r="C4" s="1321" t="s">
        <v>1</v>
      </c>
      <c r="D4" s="1321"/>
      <c r="E4" s="1321"/>
      <c r="F4" s="1321"/>
      <c r="G4" s="1321"/>
      <c r="H4" s="1321"/>
      <c r="I4" s="1321"/>
      <c r="J4" s="1321"/>
      <c r="K4" s="1321"/>
      <c r="L4" s="1321"/>
      <c r="M4" s="1321"/>
      <c r="N4" s="1321"/>
      <c r="O4" s="1321"/>
      <c r="P4" s="1321"/>
      <c r="Q4" s="1321"/>
      <c r="R4" s="1321"/>
      <c r="S4" s="1321"/>
      <c r="T4" s="1321"/>
      <c r="U4" s="1321"/>
      <c r="V4" s="1321"/>
      <c r="W4" s="1321"/>
      <c r="X4" s="1321"/>
      <c r="Y4" s="1321"/>
      <c r="Z4" s="1321"/>
      <c r="AA4" s="1321"/>
      <c r="AB4" s="1321"/>
      <c r="AC4" s="1318" t="s">
        <v>326</v>
      </c>
      <c r="AD4" s="1318"/>
      <c r="AE4" s="1318"/>
      <c r="AF4" s="1318"/>
      <c r="AG4" s="1318"/>
      <c r="AH4" s="1318"/>
      <c r="AI4" s="1318"/>
      <c r="AJ4" s="1318"/>
      <c r="AK4" s="1318"/>
      <c r="AL4" s="1318"/>
      <c r="AM4" s="900"/>
      <c r="AN4" s="1322" t="s">
        <v>341</v>
      </c>
      <c r="AO4" s="1322"/>
      <c r="AP4" s="1322"/>
      <c r="AQ4" s="1322"/>
      <c r="AR4" s="1322"/>
      <c r="AS4" s="1322"/>
      <c r="AT4" s="1322"/>
      <c r="AU4" s="1322"/>
      <c r="AV4" s="1322"/>
      <c r="AW4" s="1322"/>
      <c r="AX4" s="1322"/>
      <c r="AY4" s="7"/>
    </row>
    <row r="5" spans="1:53" ht="31.5" customHeight="1">
      <c r="B5" s="4"/>
      <c r="C5" s="131">
        <v>1998</v>
      </c>
      <c r="D5" s="132">
        <v>1999</v>
      </c>
      <c r="E5" s="132">
        <v>2000</v>
      </c>
      <c r="F5" s="132">
        <v>2001</v>
      </c>
      <c r="G5" s="132">
        <v>2002</v>
      </c>
      <c r="H5" s="132">
        <v>2003</v>
      </c>
      <c r="I5" s="132">
        <v>2004</v>
      </c>
      <c r="J5" s="132">
        <v>2005</v>
      </c>
      <c r="K5" s="132">
        <v>2006</v>
      </c>
      <c r="L5" s="132">
        <v>2007</v>
      </c>
      <c r="M5" s="132">
        <v>2008</v>
      </c>
      <c r="N5" s="132">
        <v>2009</v>
      </c>
      <c r="O5" s="132">
        <v>2010</v>
      </c>
      <c r="P5" s="132">
        <v>2011</v>
      </c>
      <c r="Q5" s="132">
        <v>2012</v>
      </c>
      <c r="R5" s="132">
        <v>2013</v>
      </c>
      <c r="S5" s="132">
        <v>2014</v>
      </c>
      <c r="T5" s="132">
        <v>2015</v>
      </c>
      <c r="U5" s="132">
        <v>2016</v>
      </c>
      <c r="V5" s="370">
        <v>2017</v>
      </c>
      <c r="W5" s="132">
        <v>2018</v>
      </c>
      <c r="X5" s="366">
        <v>2019</v>
      </c>
      <c r="Y5" s="370">
        <v>2020</v>
      </c>
      <c r="Z5" s="370">
        <v>2021</v>
      </c>
      <c r="AA5" s="370">
        <v>2022</v>
      </c>
      <c r="AB5" s="450">
        <v>2023</v>
      </c>
      <c r="AC5" s="366">
        <v>2013</v>
      </c>
      <c r="AD5" s="366">
        <v>2014</v>
      </c>
      <c r="AE5" s="366">
        <v>2015</v>
      </c>
      <c r="AF5" s="366">
        <v>2016</v>
      </c>
      <c r="AG5" s="370">
        <v>2017</v>
      </c>
      <c r="AH5" s="132">
        <v>2018</v>
      </c>
      <c r="AI5" s="366">
        <v>2019</v>
      </c>
      <c r="AJ5" s="370">
        <v>2020</v>
      </c>
      <c r="AK5" s="370">
        <v>2021</v>
      </c>
      <c r="AL5" s="370">
        <v>2022</v>
      </c>
      <c r="AM5" s="450">
        <v>2023</v>
      </c>
      <c r="AN5" s="366">
        <v>2013</v>
      </c>
      <c r="AO5" s="366">
        <v>2014</v>
      </c>
      <c r="AP5" s="366">
        <v>2015</v>
      </c>
      <c r="AQ5" s="366">
        <v>2016</v>
      </c>
      <c r="AR5" s="370">
        <v>2017</v>
      </c>
      <c r="AS5" s="132">
        <v>2018</v>
      </c>
      <c r="AT5" s="366">
        <v>2019</v>
      </c>
      <c r="AU5" s="366">
        <v>2020</v>
      </c>
      <c r="AV5" s="132">
        <v>2021</v>
      </c>
      <c r="AW5" s="370">
        <v>2022</v>
      </c>
      <c r="AX5" s="366">
        <v>2023</v>
      </c>
      <c r="AY5" s="856"/>
      <c r="AZ5" s="381"/>
      <c r="BA5" s="332" t="s">
        <v>348</v>
      </c>
    </row>
    <row r="6" spans="1:53" ht="12.75" customHeight="1">
      <c r="A6" s="381"/>
      <c r="B6" s="903" t="s">
        <v>238</v>
      </c>
      <c r="C6" s="399"/>
      <c r="D6" s="399"/>
      <c r="E6" s="249"/>
      <c r="F6" s="249"/>
      <c r="G6" s="249"/>
      <c r="H6" s="249">
        <v>12378.786</v>
      </c>
      <c r="I6" s="249">
        <v>12681.287000000004</v>
      </c>
      <c r="J6" s="249">
        <v>12754.580000000002</v>
      </c>
      <c r="K6" s="249">
        <v>13219.980999999998</v>
      </c>
      <c r="L6" s="249">
        <v>13307.153000000002</v>
      </c>
      <c r="M6" s="249">
        <v>12325.330000000005</v>
      </c>
      <c r="N6" s="249">
        <v>12237.844000000001</v>
      </c>
      <c r="O6" s="249">
        <v>11407.397999999999</v>
      </c>
      <c r="P6" s="249">
        <v>11274.723000000004</v>
      </c>
      <c r="Q6" s="398">
        <v>10059.255999999998</v>
      </c>
      <c r="R6" s="398">
        <v>9656.3060000000023</v>
      </c>
      <c r="S6" s="398">
        <v>10098.892999999998</v>
      </c>
      <c r="T6" s="398">
        <v>11146.773999999998</v>
      </c>
      <c r="U6" s="398">
        <v>12035.832000000002</v>
      </c>
      <c r="V6" s="398">
        <v>12839.176000000003</v>
      </c>
      <c r="W6" s="398">
        <v>13098.745999999999</v>
      </c>
      <c r="X6" s="398">
        <v>13321.929</v>
      </c>
      <c r="Y6" s="398">
        <v>10131.015000000001</v>
      </c>
      <c r="Z6" s="398">
        <v>9881.857</v>
      </c>
      <c r="AA6" s="398">
        <v>9360.7060000000001</v>
      </c>
      <c r="AB6" s="455">
        <v>10618.155999999999</v>
      </c>
      <c r="AC6" s="398">
        <v>21.914999999999999</v>
      </c>
      <c r="AD6" s="398">
        <v>30.913000000000004</v>
      </c>
      <c r="AE6" s="398">
        <v>46.76700000000001</v>
      </c>
      <c r="AF6" s="398">
        <v>53.647999999999996</v>
      </c>
      <c r="AG6" s="398">
        <v>84.054000000000016</v>
      </c>
      <c r="AH6" s="398">
        <v>134.72899999999998</v>
      </c>
      <c r="AI6" s="398">
        <v>250.56199999999998</v>
      </c>
      <c r="AJ6" s="398">
        <v>539.77800000000002</v>
      </c>
      <c r="AK6" s="398">
        <v>886.16399999999999</v>
      </c>
      <c r="AL6" s="398">
        <v>1130.9909999999998</v>
      </c>
      <c r="AM6" s="455">
        <v>1547.93</v>
      </c>
      <c r="AN6" s="398">
        <v>0.22695014014675999</v>
      </c>
      <c r="AO6" s="398">
        <v>0.30610285701611067</v>
      </c>
      <c r="AP6" s="398">
        <v>0.41955636671201929</v>
      </c>
      <c r="AQ6" s="398">
        <v>0.44573569986686407</v>
      </c>
      <c r="AR6" s="398">
        <v>0.65466818119792103</v>
      </c>
      <c r="AS6" s="398">
        <v>1.0285641083505244</v>
      </c>
      <c r="AT6" s="398">
        <v>1.8808237155444978</v>
      </c>
      <c r="AU6" s="398">
        <v>5.3279755286118915</v>
      </c>
      <c r="AV6" s="398">
        <v>8.9675857483062149</v>
      </c>
      <c r="AW6" s="398">
        <v>12.082325841661941</v>
      </c>
      <c r="AX6" s="455">
        <v>14.578143323567671</v>
      </c>
      <c r="AY6" s="44" t="s">
        <v>238</v>
      </c>
      <c r="AZ6" s="381"/>
      <c r="BA6" s="406">
        <v>13.433281634953588</v>
      </c>
    </row>
    <row r="7" spans="1:53" ht="12.75" customHeight="1">
      <c r="B7" s="134" t="s">
        <v>45</v>
      </c>
      <c r="C7" s="107">
        <v>452.12900000000002</v>
      </c>
      <c r="D7" s="102">
        <v>489.62099999999998</v>
      </c>
      <c r="E7" s="251">
        <v>515.20399999999995</v>
      </c>
      <c r="F7" s="251">
        <v>488.68299999999999</v>
      </c>
      <c r="G7" s="251">
        <v>467.56900000000002</v>
      </c>
      <c r="H7" s="251">
        <v>458.79599999999999</v>
      </c>
      <c r="I7" s="251">
        <v>484.75700000000001</v>
      </c>
      <c r="J7" s="251">
        <v>480.08800000000002</v>
      </c>
      <c r="K7" s="251">
        <v>526.14099999999996</v>
      </c>
      <c r="L7" s="251">
        <v>524.79499999999996</v>
      </c>
      <c r="M7" s="251">
        <v>535.947</v>
      </c>
      <c r="N7" s="251">
        <v>476.19400000000002</v>
      </c>
      <c r="O7" s="251">
        <v>547.34</v>
      </c>
      <c r="P7" s="251">
        <v>572.21100000000001</v>
      </c>
      <c r="Q7" s="859">
        <v>487.37700000000001</v>
      </c>
      <c r="R7" s="806">
        <v>490.36900000000003</v>
      </c>
      <c r="S7" s="806">
        <v>487.71100000000001</v>
      </c>
      <c r="T7" s="806">
        <v>506.28399999999999</v>
      </c>
      <c r="U7" s="801">
        <v>546.14200000000005</v>
      </c>
      <c r="V7" s="801">
        <v>553.69200000000001</v>
      </c>
      <c r="W7" s="801">
        <v>557.48699999999997</v>
      </c>
      <c r="X7" s="801">
        <v>558.00300000000004</v>
      </c>
      <c r="Y7" s="801">
        <v>439.03800000000001</v>
      </c>
      <c r="Z7" s="801">
        <v>392.76900000000001</v>
      </c>
      <c r="AA7" s="801">
        <v>374.59699999999998</v>
      </c>
      <c r="AB7" s="994">
        <v>484.63900000000001</v>
      </c>
      <c r="AC7" s="801">
        <v>0.501</v>
      </c>
      <c r="AD7" s="801">
        <v>1.1679999999999999</v>
      </c>
      <c r="AE7" s="104">
        <v>1.36</v>
      </c>
      <c r="AF7" s="104">
        <v>2.0609999999999999</v>
      </c>
      <c r="AG7" s="104">
        <v>2.7170000000000001</v>
      </c>
      <c r="AH7" s="104">
        <v>3.7629999999999999</v>
      </c>
      <c r="AI7" s="104">
        <v>8.8960000000000008</v>
      </c>
      <c r="AJ7" s="104">
        <v>15.045999999999999</v>
      </c>
      <c r="AK7" s="104">
        <v>22.774999999999999</v>
      </c>
      <c r="AL7" s="104">
        <v>37.762</v>
      </c>
      <c r="AM7" s="130">
        <v>93.483000000000004</v>
      </c>
      <c r="AN7" s="801">
        <v>0.10216795923070177</v>
      </c>
      <c r="AO7" s="801">
        <v>0.23948608909784685</v>
      </c>
      <c r="AP7" s="104">
        <v>0.26862393439255439</v>
      </c>
      <c r="AQ7" s="104">
        <v>0.37737438248660599</v>
      </c>
      <c r="AR7" s="104">
        <v>0.49070602428787125</v>
      </c>
      <c r="AS7" s="104">
        <v>0.67499331822984221</v>
      </c>
      <c r="AT7" s="104">
        <v>1.5942566617025355</v>
      </c>
      <c r="AU7" s="104">
        <v>3.4270382062600504</v>
      </c>
      <c r="AV7" s="104">
        <v>5.7985737163574509</v>
      </c>
      <c r="AW7" s="104">
        <v>10.080700058996737</v>
      </c>
      <c r="AX7" s="130">
        <v>19.289202891224189</v>
      </c>
      <c r="AY7" s="134" t="s">
        <v>45</v>
      </c>
      <c r="AZ7" s="381"/>
      <c r="BA7" s="483">
        <v>29.3761028518648</v>
      </c>
    </row>
    <row r="8" spans="1:53" ht="12.75" customHeight="1">
      <c r="B8" s="133" t="s">
        <v>28</v>
      </c>
      <c r="C8" s="108"/>
      <c r="D8" s="103"/>
      <c r="E8" s="253"/>
      <c r="F8" s="253"/>
      <c r="G8" s="253">
        <v>13.82</v>
      </c>
      <c r="H8" s="253">
        <v>16.64</v>
      </c>
      <c r="I8" s="253">
        <v>24.91</v>
      </c>
      <c r="J8" s="253">
        <v>32.700000000000003</v>
      </c>
      <c r="K8" s="253">
        <v>32.481000000000002</v>
      </c>
      <c r="L8" s="253">
        <v>41.042000000000002</v>
      </c>
      <c r="M8" s="253">
        <v>43.758000000000003</v>
      </c>
      <c r="N8" s="253">
        <v>24.972000000000001</v>
      </c>
      <c r="O8" s="253">
        <v>15.646000000000001</v>
      </c>
      <c r="P8" s="260">
        <v>18.631</v>
      </c>
      <c r="Q8" s="262">
        <v>19.751999999999999</v>
      </c>
      <c r="R8" s="803">
        <v>15.114000000000001</v>
      </c>
      <c r="S8" s="803">
        <v>16.626000000000001</v>
      </c>
      <c r="T8" s="803">
        <v>17.271000000000001</v>
      </c>
      <c r="U8" s="804">
        <v>20.385999999999999</v>
      </c>
      <c r="V8" s="804">
        <v>25.995000000000001</v>
      </c>
      <c r="W8" s="804">
        <v>28.584</v>
      </c>
      <c r="X8" s="804">
        <v>32.884999999999998</v>
      </c>
      <c r="Y8" s="804">
        <v>20.428999999999998</v>
      </c>
      <c r="Z8" s="804">
        <v>24.466999999999999</v>
      </c>
      <c r="AA8" s="804">
        <v>28.568000000000001</v>
      </c>
      <c r="AB8" s="805">
        <v>37.475999999999999</v>
      </c>
      <c r="AC8" s="804">
        <v>0</v>
      </c>
      <c r="AD8" s="804">
        <v>0</v>
      </c>
      <c r="AE8" s="127">
        <v>0.01</v>
      </c>
      <c r="AF8" s="127">
        <v>1.0999999999999999E-2</v>
      </c>
      <c r="AG8" s="127">
        <v>1.2999999999999999E-2</v>
      </c>
      <c r="AH8" s="127">
        <v>0.14499999999999999</v>
      </c>
      <c r="AI8" s="127">
        <v>0.188</v>
      </c>
      <c r="AJ8" s="127">
        <v>0.27700000000000002</v>
      </c>
      <c r="AK8" s="127">
        <v>0.55000000000000004</v>
      </c>
      <c r="AL8" s="127">
        <v>1.0209999999999999</v>
      </c>
      <c r="AM8" s="129">
        <v>1.7549999999999999</v>
      </c>
      <c r="AN8" s="804">
        <v>0</v>
      </c>
      <c r="AO8" s="804">
        <v>0</v>
      </c>
      <c r="AP8" s="127">
        <v>5.7900526894794739E-2</v>
      </c>
      <c r="AQ8" s="127">
        <v>5.395859903855587E-2</v>
      </c>
      <c r="AR8" s="127">
        <v>5.0009617234083474E-2</v>
      </c>
      <c r="AS8" s="127">
        <v>0.50727679820878813</v>
      </c>
      <c r="AT8" s="127">
        <v>0.57168922000912281</v>
      </c>
      <c r="AU8" s="127">
        <v>1.3559156101620249</v>
      </c>
      <c r="AV8" s="127">
        <v>2.2479257775779624</v>
      </c>
      <c r="AW8" s="127">
        <v>3.5739288714645752</v>
      </c>
      <c r="AX8" s="129">
        <v>4.6829971181556189</v>
      </c>
      <c r="AY8" s="133" t="s">
        <v>28</v>
      </c>
      <c r="AZ8" s="381"/>
      <c r="BA8" s="484">
        <v>31.181741809017069</v>
      </c>
    </row>
    <row r="9" spans="1:53" ht="12.75" customHeight="1">
      <c r="A9" s="8"/>
      <c r="B9" s="135" t="s">
        <v>30</v>
      </c>
      <c r="C9" s="109"/>
      <c r="D9" s="104"/>
      <c r="E9" s="255"/>
      <c r="F9" s="255"/>
      <c r="G9" s="255"/>
      <c r="H9" s="255">
        <v>152.98099999999999</v>
      </c>
      <c r="I9" s="255">
        <v>143.62200000000001</v>
      </c>
      <c r="J9" s="255">
        <v>151.69900000000001</v>
      </c>
      <c r="K9" s="255">
        <v>156.68600000000001</v>
      </c>
      <c r="L9" s="255">
        <v>174.45599999999999</v>
      </c>
      <c r="M9" s="255">
        <v>182.554</v>
      </c>
      <c r="N9" s="255">
        <v>167.708</v>
      </c>
      <c r="O9" s="255">
        <v>169.58</v>
      </c>
      <c r="P9" s="255">
        <v>173.595</v>
      </c>
      <c r="Q9" s="257">
        <v>173.99700000000001</v>
      </c>
      <c r="R9" s="806">
        <v>164.62700000000001</v>
      </c>
      <c r="S9" s="806">
        <v>192.923</v>
      </c>
      <c r="T9" s="806">
        <v>229.73099999999999</v>
      </c>
      <c r="U9" s="801">
        <v>257.85399999999998</v>
      </c>
      <c r="V9" s="801">
        <v>269.62200000000001</v>
      </c>
      <c r="W9" s="801">
        <v>259.52499999999998</v>
      </c>
      <c r="X9" s="801">
        <v>247.56700000000001</v>
      </c>
      <c r="Y9" s="801">
        <v>198.4</v>
      </c>
      <c r="Z9" s="801">
        <v>205.39699999999999</v>
      </c>
      <c r="AA9" s="801">
        <v>177.64400000000001</v>
      </c>
      <c r="AB9" s="802">
        <v>212.66200000000001</v>
      </c>
      <c r="AC9" s="801">
        <v>3.3000000000000002E-2</v>
      </c>
      <c r="AD9" s="801">
        <v>5.8000000000000003E-2</v>
      </c>
      <c r="AE9" s="104">
        <v>0.312</v>
      </c>
      <c r="AF9" s="104">
        <v>0.21</v>
      </c>
      <c r="AG9" s="104">
        <v>0.376</v>
      </c>
      <c r="AH9" s="104">
        <v>0.73099999999999998</v>
      </c>
      <c r="AI9" s="104">
        <v>0.77800000000000002</v>
      </c>
      <c r="AJ9" s="104">
        <v>3.266</v>
      </c>
      <c r="AK9" s="104">
        <v>3.181</v>
      </c>
      <c r="AL9" s="104">
        <v>3.7890000000000001</v>
      </c>
      <c r="AM9" s="130">
        <v>6.5830000000000002</v>
      </c>
      <c r="AN9" s="801">
        <v>2.0045314559580141E-2</v>
      </c>
      <c r="AO9" s="801">
        <v>3.0063807840433748E-2</v>
      </c>
      <c r="AP9" s="104">
        <v>0.13581101375086516</v>
      </c>
      <c r="AQ9" s="104">
        <v>8.1441435851295693E-2</v>
      </c>
      <c r="AR9" s="104">
        <v>0.13945449555303349</v>
      </c>
      <c r="AS9" s="104">
        <v>0.28166843271361142</v>
      </c>
      <c r="AT9" s="104">
        <v>0.31425836238270849</v>
      </c>
      <c r="AU9" s="104">
        <v>1.6461693548387095</v>
      </c>
      <c r="AV9" s="104">
        <v>1.5487081116082515</v>
      </c>
      <c r="AW9" s="104">
        <v>2.1329175204341269</v>
      </c>
      <c r="AX9" s="130">
        <v>3.0955224722799559</v>
      </c>
      <c r="AY9" s="135" t="s">
        <v>30</v>
      </c>
      <c r="AZ9" s="381"/>
      <c r="BA9" s="485">
        <v>19.712458625115389</v>
      </c>
    </row>
    <row r="10" spans="1:53" ht="12.75" customHeight="1">
      <c r="A10" s="8"/>
      <c r="B10" s="133" t="s">
        <v>41</v>
      </c>
      <c r="C10" s="108">
        <v>162.50800000000001</v>
      </c>
      <c r="D10" s="103">
        <v>143.727</v>
      </c>
      <c r="E10" s="253">
        <v>112.69</v>
      </c>
      <c r="F10" s="253">
        <v>96.173000000000002</v>
      </c>
      <c r="G10" s="253">
        <v>111.58499999999999</v>
      </c>
      <c r="H10" s="253">
        <v>96.078000000000003</v>
      </c>
      <c r="I10" s="253">
        <v>121.49</v>
      </c>
      <c r="J10" s="253">
        <v>146.88499999999999</v>
      </c>
      <c r="K10" s="253">
        <v>154.38499999999999</v>
      </c>
      <c r="L10" s="253">
        <v>159.34700000000001</v>
      </c>
      <c r="M10" s="253">
        <v>150.14500000000001</v>
      </c>
      <c r="N10" s="253">
        <v>112.20099999999999</v>
      </c>
      <c r="O10" s="253">
        <v>153.58699999999999</v>
      </c>
      <c r="P10" s="260">
        <v>169.97399999999999</v>
      </c>
      <c r="Q10" s="262">
        <v>170.53100000000001</v>
      </c>
      <c r="R10" s="803">
        <v>180.642</v>
      </c>
      <c r="S10" s="803">
        <v>188.40600000000001</v>
      </c>
      <c r="T10" s="803">
        <v>206.65299999999999</v>
      </c>
      <c r="U10" s="804">
        <v>222.46899999999999</v>
      </c>
      <c r="V10" s="804">
        <v>221.47300000000001</v>
      </c>
      <c r="W10" s="804">
        <v>218.47499999999999</v>
      </c>
      <c r="X10" s="804">
        <v>225.62</v>
      </c>
      <c r="Y10" s="804">
        <v>198.97900000000001</v>
      </c>
      <c r="Z10" s="804">
        <v>186.59200000000001</v>
      </c>
      <c r="AA10" s="804">
        <v>149.285</v>
      </c>
      <c r="AB10" s="805">
        <v>173.38800000000001</v>
      </c>
      <c r="AC10" s="804">
        <v>0.53400000000000003</v>
      </c>
      <c r="AD10" s="804">
        <v>1.5649999999999999</v>
      </c>
      <c r="AE10" s="127">
        <v>1.2789999999999999</v>
      </c>
      <c r="AF10" s="127">
        <v>1.2789999999999999</v>
      </c>
      <c r="AG10" s="127">
        <v>0.70599999999999996</v>
      </c>
      <c r="AH10" s="127">
        <v>1.55</v>
      </c>
      <c r="AI10" s="127">
        <v>5.5090000000000003</v>
      </c>
      <c r="AJ10" s="127">
        <v>14.263</v>
      </c>
      <c r="AK10" s="127">
        <v>24.951000000000001</v>
      </c>
      <c r="AL10" s="127">
        <v>30.805</v>
      </c>
      <c r="AM10" s="129">
        <v>62.587000000000003</v>
      </c>
      <c r="AN10" s="804">
        <v>0.29561231607267413</v>
      </c>
      <c r="AO10" s="804">
        <v>0.83065295160451358</v>
      </c>
      <c r="AP10" s="127">
        <v>0.61891189578665684</v>
      </c>
      <c r="AQ10" s="127">
        <v>0.57491156071182947</v>
      </c>
      <c r="AR10" s="127">
        <v>0.31877474906647763</v>
      </c>
      <c r="AS10" s="127">
        <v>0.70946332532326362</v>
      </c>
      <c r="AT10" s="127">
        <v>2.4417161599149013</v>
      </c>
      <c r="AU10" s="127">
        <v>7.1680931153538809</v>
      </c>
      <c r="AV10" s="127">
        <v>13.371955925227233</v>
      </c>
      <c r="AW10" s="127">
        <v>20.635026961851494</v>
      </c>
      <c r="AX10" s="129">
        <v>36.096500334509884</v>
      </c>
      <c r="AY10" s="133" t="s">
        <v>41</v>
      </c>
      <c r="AZ10" s="381"/>
      <c r="BA10" s="484">
        <v>16.145627491040628</v>
      </c>
    </row>
    <row r="11" spans="1:53" ht="12.75" customHeight="1">
      <c r="A11" s="8"/>
      <c r="B11" s="135" t="s">
        <v>46</v>
      </c>
      <c r="C11" s="109">
        <v>3735.9870000000001</v>
      </c>
      <c r="D11" s="104">
        <v>3802.1759999999999</v>
      </c>
      <c r="E11" s="255">
        <v>3378.3429999999998</v>
      </c>
      <c r="F11" s="255">
        <v>3341.7179999999998</v>
      </c>
      <c r="G11" s="255">
        <v>3252.8980000000001</v>
      </c>
      <c r="H11" s="255">
        <v>3236.9380000000001</v>
      </c>
      <c r="I11" s="255">
        <v>3266.8249999999998</v>
      </c>
      <c r="J11" s="255">
        <v>3319.259</v>
      </c>
      <c r="K11" s="255">
        <v>3467.9609999999998</v>
      </c>
      <c r="L11" s="255">
        <v>3148.163</v>
      </c>
      <c r="M11" s="255">
        <v>3090.04</v>
      </c>
      <c r="N11" s="255">
        <v>3807.1750000000002</v>
      </c>
      <c r="O11" s="255">
        <v>2916.259</v>
      </c>
      <c r="P11" s="255">
        <v>3173.634</v>
      </c>
      <c r="Q11" s="257">
        <v>3082.58</v>
      </c>
      <c r="R11" s="806">
        <v>2952.431</v>
      </c>
      <c r="S11" s="806">
        <v>3036.7730000000001</v>
      </c>
      <c r="T11" s="806">
        <v>3206.0419999999999</v>
      </c>
      <c r="U11" s="801">
        <v>3285.904</v>
      </c>
      <c r="V11" s="801">
        <v>3441.2620000000002</v>
      </c>
      <c r="W11" s="801">
        <v>3435.7779999999998</v>
      </c>
      <c r="X11" s="801">
        <v>3607.2579999999998</v>
      </c>
      <c r="Y11" s="801">
        <v>2917.6779999999999</v>
      </c>
      <c r="Z11" s="801">
        <v>2622.1320000000001</v>
      </c>
      <c r="AA11" s="801">
        <v>2651.357</v>
      </c>
      <c r="AB11" s="802">
        <v>2844.6089999999999</v>
      </c>
      <c r="AC11" s="801">
        <v>6.0510000000000002</v>
      </c>
      <c r="AD11" s="801">
        <v>8.5250000000000004</v>
      </c>
      <c r="AE11" s="104">
        <v>12.435</v>
      </c>
      <c r="AF11" s="104">
        <v>11.459</v>
      </c>
      <c r="AG11" s="104">
        <v>25.178000000000001</v>
      </c>
      <c r="AH11" s="104">
        <v>36.216000000000001</v>
      </c>
      <c r="AI11" s="104">
        <v>63.491</v>
      </c>
      <c r="AJ11" s="104">
        <v>194.47399999999999</v>
      </c>
      <c r="AK11" s="104">
        <v>356.42700000000002</v>
      </c>
      <c r="AL11" s="104">
        <v>471.39499999999998</v>
      </c>
      <c r="AM11" s="130">
        <v>524.48599999999999</v>
      </c>
      <c r="AN11" s="801">
        <v>0.20494975157759826</v>
      </c>
      <c r="AO11" s="801">
        <v>0.28072562552419955</v>
      </c>
      <c r="AP11" s="104">
        <v>0.38786141915795241</v>
      </c>
      <c r="AQ11" s="104">
        <v>0.34873203842838985</v>
      </c>
      <c r="AR11" s="104">
        <v>0.73165019112174545</v>
      </c>
      <c r="AS11" s="104">
        <v>1.0540844024264666</v>
      </c>
      <c r="AT11" s="104">
        <v>1.7600903511753248</v>
      </c>
      <c r="AU11" s="104">
        <v>6.6653688309676395</v>
      </c>
      <c r="AV11" s="104">
        <v>13.593022776885375</v>
      </c>
      <c r="AW11" s="104">
        <v>17.779386178473892</v>
      </c>
      <c r="AX11" s="130">
        <v>18.437894276506896</v>
      </c>
      <c r="AY11" s="135" t="s">
        <v>46</v>
      </c>
      <c r="AZ11" s="381"/>
      <c r="BA11" s="485">
        <v>7.2887958882941888</v>
      </c>
    </row>
    <row r="12" spans="1:53" ht="12.75" customHeight="1">
      <c r="A12" s="8"/>
      <c r="B12" s="133" t="s">
        <v>31</v>
      </c>
      <c r="C12" s="108"/>
      <c r="D12" s="103"/>
      <c r="E12" s="253"/>
      <c r="F12" s="253"/>
      <c r="G12" s="253"/>
      <c r="H12" s="253">
        <v>15.602</v>
      </c>
      <c r="I12" s="253">
        <v>16.436</v>
      </c>
      <c r="J12" s="253">
        <v>19.64</v>
      </c>
      <c r="K12" s="253">
        <v>25.363</v>
      </c>
      <c r="L12" s="253">
        <v>30.911999999999999</v>
      </c>
      <c r="M12" s="253">
        <v>24.579000000000001</v>
      </c>
      <c r="N12" s="253">
        <v>9.9459999999999997</v>
      </c>
      <c r="O12" s="253">
        <v>10.295</v>
      </c>
      <c r="P12" s="260">
        <v>17.07</v>
      </c>
      <c r="Q12" s="262">
        <v>19.423999999999999</v>
      </c>
      <c r="R12" s="803">
        <v>19.690000000000001</v>
      </c>
      <c r="S12" s="803">
        <v>21.128</v>
      </c>
      <c r="T12" s="803">
        <v>21.064</v>
      </c>
      <c r="U12" s="804">
        <v>23.02</v>
      </c>
      <c r="V12" s="804">
        <v>25.620999999999999</v>
      </c>
      <c r="W12" s="804">
        <v>26.298999999999999</v>
      </c>
      <c r="X12" s="804">
        <v>27.579000000000001</v>
      </c>
      <c r="Y12" s="804">
        <v>19.295000000000002</v>
      </c>
      <c r="Z12" s="804">
        <v>22.61</v>
      </c>
      <c r="AA12" s="804">
        <v>20.558</v>
      </c>
      <c r="AB12" s="805">
        <v>22.986000000000001</v>
      </c>
      <c r="AC12" s="804">
        <v>0.13</v>
      </c>
      <c r="AD12" s="804">
        <v>0.33100000000000002</v>
      </c>
      <c r="AE12" s="127">
        <v>0.03</v>
      </c>
      <c r="AF12" s="127">
        <v>3.2000000000000001E-2</v>
      </c>
      <c r="AG12" s="127">
        <v>2.5999999999999999E-2</v>
      </c>
      <c r="AH12" s="127">
        <v>8.3000000000000004E-2</v>
      </c>
      <c r="AI12" s="127">
        <v>7.6999999999999999E-2</v>
      </c>
      <c r="AJ12" s="127">
        <v>0.34399999999999997</v>
      </c>
      <c r="AK12" s="127">
        <v>0.48799999999999999</v>
      </c>
      <c r="AL12" s="127">
        <v>0.69399999999999995</v>
      </c>
      <c r="AM12" s="129">
        <v>1.4490000000000001</v>
      </c>
      <c r="AN12" s="804">
        <v>0.66023362112747586</v>
      </c>
      <c r="AO12" s="804">
        <v>1.566641423703143</v>
      </c>
      <c r="AP12" s="127">
        <v>0.1424230915305735</v>
      </c>
      <c r="AQ12" s="127">
        <v>0.13900955690703737</v>
      </c>
      <c r="AR12" s="127">
        <v>0.10147925529838805</v>
      </c>
      <c r="AS12" s="127">
        <v>0.31560135366363745</v>
      </c>
      <c r="AT12" s="127">
        <v>0.27919794046194568</v>
      </c>
      <c r="AU12" s="127">
        <v>1.7828452967089916</v>
      </c>
      <c r="AV12" s="127">
        <v>2.1583370190181337</v>
      </c>
      <c r="AW12" s="127">
        <v>3.3758147679735382</v>
      </c>
      <c r="AX12" s="129">
        <v>6.3038371182458892</v>
      </c>
      <c r="AY12" s="133" t="s">
        <v>31</v>
      </c>
      <c r="AZ12" s="381"/>
      <c r="BA12" s="484">
        <v>11.810487401498222</v>
      </c>
    </row>
    <row r="13" spans="1:53" ht="12.75" customHeight="1">
      <c r="A13" s="8"/>
      <c r="B13" s="135" t="s">
        <v>49</v>
      </c>
      <c r="C13" s="109">
        <v>145.702</v>
      </c>
      <c r="D13" s="104">
        <v>174.24199999999999</v>
      </c>
      <c r="E13" s="255">
        <v>230.79499999999999</v>
      </c>
      <c r="F13" s="255">
        <v>164.73</v>
      </c>
      <c r="G13" s="255">
        <v>156.125</v>
      </c>
      <c r="H13" s="255">
        <v>145.22300000000001</v>
      </c>
      <c r="I13" s="255">
        <v>154.136</v>
      </c>
      <c r="J13" s="255">
        <v>171.74199999999999</v>
      </c>
      <c r="K13" s="255">
        <v>178.48400000000001</v>
      </c>
      <c r="L13" s="255">
        <v>186.32499999999999</v>
      </c>
      <c r="M13" s="255">
        <v>151.607</v>
      </c>
      <c r="N13" s="255">
        <v>57.453000000000003</v>
      </c>
      <c r="O13" s="255">
        <v>88.445999999999998</v>
      </c>
      <c r="P13" s="255">
        <v>89.903999999999996</v>
      </c>
      <c r="Q13" s="257">
        <v>79.498000000000005</v>
      </c>
      <c r="R13" s="806">
        <v>74.959999999999994</v>
      </c>
      <c r="S13" s="806">
        <v>84.135999999999996</v>
      </c>
      <c r="T13" s="806">
        <v>129.959</v>
      </c>
      <c r="U13" s="801">
        <v>149.76300000000001</v>
      </c>
      <c r="V13" s="801">
        <v>133.57900000000001</v>
      </c>
      <c r="W13" s="801">
        <v>128.54900000000001</v>
      </c>
      <c r="X13" s="801">
        <v>126.104</v>
      </c>
      <c r="Y13" s="801">
        <v>92.393000000000001</v>
      </c>
      <c r="Z13" s="801">
        <v>108.61499999999999</v>
      </c>
      <c r="AA13" s="801">
        <v>107.62</v>
      </c>
      <c r="AB13" s="802">
        <v>117.42400000000001</v>
      </c>
      <c r="AC13" s="801">
        <v>4.9000000000000002E-2</v>
      </c>
      <c r="AD13" s="801">
        <v>0.19400000000000001</v>
      </c>
      <c r="AE13" s="104">
        <v>0.49399999999999999</v>
      </c>
      <c r="AF13" s="104">
        <v>0.40300000000000002</v>
      </c>
      <c r="AG13" s="104">
        <v>0.63100000000000001</v>
      </c>
      <c r="AH13" s="104">
        <v>1.252</v>
      </c>
      <c r="AI13" s="104">
        <v>3.665</v>
      </c>
      <c r="AJ13" s="104">
        <v>4.0750000000000002</v>
      </c>
      <c r="AK13" s="104">
        <v>9.1989999999999998</v>
      </c>
      <c r="AL13" s="104">
        <v>15.872</v>
      </c>
      <c r="AM13" s="130">
        <v>22.492999999999999</v>
      </c>
      <c r="AN13" s="801">
        <v>6.5368196371398082E-2</v>
      </c>
      <c r="AO13" s="801">
        <v>0.23057906247028623</v>
      </c>
      <c r="AP13" s="104">
        <v>0.38011988396340385</v>
      </c>
      <c r="AQ13" s="104">
        <v>0.26909183176084883</v>
      </c>
      <c r="AR13" s="104">
        <v>0.47237964051235592</v>
      </c>
      <c r="AS13" s="104">
        <v>0.973947677539304</v>
      </c>
      <c r="AT13" s="104">
        <v>2.9063312821163487</v>
      </c>
      <c r="AU13" s="104">
        <v>4.4105072895132746</v>
      </c>
      <c r="AV13" s="104">
        <v>8.4693642682870696</v>
      </c>
      <c r="AW13" s="104">
        <v>14.748188069132132</v>
      </c>
      <c r="AX13" s="130">
        <v>19.155368578825453</v>
      </c>
      <c r="AY13" s="135" t="s">
        <v>49</v>
      </c>
      <c r="AZ13" s="381"/>
      <c r="BA13" s="485">
        <v>9.1098308864523432</v>
      </c>
    </row>
    <row r="14" spans="1:53" ht="12.75" customHeight="1">
      <c r="A14" s="8"/>
      <c r="B14" s="133" t="s">
        <v>42</v>
      </c>
      <c r="C14" s="108">
        <v>180.14500000000001</v>
      </c>
      <c r="D14" s="103">
        <v>261.71100000000001</v>
      </c>
      <c r="E14" s="253">
        <v>290.22199999999998</v>
      </c>
      <c r="F14" s="253">
        <v>280.214</v>
      </c>
      <c r="G14" s="253">
        <v>268.48899999999998</v>
      </c>
      <c r="H14" s="253">
        <v>257.29300000000001</v>
      </c>
      <c r="I14" s="253">
        <v>289.69099999999997</v>
      </c>
      <c r="J14" s="253">
        <v>269.72800000000001</v>
      </c>
      <c r="K14" s="253">
        <v>267.66899999999998</v>
      </c>
      <c r="L14" s="253">
        <v>279.745</v>
      </c>
      <c r="M14" s="253">
        <v>267.29500000000002</v>
      </c>
      <c r="N14" s="253">
        <v>219.73</v>
      </c>
      <c r="O14" s="253">
        <v>141.501</v>
      </c>
      <c r="P14" s="260">
        <v>97.68</v>
      </c>
      <c r="Q14" s="262">
        <v>58.478999999999999</v>
      </c>
      <c r="R14" s="803">
        <v>58.658999999999999</v>
      </c>
      <c r="S14" s="803">
        <v>70.81</v>
      </c>
      <c r="T14" s="803">
        <v>75.497</v>
      </c>
      <c r="U14" s="804">
        <v>78.790000000000006</v>
      </c>
      <c r="V14" s="804">
        <v>88.001000000000005</v>
      </c>
      <c r="W14" s="804">
        <v>103.322</v>
      </c>
      <c r="X14" s="804">
        <v>114.00700000000001</v>
      </c>
      <c r="Y14" s="804">
        <v>79.596999999999994</v>
      </c>
      <c r="Z14" s="804">
        <v>100.274</v>
      </c>
      <c r="AA14" s="804">
        <v>105.21899999999999</v>
      </c>
      <c r="AB14" s="805">
        <v>134.465</v>
      </c>
      <c r="AC14" s="804">
        <v>2E-3</v>
      </c>
      <c r="AD14" s="804">
        <v>3.7999999999999999E-2</v>
      </c>
      <c r="AE14" s="127">
        <v>3.2000000000000001E-2</v>
      </c>
      <c r="AF14" s="127">
        <v>0.02</v>
      </c>
      <c r="AG14" s="127">
        <v>3.6999999999999998E-2</v>
      </c>
      <c r="AH14" s="127">
        <v>7.6999999999999999E-2</v>
      </c>
      <c r="AI14" s="127">
        <v>0.188</v>
      </c>
      <c r="AJ14" s="127">
        <v>0.67800000000000005</v>
      </c>
      <c r="AK14" s="127">
        <v>2.1739999999999999</v>
      </c>
      <c r="AL14" s="127">
        <v>2.8260000000000001</v>
      </c>
      <c r="AM14" s="129">
        <v>6.3769999999999998</v>
      </c>
      <c r="AN14" s="804">
        <v>3.4095364735164256E-3</v>
      </c>
      <c r="AO14" s="804">
        <v>5.3664736619121592E-2</v>
      </c>
      <c r="AP14" s="127">
        <v>4.2385790163847574E-2</v>
      </c>
      <c r="AQ14" s="127">
        <v>2.5383931971062316E-2</v>
      </c>
      <c r="AR14" s="127">
        <v>4.2044976761627703E-2</v>
      </c>
      <c r="AS14" s="127">
        <v>7.4524302665453623E-2</v>
      </c>
      <c r="AT14" s="127">
        <v>0.16490215513082529</v>
      </c>
      <c r="AU14" s="127">
        <v>0.85179089664183338</v>
      </c>
      <c r="AV14" s="127">
        <v>2.1680595169236292</v>
      </c>
      <c r="AW14" s="127">
        <v>2.6858267043024551</v>
      </c>
      <c r="AX14" s="129">
        <v>4.7424980478191348</v>
      </c>
      <c r="AY14" s="133" t="s">
        <v>42</v>
      </c>
      <c r="AZ14" s="381"/>
      <c r="BA14" s="484">
        <v>27.79536015358444</v>
      </c>
    </row>
    <row r="15" spans="1:53" ht="12.75" customHeight="1">
      <c r="A15" s="8"/>
      <c r="B15" s="135" t="s">
        <v>47</v>
      </c>
      <c r="C15" s="109">
        <v>1192.53</v>
      </c>
      <c r="D15" s="104">
        <v>1406.2460000000001</v>
      </c>
      <c r="E15" s="255">
        <v>1381.2560000000001</v>
      </c>
      <c r="F15" s="255">
        <v>1425.5730000000001</v>
      </c>
      <c r="G15" s="255">
        <v>1331.877</v>
      </c>
      <c r="H15" s="255">
        <v>1382.1089999999999</v>
      </c>
      <c r="I15" s="255">
        <v>1517.2860000000001</v>
      </c>
      <c r="J15" s="255">
        <v>1528.877</v>
      </c>
      <c r="K15" s="255">
        <v>1634.6079999999999</v>
      </c>
      <c r="L15" s="255">
        <v>1614.835</v>
      </c>
      <c r="M15" s="255">
        <v>1161.1759999999999</v>
      </c>
      <c r="N15" s="255">
        <v>952.77200000000005</v>
      </c>
      <c r="O15" s="255">
        <v>982.01499999999999</v>
      </c>
      <c r="P15" s="255">
        <v>808.05100000000004</v>
      </c>
      <c r="Q15" s="257">
        <v>699.58900000000006</v>
      </c>
      <c r="R15" s="806">
        <v>742.30499999999995</v>
      </c>
      <c r="S15" s="806">
        <v>890.125</v>
      </c>
      <c r="T15" s="806">
        <v>1047.7819999999999</v>
      </c>
      <c r="U15" s="801">
        <v>1228.412</v>
      </c>
      <c r="V15" s="801">
        <v>1339.232</v>
      </c>
      <c r="W15" s="801">
        <v>1439.27</v>
      </c>
      <c r="X15" s="801">
        <v>1372.8209999999999</v>
      </c>
      <c r="Y15" s="801">
        <v>927.52300000000002</v>
      </c>
      <c r="Z15" s="801">
        <v>918.83100000000002</v>
      </c>
      <c r="AA15" s="801">
        <v>851.52499999999998</v>
      </c>
      <c r="AB15" s="802">
        <v>983.721</v>
      </c>
      <c r="AC15" s="801">
        <v>0.93600000000000005</v>
      </c>
      <c r="AD15" s="801">
        <v>1.004</v>
      </c>
      <c r="AE15" s="104">
        <v>2.62</v>
      </c>
      <c r="AF15" s="104">
        <v>2.085</v>
      </c>
      <c r="AG15" s="104">
        <v>4.0999999999999996</v>
      </c>
      <c r="AH15" s="104">
        <v>6.2389999999999999</v>
      </c>
      <c r="AI15" s="104">
        <v>10.416</v>
      </c>
      <c r="AJ15" s="104">
        <v>18.224</v>
      </c>
      <c r="AK15" s="104">
        <v>24.408999999999999</v>
      </c>
      <c r="AL15" s="104">
        <v>31.741</v>
      </c>
      <c r="AM15" s="130">
        <v>55.396000000000001</v>
      </c>
      <c r="AN15" s="801">
        <v>0.12609372158344617</v>
      </c>
      <c r="AO15" s="801">
        <v>0.11279314702991154</v>
      </c>
      <c r="AP15" s="104">
        <v>0.25005201463663246</v>
      </c>
      <c r="AQ15" s="104">
        <v>0.16973132792580992</v>
      </c>
      <c r="AR15" s="104">
        <v>0.30614561181333777</v>
      </c>
      <c r="AS15" s="104">
        <v>0.43348364101245773</v>
      </c>
      <c r="AT15" s="104">
        <v>0.7587296522998993</v>
      </c>
      <c r="AU15" s="104">
        <v>1.9648030291432126</v>
      </c>
      <c r="AV15" s="104">
        <v>2.6565276966057958</v>
      </c>
      <c r="AW15" s="104">
        <v>3.7275476351252168</v>
      </c>
      <c r="AX15" s="130">
        <v>5.6312714682313381</v>
      </c>
      <c r="AY15" s="135" t="s">
        <v>47</v>
      </c>
      <c r="AZ15" s="381"/>
      <c r="BA15" s="485">
        <v>15.524617597839182</v>
      </c>
    </row>
    <row r="16" spans="1:53" ht="12.75" customHeight="1">
      <c r="A16" s="8"/>
      <c r="B16" s="133" t="s">
        <v>48</v>
      </c>
      <c r="C16" s="108">
        <v>1943.5530000000001</v>
      </c>
      <c r="D16" s="103">
        <v>2148.4229999999998</v>
      </c>
      <c r="E16" s="253">
        <v>2133.884</v>
      </c>
      <c r="F16" s="253">
        <v>2254.732</v>
      </c>
      <c r="G16" s="253">
        <v>2145.0709999999999</v>
      </c>
      <c r="H16" s="253">
        <v>2009.2460000000001</v>
      </c>
      <c r="I16" s="253">
        <v>2013.7090000000001</v>
      </c>
      <c r="J16" s="253">
        <v>2067.7890000000002</v>
      </c>
      <c r="K16" s="253">
        <v>2000.549</v>
      </c>
      <c r="L16" s="253">
        <v>2064.5430000000001</v>
      </c>
      <c r="M16" s="253">
        <v>2050.2820000000002</v>
      </c>
      <c r="N16" s="253">
        <v>2302.3980000000001</v>
      </c>
      <c r="O16" s="253">
        <v>2251.6689999999999</v>
      </c>
      <c r="P16" s="260">
        <v>2204.2289999999998</v>
      </c>
      <c r="Q16" s="262">
        <v>1898.76</v>
      </c>
      <c r="R16" s="803">
        <v>1756.953</v>
      </c>
      <c r="S16" s="803">
        <v>1765.855</v>
      </c>
      <c r="T16" s="803">
        <v>1886.229</v>
      </c>
      <c r="U16" s="804">
        <v>1984.471</v>
      </c>
      <c r="V16" s="804">
        <v>2157.67</v>
      </c>
      <c r="W16" s="804">
        <v>2223.5810000000001</v>
      </c>
      <c r="X16" s="804">
        <v>2258.277</v>
      </c>
      <c r="Y16" s="804">
        <v>1693.53</v>
      </c>
      <c r="Z16" s="804">
        <v>1708.675</v>
      </c>
      <c r="AA16" s="804">
        <v>1576.95</v>
      </c>
      <c r="AB16" s="805">
        <v>1817.346</v>
      </c>
      <c r="AC16" s="804">
        <v>8.782</v>
      </c>
      <c r="AD16" s="804">
        <v>10.568</v>
      </c>
      <c r="AE16" s="127">
        <v>17.279</v>
      </c>
      <c r="AF16" s="127">
        <v>21.766999999999999</v>
      </c>
      <c r="AG16" s="127">
        <v>25.425000000000001</v>
      </c>
      <c r="AH16" s="127">
        <v>31.722999999999999</v>
      </c>
      <c r="AI16" s="127">
        <v>43.627000000000002</v>
      </c>
      <c r="AJ16" s="127">
        <v>112.71</v>
      </c>
      <c r="AK16" s="127">
        <v>165.62700000000001</v>
      </c>
      <c r="AL16" s="127">
        <v>207.364</v>
      </c>
      <c r="AM16" s="129">
        <v>303.89499999999998</v>
      </c>
      <c r="AN16" s="804">
        <v>0.49984262527227535</v>
      </c>
      <c r="AO16" s="804">
        <v>0.59846363376381406</v>
      </c>
      <c r="AP16" s="127">
        <v>0.91606056316597817</v>
      </c>
      <c r="AQ16" s="127">
        <v>1.0968666208778057</v>
      </c>
      <c r="AR16" s="127">
        <v>1.1783544286197611</v>
      </c>
      <c r="AS16" s="127">
        <v>1.4266626671121942</v>
      </c>
      <c r="AT16" s="127">
        <v>1.9318710680753512</v>
      </c>
      <c r="AU16" s="127">
        <v>6.6553294007192081</v>
      </c>
      <c r="AV16" s="127">
        <v>9.6933003643173805</v>
      </c>
      <c r="AW16" s="127">
        <v>13.149687688258982</v>
      </c>
      <c r="AX16" s="129">
        <v>16.721912062975349</v>
      </c>
      <c r="AY16" s="133" t="s">
        <v>48</v>
      </c>
      <c r="AZ16" s="381"/>
      <c r="BA16" s="484">
        <v>15.244364120612559</v>
      </c>
    </row>
    <row r="17" spans="1:53" ht="12.75" customHeight="1">
      <c r="A17" s="8"/>
      <c r="B17" s="10" t="s">
        <v>59</v>
      </c>
      <c r="C17" s="109"/>
      <c r="D17" s="104"/>
      <c r="E17" s="255">
        <v>92.36</v>
      </c>
      <c r="F17" s="255">
        <v>108.633</v>
      </c>
      <c r="G17" s="255">
        <v>95.21</v>
      </c>
      <c r="H17" s="255">
        <v>104.52</v>
      </c>
      <c r="I17" s="255">
        <v>99.84</v>
      </c>
      <c r="J17" s="255">
        <v>102.123</v>
      </c>
      <c r="K17" s="255">
        <v>114.447</v>
      </c>
      <c r="L17" s="255">
        <v>106.202</v>
      </c>
      <c r="M17" s="255">
        <v>95.697000000000003</v>
      </c>
      <c r="N17" s="255">
        <v>53.252000000000002</v>
      </c>
      <c r="O17" s="255">
        <v>46.209000000000003</v>
      </c>
      <c r="P17" s="255">
        <v>48.883000000000003</v>
      </c>
      <c r="Q17" s="257">
        <v>40.825000000000003</v>
      </c>
      <c r="R17" s="806">
        <v>46.563000000000002</v>
      </c>
      <c r="S17" s="806">
        <v>68.522000000000006</v>
      </c>
      <c r="T17" s="806">
        <v>74.180999999999997</v>
      </c>
      <c r="U17" s="801">
        <v>96.454999999999998</v>
      </c>
      <c r="V17" s="801">
        <v>93.802000000000007</v>
      </c>
      <c r="W17" s="801">
        <v>140.64400000000001</v>
      </c>
      <c r="X17" s="801">
        <v>149.137</v>
      </c>
      <c r="Y17" s="801">
        <v>36.046999999999997</v>
      </c>
      <c r="Z17" s="801">
        <v>35.246000000000002</v>
      </c>
      <c r="AA17" s="801">
        <v>37.043999999999997</v>
      </c>
      <c r="AB17" s="802">
        <v>43.866</v>
      </c>
      <c r="AC17" s="801">
        <v>3.0000000000000001E-3</v>
      </c>
      <c r="AD17" s="801">
        <v>4.7E-2</v>
      </c>
      <c r="AE17" s="104">
        <v>0.08</v>
      </c>
      <c r="AF17" s="104">
        <v>6.6000000000000003E-2</v>
      </c>
      <c r="AG17" s="104">
        <v>5.5E-2</v>
      </c>
      <c r="AH17" s="104">
        <v>0.182</v>
      </c>
      <c r="AI17" s="104">
        <v>0.27900000000000003</v>
      </c>
      <c r="AJ17" s="104">
        <v>0.63900000000000001</v>
      </c>
      <c r="AK17" s="104">
        <v>1.121</v>
      </c>
      <c r="AL17" s="104">
        <v>1.0620000000000001</v>
      </c>
      <c r="AM17" s="130">
        <v>1.125</v>
      </c>
      <c r="AN17" s="801">
        <v>6.4428838348044581E-3</v>
      </c>
      <c r="AO17" s="801">
        <v>6.8591109424710306E-2</v>
      </c>
      <c r="AP17" s="104">
        <v>0.10784432671438779</v>
      </c>
      <c r="AQ17" s="104">
        <v>6.8425690736612935E-2</v>
      </c>
      <c r="AR17" s="104">
        <v>5.8634144261316391E-2</v>
      </c>
      <c r="AS17" s="104">
        <v>0.12940473820426041</v>
      </c>
      <c r="AT17" s="104">
        <v>0.18707631238391548</v>
      </c>
      <c r="AU17" s="104">
        <v>1.7726856603878274</v>
      </c>
      <c r="AV17" s="104">
        <v>3.1805027520853431</v>
      </c>
      <c r="AW17" s="104">
        <v>2.8668610301263366</v>
      </c>
      <c r="AX17" s="130">
        <v>2.5646286417726714</v>
      </c>
      <c r="AY17" s="10" t="s">
        <v>59</v>
      </c>
      <c r="AZ17" s="381"/>
      <c r="BA17" s="183">
        <v>18.415937803692913</v>
      </c>
    </row>
    <row r="18" spans="1:53" ht="12.75" customHeight="1">
      <c r="A18" s="8"/>
      <c r="B18" s="211" t="s">
        <v>50</v>
      </c>
      <c r="C18" s="212">
        <v>2378.5160000000001</v>
      </c>
      <c r="D18" s="127">
        <v>2338.4639999999999</v>
      </c>
      <c r="E18" s="260">
        <v>2423.0839999999998</v>
      </c>
      <c r="F18" s="260">
        <v>2413.4549999999999</v>
      </c>
      <c r="G18" s="260">
        <v>2279.6120000000001</v>
      </c>
      <c r="H18" s="260">
        <v>2247.0189999999998</v>
      </c>
      <c r="I18" s="260">
        <v>2264.6880000000001</v>
      </c>
      <c r="J18" s="260">
        <v>2237.444</v>
      </c>
      <c r="K18" s="260">
        <v>2326.049</v>
      </c>
      <c r="L18" s="260">
        <v>2493.1060000000002</v>
      </c>
      <c r="M18" s="260">
        <v>2161.6819999999998</v>
      </c>
      <c r="N18" s="260">
        <v>2159.4630000000002</v>
      </c>
      <c r="O18" s="260">
        <v>1961.579</v>
      </c>
      <c r="P18" s="260">
        <v>1749.0740000000001</v>
      </c>
      <c r="Q18" s="262">
        <v>1402.0889999999999</v>
      </c>
      <c r="R18" s="803">
        <v>1311.3340000000001</v>
      </c>
      <c r="S18" s="803">
        <v>1376.1849999999999</v>
      </c>
      <c r="T18" s="803">
        <v>1593.857</v>
      </c>
      <c r="U18" s="804">
        <v>1848.8409999999999</v>
      </c>
      <c r="V18" s="804">
        <v>1993.826</v>
      </c>
      <c r="W18" s="804">
        <v>1944.3119999999999</v>
      </c>
      <c r="X18" s="804">
        <v>1948.479</v>
      </c>
      <c r="Y18" s="804">
        <v>1437.259</v>
      </c>
      <c r="Z18" s="804">
        <v>1518.876</v>
      </c>
      <c r="AA18" s="804">
        <v>1335.69</v>
      </c>
      <c r="AB18" s="805">
        <v>1581.1559999999999</v>
      </c>
      <c r="AC18" s="804">
        <v>0.84599999999999997</v>
      </c>
      <c r="AD18" s="804">
        <v>1.165</v>
      </c>
      <c r="AE18" s="127">
        <v>1.577</v>
      </c>
      <c r="AF18" s="127">
        <v>1.4970000000000001</v>
      </c>
      <c r="AG18" s="127">
        <v>2.109</v>
      </c>
      <c r="AH18" s="127">
        <v>5.1989999999999998</v>
      </c>
      <c r="AI18" s="127">
        <v>10.629</v>
      </c>
      <c r="AJ18" s="127">
        <v>30.937000000000001</v>
      </c>
      <c r="AK18" s="127">
        <v>69.188000000000002</v>
      </c>
      <c r="AL18" s="127">
        <v>48.970999999999997</v>
      </c>
      <c r="AM18" s="129">
        <v>65.802000000000007</v>
      </c>
      <c r="AN18" s="804">
        <v>6.4514456271247439E-2</v>
      </c>
      <c r="AO18" s="804">
        <v>8.4654316098489668E-2</v>
      </c>
      <c r="AP18" s="127">
        <v>9.894237688826539E-2</v>
      </c>
      <c r="AQ18" s="127">
        <v>8.0969645307519697E-2</v>
      </c>
      <c r="AR18" s="127">
        <v>0.10577653215476175</v>
      </c>
      <c r="AS18" s="127">
        <v>0.2673953563008406</v>
      </c>
      <c r="AT18" s="127">
        <v>0.54550241496059237</v>
      </c>
      <c r="AU18" s="127">
        <v>2.1525000017394222</v>
      </c>
      <c r="AV18" s="127">
        <v>4.555210563600979</v>
      </c>
      <c r="AW18" s="127">
        <v>3.6663447356796857</v>
      </c>
      <c r="AX18" s="129">
        <v>4.1616386997867387</v>
      </c>
      <c r="AY18" s="211" t="s">
        <v>50</v>
      </c>
      <c r="AZ18" s="381"/>
      <c r="BA18" s="486">
        <v>18.377467825618226</v>
      </c>
    </row>
    <row r="19" spans="1:53" ht="12.75" customHeight="1">
      <c r="A19" s="8"/>
      <c r="B19" s="135" t="s">
        <v>29</v>
      </c>
      <c r="C19" s="109"/>
      <c r="D19" s="104"/>
      <c r="E19" s="255">
        <v>8.2110000000000003</v>
      </c>
      <c r="F19" s="255">
        <v>10.002000000000001</v>
      </c>
      <c r="G19" s="255">
        <v>9.1219999999999999</v>
      </c>
      <c r="H19" s="255">
        <v>9.1449999999999996</v>
      </c>
      <c r="I19" s="255">
        <v>19.649999999999999</v>
      </c>
      <c r="J19" s="255">
        <v>19.21</v>
      </c>
      <c r="K19" s="255">
        <v>20.344000000000001</v>
      </c>
      <c r="L19" s="255">
        <v>25.106999999999999</v>
      </c>
      <c r="M19" s="255">
        <v>24.213000000000001</v>
      </c>
      <c r="N19" s="255">
        <v>15.945</v>
      </c>
      <c r="O19" s="255">
        <v>15.061999999999999</v>
      </c>
      <c r="P19" s="255">
        <v>14.664999999999999</v>
      </c>
      <c r="Q19" s="257">
        <v>10.967000000000001</v>
      </c>
      <c r="R19" s="806">
        <v>7.0469999999999997</v>
      </c>
      <c r="S19" s="806">
        <v>8.2710000000000008</v>
      </c>
      <c r="T19" s="806">
        <v>10.077999999999999</v>
      </c>
      <c r="U19" s="801">
        <v>12.468</v>
      </c>
      <c r="V19" s="801">
        <v>13.118</v>
      </c>
      <c r="W19" s="801">
        <v>13.125999999999999</v>
      </c>
      <c r="X19" s="801">
        <v>12.601000000000001</v>
      </c>
      <c r="Y19" s="801">
        <v>10.237</v>
      </c>
      <c r="Z19" s="801">
        <v>10.611000000000001</v>
      </c>
      <c r="AA19" s="801">
        <v>11.577</v>
      </c>
      <c r="AB19" s="802">
        <v>14.637</v>
      </c>
      <c r="AC19" s="801">
        <v>8.0000000000000002E-3</v>
      </c>
      <c r="AD19" s="801">
        <v>1E-3</v>
      </c>
      <c r="AE19" s="104">
        <v>4.0000000000000001E-3</v>
      </c>
      <c r="AF19" s="104">
        <v>7.0000000000000001E-3</v>
      </c>
      <c r="AG19" s="104">
        <v>1.7999999999999999E-2</v>
      </c>
      <c r="AH19" s="104">
        <v>5.0000000000000001E-3</v>
      </c>
      <c r="AI19" s="104">
        <v>5.8000000000000003E-2</v>
      </c>
      <c r="AJ19" s="104">
        <v>4.2000000000000003E-2</v>
      </c>
      <c r="AK19" s="104">
        <v>7.8E-2</v>
      </c>
      <c r="AL19" s="104">
        <v>0.40100000000000002</v>
      </c>
      <c r="AM19" s="130">
        <v>0.78800000000000003</v>
      </c>
      <c r="AN19" s="801">
        <v>0.11352348517099475</v>
      </c>
      <c r="AO19" s="801">
        <v>1.2090436464756377E-2</v>
      </c>
      <c r="AP19" s="104">
        <v>3.9690414764834293E-2</v>
      </c>
      <c r="AQ19" s="104">
        <v>5.6143727943535456E-2</v>
      </c>
      <c r="AR19" s="104">
        <v>0.13721603903033996</v>
      </c>
      <c r="AS19" s="104">
        <v>3.8092335822032607E-2</v>
      </c>
      <c r="AT19" s="104">
        <v>0.46028093008491394</v>
      </c>
      <c r="AU19" s="104">
        <v>0.41027644817817727</v>
      </c>
      <c r="AV19" s="104">
        <v>0.7350862312694374</v>
      </c>
      <c r="AW19" s="104">
        <v>3.4637643603696993</v>
      </c>
      <c r="AX19" s="130">
        <v>5.3836168613786972</v>
      </c>
      <c r="AY19" s="135" t="s">
        <v>29</v>
      </c>
      <c r="AZ19" s="381"/>
      <c r="BA19" s="485">
        <v>26.431718061674019</v>
      </c>
    </row>
    <row r="20" spans="1:53" ht="12.75" customHeight="1">
      <c r="A20" s="8"/>
      <c r="B20" s="211" t="s">
        <v>33</v>
      </c>
      <c r="C20" s="212"/>
      <c r="D20" s="127"/>
      <c r="E20" s="260"/>
      <c r="F20" s="260"/>
      <c r="G20" s="260"/>
      <c r="H20" s="260">
        <v>8.7129999999999992</v>
      </c>
      <c r="I20" s="260">
        <v>11.217000000000001</v>
      </c>
      <c r="J20" s="260">
        <v>16.602</v>
      </c>
      <c r="K20" s="260">
        <v>25.582000000000001</v>
      </c>
      <c r="L20" s="260">
        <v>32.771000000000001</v>
      </c>
      <c r="M20" s="260">
        <v>19.831</v>
      </c>
      <c r="N20" s="260">
        <v>5.367</v>
      </c>
      <c r="O20" s="260">
        <v>6.3650000000000002</v>
      </c>
      <c r="P20" s="260">
        <v>10.98</v>
      </c>
      <c r="Q20" s="262">
        <v>10.664999999999999</v>
      </c>
      <c r="R20" s="803">
        <v>11.07</v>
      </c>
      <c r="S20" s="803">
        <v>13.173</v>
      </c>
      <c r="T20" s="803">
        <v>14.291</v>
      </c>
      <c r="U20" s="804">
        <v>16.768000000000001</v>
      </c>
      <c r="V20" s="804">
        <v>17.064</v>
      </c>
      <c r="W20" s="804">
        <v>17.184999999999999</v>
      </c>
      <c r="X20" s="804">
        <v>18.536999999999999</v>
      </c>
      <c r="Y20" s="804">
        <v>13.725</v>
      </c>
      <c r="Z20" s="804">
        <v>14.621</v>
      </c>
      <c r="AA20" s="804">
        <v>16.715</v>
      </c>
      <c r="AB20" s="805">
        <v>18.451000000000001</v>
      </c>
      <c r="AC20" s="804">
        <v>0</v>
      </c>
      <c r="AD20" s="804">
        <v>0.17399999999999999</v>
      </c>
      <c r="AE20" s="127">
        <v>1.7000000000000001E-2</v>
      </c>
      <c r="AF20" s="127">
        <v>1.9E-2</v>
      </c>
      <c r="AG20" s="127">
        <v>4.1000000000000002E-2</v>
      </c>
      <c r="AH20" s="127">
        <v>7.8E-2</v>
      </c>
      <c r="AI20" s="127">
        <v>0.11600000000000001</v>
      </c>
      <c r="AJ20" s="127">
        <v>0.35099999999999998</v>
      </c>
      <c r="AK20" s="127">
        <v>0.48</v>
      </c>
      <c r="AL20" s="127">
        <v>1.069</v>
      </c>
      <c r="AM20" s="129">
        <v>1.629</v>
      </c>
      <c r="AN20" s="804">
        <v>0</v>
      </c>
      <c r="AO20" s="804">
        <v>1.3208836255978136</v>
      </c>
      <c r="AP20" s="127">
        <v>0.11895598628507452</v>
      </c>
      <c r="AQ20" s="127">
        <v>0.11331106870229007</v>
      </c>
      <c r="AR20" s="127">
        <v>0.24027191748710736</v>
      </c>
      <c r="AS20" s="127">
        <v>0.45388420133837648</v>
      </c>
      <c r="AT20" s="127">
        <v>0.62577547607487738</v>
      </c>
      <c r="AU20" s="127">
        <v>2.5573770491803276</v>
      </c>
      <c r="AV20" s="127">
        <v>3.2829491826824428</v>
      </c>
      <c r="AW20" s="127">
        <v>6.3954531857612924</v>
      </c>
      <c r="AX20" s="129">
        <v>8.8287897674922764</v>
      </c>
      <c r="AY20" s="211" t="s">
        <v>33</v>
      </c>
      <c r="AZ20" s="381"/>
      <c r="BA20" s="486">
        <v>10.385880945258762</v>
      </c>
    </row>
    <row r="21" spans="1:53" ht="12.75" customHeight="1">
      <c r="A21" s="8"/>
      <c r="B21" s="135" t="s">
        <v>34</v>
      </c>
      <c r="C21" s="109"/>
      <c r="D21" s="104"/>
      <c r="E21" s="255"/>
      <c r="F21" s="255"/>
      <c r="G21" s="255"/>
      <c r="H21" s="255">
        <v>7.5430000000000001</v>
      </c>
      <c r="I21" s="255">
        <v>9.4930000000000003</v>
      </c>
      <c r="J21" s="255">
        <v>10.467000000000001</v>
      </c>
      <c r="K21" s="255">
        <v>14.234</v>
      </c>
      <c r="L21" s="255">
        <v>21.606000000000002</v>
      </c>
      <c r="M21" s="255">
        <v>22.216999999999999</v>
      </c>
      <c r="N21" s="255">
        <v>7.5149999999999997</v>
      </c>
      <c r="O21" s="255">
        <v>7.97</v>
      </c>
      <c r="P21" s="255">
        <v>13.234</v>
      </c>
      <c r="Q21" s="257">
        <v>12.164999999999999</v>
      </c>
      <c r="R21" s="806">
        <v>12.257</v>
      </c>
      <c r="S21" s="806">
        <v>11.699</v>
      </c>
      <c r="T21" s="806">
        <v>13.757</v>
      </c>
      <c r="U21" s="801">
        <v>16.402000000000001</v>
      </c>
      <c r="V21" s="801">
        <v>19.082999999999998</v>
      </c>
      <c r="W21" s="801">
        <v>21.678000000000001</v>
      </c>
      <c r="X21" s="801">
        <v>25.609000000000002</v>
      </c>
      <c r="Y21" s="801">
        <v>40.878</v>
      </c>
      <c r="Z21" s="801">
        <v>28.209</v>
      </c>
      <c r="AA21" s="801">
        <v>24.114999999999998</v>
      </c>
      <c r="AB21" s="802">
        <v>26.866</v>
      </c>
      <c r="AC21" s="801">
        <v>2E-3</v>
      </c>
      <c r="AD21" s="801">
        <v>8.0000000000000002E-3</v>
      </c>
      <c r="AE21" s="104">
        <v>2.5999999999999999E-2</v>
      </c>
      <c r="AF21" s="104">
        <v>6.2E-2</v>
      </c>
      <c r="AG21" s="104">
        <v>4.2999999999999997E-2</v>
      </c>
      <c r="AH21" s="104">
        <v>0.14099999999999999</v>
      </c>
      <c r="AI21" s="104">
        <v>0.17499999999999999</v>
      </c>
      <c r="AJ21" s="104">
        <v>0.48</v>
      </c>
      <c r="AK21" s="104">
        <v>1.2769999999999999</v>
      </c>
      <c r="AL21" s="104">
        <v>1.5069999999999999</v>
      </c>
      <c r="AM21" s="130">
        <v>2.21</v>
      </c>
      <c r="AN21" s="801">
        <v>1.6317206494248185E-2</v>
      </c>
      <c r="AO21" s="801">
        <v>6.8381912984015733E-2</v>
      </c>
      <c r="AP21" s="104">
        <v>0.18899469361052554</v>
      </c>
      <c r="AQ21" s="104">
        <v>0.37800268259968295</v>
      </c>
      <c r="AR21" s="104">
        <v>0.22533144683749934</v>
      </c>
      <c r="AS21" s="104">
        <v>0.65042900636590084</v>
      </c>
      <c r="AT21" s="104">
        <v>0.68335350853215659</v>
      </c>
      <c r="AU21" s="104">
        <v>1.1742257448994569</v>
      </c>
      <c r="AV21" s="104">
        <v>4.5269240313375159</v>
      </c>
      <c r="AW21" s="104">
        <v>6.2492224756375698</v>
      </c>
      <c r="AX21" s="130">
        <v>8.2260105709819111</v>
      </c>
      <c r="AY21" s="135" t="s">
        <v>34</v>
      </c>
      <c r="AZ21" s="381"/>
      <c r="BA21" s="485">
        <v>11.407837445573293</v>
      </c>
    </row>
    <row r="22" spans="1:53" ht="12.75" customHeight="1">
      <c r="A22" s="8"/>
      <c r="B22" s="211" t="s">
        <v>51</v>
      </c>
      <c r="C22" s="212">
        <v>35.927999999999997</v>
      </c>
      <c r="D22" s="127">
        <v>40.475999999999999</v>
      </c>
      <c r="E22" s="260">
        <v>41.896000000000001</v>
      </c>
      <c r="F22" s="260">
        <v>42.832999999999998</v>
      </c>
      <c r="G22" s="260">
        <v>43.402999999999999</v>
      </c>
      <c r="H22" s="260">
        <v>43.62</v>
      </c>
      <c r="I22" s="260">
        <v>48.234000000000002</v>
      </c>
      <c r="J22" s="260">
        <v>48.517000000000003</v>
      </c>
      <c r="K22" s="260">
        <v>50.837000000000003</v>
      </c>
      <c r="L22" s="260">
        <v>51.332000000000001</v>
      </c>
      <c r="M22" s="260">
        <v>52.359000000000002</v>
      </c>
      <c r="N22" s="260">
        <v>47.265000000000001</v>
      </c>
      <c r="O22" s="260">
        <v>49.725999999999999</v>
      </c>
      <c r="P22" s="260">
        <v>49.881</v>
      </c>
      <c r="Q22" s="262">
        <v>53.008000000000003</v>
      </c>
      <c r="R22" s="803">
        <v>46.624000000000002</v>
      </c>
      <c r="S22" s="803">
        <v>49.792999999999999</v>
      </c>
      <c r="T22" s="803">
        <v>46.472999999999999</v>
      </c>
      <c r="U22" s="804">
        <v>50.561</v>
      </c>
      <c r="V22" s="804">
        <v>52.774999999999999</v>
      </c>
      <c r="W22" s="804">
        <v>52.811</v>
      </c>
      <c r="X22" s="804">
        <v>55.008000000000003</v>
      </c>
      <c r="Y22" s="804">
        <v>45.189</v>
      </c>
      <c r="Z22" s="804">
        <v>44.372</v>
      </c>
      <c r="AA22" s="804">
        <v>42.094000000000001</v>
      </c>
      <c r="AB22" s="805">
        <v>49.155000000000001</v>
      </c>
      <c r="AC22" s="804">
        <v>0</v>
      </c>
      <c r="AD22" s="804">
        <v>2.5000000000000001E-2</v>
      </c>
      <c r="AE22" s="127">
        <v>4.4999999999999998E-2</v>
      </c>
      <c r="AF22" s="127">
        <v>0.16200000000000001</v>
      </c>
      <c r="AG22" s="127">
        <v>0.371</v>
      </c>
      <c r="AH22" s="127">
        <v>0.49199999999999999</v>
      </c>
      <c r="AI22" s="127">
        <v>0.98599999999999999</v>
      </c>
      <c r="AJ22" s="127">
        <v>2.4729999999999999</v>
      </c>
      <c r="AK22" s="127">
        <v>4.6500000000000004</v>
      </c>
      <c r="AL22" s="127">
        <v>6.3929999999999998</v>
      </c>
      <c r="AM22" s="129">
        <v>11.048</v>
      </c>
      <c r="AN22" s="804">
        <v>0</v>
      </c>
      <c r="AO22" s="804">
        <v>5.020786054264656E-2</v>
      </c>
      <c r="AP22" s="127">
        <v>9.6830417661868187E-2</v>
      </c>
      <c r="AQ22" s="127">
        <v>0.3204050552797611</v>
      </c>
      <c r="AR22" s="127">
        <v>0.70298436759829463</v>
      </c>
      <c r="AS22" s="127">
        <v>0.93162409346537656</v>
      </c>
      <c r="AT22" s="127">
        <v>1.7924665503199533</v>
      </c>
      <c r="AU22" s="127">
        <v>5.4725707583703995</v>
      </c>
      <c r="AV22" s="127">
        <v>10.479581718200667</v>
      </c>
      <c r="AW22" s="127">
        <v>15.187437639568586</v>
      </c>
      <c r="AX22" s="129">
        <v>22.475841725155121</v>
      </c>
      <c r="AY22" s="211" t="s">
        <v>51</v>
      </c>
      <c r="AZ22" s="381"/>
      <c r="BA22" s="486">
        <v>16.774362141872956</v>
      </c>
    </row>
    <row r="23" spans="1:53" ht="12.75" customHeight="1">
      <c r="A23" s="8"/>
      <c r="B23" s="135" t="s">
        <v>32</v>
      </c>
      <c r="C23" s="109"/>
      <c r="D23" s="104"/>
      <c r="E23" s="255"/>
      <c r="F23" s="255"/>
      <c r="G23" s="255"/>
      <c r="H23" s="255">
        <v>208.42599999999999</v>
      </c>
      <c r="I23" s="255">
        <v>207.05500000000001</v>
      </c>
      <c r="J23" s="255">
        <v>198.982</v>
      </c>
      <c r="K23" s="255">
        <v>187.67599999999999</v>
      </c>
      <c r="L23" s="255">
        <v>171.661</v>
      </c>
      <c r="M23" s="255">
        <v>153.27799999999999</v>
      </c>
      <c r="N23" s="255">
        <v>60.189</v>
      </c>
      <c r="O23" s="255">
        <v>43.475999999999999</v>
      </c>
      <c r="P23" s="255">
        <v>45.094000000000001</v>
      </c>
      <c r="Q23" s="257">
        <v>50.398000000000003</v>
      </c>
      <c r="R23" s="806">
        <v>56.51</v>
      </c>
      <c r="S23" s="806">
        <v>68.016000000000005</v>
      </c>
      <c r="T23" s="806">
        <v>77.414000000000001</v>
      </c>
      <c r="U23" s="801">
        <v>96.734999999999999</v>
      </c>
      <c r="V23" s="801">
        <v>116.30500000000001</v>
      </c>
      <c r="W23" s="801">
        <v>136.755</v>
      </c>
      <c r="X23" s="801">
        <v>158.167</v>
      </c>
      <c r="Y23" s="801">
        <v>128.196</v>
      </c>
      <c r="Z23" s="801">
        <v>122.08</v>
      </c>
      <c r="AA23" s="801">
        <v>111.631</v>
      </c>
      <c r="AB23" s="802">
        <v>103.256</v>
      </c>
      <c r="AC23" s="801">
        <v>0.01</v>
      </c>
      <c r="AD23" s="801">
        <v>3.2000000000000001E-2</v>
      </c>
      <c r="AE23" s="104">
        <v>0.11600000000000001</v>
      </c>
      <c r="AF23" s="104">
        <v>0.17599999999999999</v>
      </c>
      <c r="AG23" s="104">
        <v>0.749</v>
      </c>
      <c r="AH23" s="104">
        <v>1.3</v>
      </c>
      <c r="AI23" s="104">
        <v>1.8340000000000001</v>
      </c>
      <c r="AJ23" s="104">
        <v>3.0470000000000002</v>
      </c>
      <c r="AK23" s="104">
        <v>4.3140000000000001</v>
      </c>
      <c r="AL23" s="104">
        <v>4.7080000000000002</v>
      </c>
      <c r="AM23" s="130">
        <v>6.0490000000000004</v>
      </c>
      <c r="AN23" s="801">
        <v>1.769598301185631E-2</v>
      </c>
      <c r="AO23" s="801">
        <v>4.7047753469771816E-2</v>
      </c>
      <c r="AP23" s="104">
        <v>0.14984369752241197</v>
      </c>
      <c r="AQ23" s="104">
        <v>0.18194035250943297</v>
      </c>
      <c r="AR23" s="104">
        <v>0.6439963888052963</v>
      </c>
      <c r="AS23" s="104">
        <v>0.95060509670578786</v>
      </c>
      <c r="AT23" s="104">
        <v>1.1595339103605682</v>
      </c>
      <c r="AU23" s="104">
        <v>2.3768292302411931</v>
      </c>
      <c r="AV23" s="104">
        <v>3.5337483617300132</v>
      </c>
      <c r="AW23" s="104">
        <v>4.2174664743664394</v>
      </c>
      <c r="AX23" s="130">
        <v>5.8582552103509729</v>
      </c>
      <c r="AY23" s="135" t="s">
        <v>32</v>
      </c>
      <c r="AZ23" s="381"/>
      <c r="BA23" s="485">
        <v>-7.5023962877695283</v>
      </c>
    </row>
    <row r="24" spans="1:53" ht="12.75" customHeight="1">
      <c r="A24" s="8"/>
      <c r="B24" s="211" t="s">
        <v>35</v>
      </c>
      <c r="C24" s="212"/>
      <c r="D24" s="127"/>
      <c r="E24" s="260"/>
      <c r="F24" s="260"/>
      <c r="G24" s="260"/>
      <c r="H24" s="260">
        <v>7.23</v>
      </c>
      <c r="I24" s="260">
        <v>6.2179999999999991</v>
      </c>
      <c r="J24" s="260">
        <v>6.5519999999999996</v>
      </c>
      <c r="K24" s="260">
        <v>6.7450000000000001</v>
      </c>
      <c r="L24" s="260">
        <v>6.2399999999999993</v>
      </c>
      <c r="M24" s="260">
        <v>5.423</v>
      </c>
      <c r="N24" s="260">
        <v>5.8940000000000001</v>
      </c>
      <c r="O24" s="260">
        <v>4.056</v>
      </c>
      <c r="P24" s="260">
        <v>5.4279999999999999</v>
      </c>
      <c r="Q24" s="262">
        <v>5.8840000000000003</v>
      </c>
      <c r="R24" s="803">
        <v>5.7489999999999997</v>
      </c>
      <c r="S24" s="803">
        <v>6.4509999999999996</v>
      </c>
      <c r="T24" s="803">
        <v>7.1680000000000001</v>
      </c>
      <c r="U24" s="804">
        <v>7.306</v>
      </c>
      <c r="V24" s="804">
        <v>7.7759999999999998</v>
      </c>
      <c r="W24" s="804">
        <v>8.1750000000000007</v>
      </c>
      <c r="X24" s="804">
        <v>7.6980000000000004</v>
      </c>
      <c r="Y24" s="804">
        <v>4.6020000000000003</v>
      </c>
      <c r="Z24" s="804">
        <v>5.25</v>
      </c>
      <c r="AA24" s="804">
        <v>6.4290000000000003</v>
      </c>
      <c r="AB24" s="805">
        <v>7.4640000000000004</v>
      </c>
      <c r="AC24" s="804">
        <v>1.7999999999999999E-2</v>
      </c>
      <c r="AD24" s="804">
        <v>0.03</v>
      </c>
      <c r="AE24" s="127">
        <v>2.3E-2</v>
      </c>
      <c r="AF24" s="127">
        <v>1.9E-2</v>
      </c>
      <c r="AG24" s="127">
        <v>2.4E-2</v>
      </c>
      <c r="AH24" s="127">
        <v>0.28499999999999998</v>
      </c>
      <c r="AI24" s="127">
        <v>0.28100000000000003</v>
      </c>
      <c r="AJ24" s="127">
        <v>0.17799999999999999</v>
      </c>
      <c r="AK24" s="127">
        <v>0.41599999999999998</v>
      </c>
      <c r="AL24" s="127">
        <v>0.99</v>
      </c>
      <c r="AM24" s="129">
        <v>1.516</v>
      </c>
      <c r="AN24" s="804"/>
      <c r="AO24" s="804"/>
      <c r="AP24" s="127">
        <v>0.3208705357142857</v>
      </c>
      <c r="AQ24" s="127">
        <v>0.26006022447303584</v>
      </c>
      <c r="AR24" s="127">
        <v>0.30864197530864201</v>
      </c>
      <c r="AS24" s="127">
        <v>3.4862385321100913</v>
      </c>
      <c r="AT24" s="127">
        <v>3.6502987789036117</v>
      </c>
      <c r="AU24" s="127">
        <v>3.8678835289004772</v>
      </c>
      <c r="AV24" s="127">
        <v>7.9238095238095232</v>
      </c>
      <c r="AW24" s="127">
        <v>15.398973401773214</v>
      </c>
      <c r="AX24" s="129">
        <v>20.31082529474812</v>
      </c>
      <c r="AY24" s="211" t="s">
        <v>35</v>
      </c>
      <c r="AZ24" s="381"/>
      <c r="BA24" s="486">
        <v>16.098926738217443</v>
      </c>
    </row>
    <row r="25" spans="1:53" ht="12.75" customHeight="1">
      <c r="A25" s="8"/>
      <c r="B25" s="10" t="s">
        <v>43</v>
      </c>
      <c r="C25" s="109">
        <v>542.97799999999995</v>
      </c>
      <c r="D25" s="104">
        <v>611.48699999999997</v>
      </c>
      <c r="E25" s="255">
        <v>597.625</v>
      </c>
      <c r="F25" s="255">
        <v>530.23099999999999</v>
      </c>
      <c r="G25" s="255">
        <v>510.702</v>
      </c>
      <c r="H25" s="255">
        <v>488.84100000000001</v>
      </c>
      <c r="I25" s="255">
        <v>483.745</v>
      </c>
      <c r="J25" s="255">
        <v>465.15199999999999</v>
      </c>
      <c r="K25" s="255">
        <v>483.97</v>
      </c>
      <c r="L25" s="255">
        <v>505.53800000000001</v>
      </c>
      <c r="M25" s="255">
        <v>499.91800000000001</v>
      </c>
      <c r="N25" s="255">
        <v>387.15199999999999</v>
      </c>
      <c r="O25" s="255">
        <v>482.56700000000001</v>
      </c>
      <c r="P25" s="255">
        <v>555.798</v>
      </c>
      <c r="Q25" s="257">
        <v>502.67500000000001</v>
      </c>
      <c r="R25" s="806">
        <v>416.71699999999998</v>
      </c>
      <c r="S25" s="806">
        <v>387.56799999999998</v>
      </c>
      <c r="T25" s="806">
        <v>448.90600000000001</v>
      </c>
      <c r="U25" s="801">
        <v>382.512</v>
      </c>
      <c r="V25" s="801">
        <v>414.30599999999998</v>
      </c>
      <c r="W25" s="801">
        <v>443.52800000000002</v>
      </c>
      <c r="X25" s="801">
        <v>445.21699999999998</v>
      </c>
      <c r="Y25" s="801">
        <v>355.43099999999998</v>
      </c>
      <c r="Z25" s="801">
        <v>322.31799999999998</v>
      </c>
      <c r="AA25" s="801">
        <v>312.07400000000001</v>
      </c>
      <c r="AB25" s="802">
        <v>369.791</v>
      </c>
      <c r="AC25" s="801">
        <v>2.62</v>
      </c>
      <c r="AD25" s="801">
        <v>2.9140000000000001</v>
      </c>
      <c r="AE25" s="104">
        <v>3.2120000000000002</v>
      </c>
      <c r="AF25" s="104">
        <v>3.9950000000000001</v>
      </c>
      <c r="AG25" s="104">
        <v>7.9640000000000004</v>
      </c>
      <c r="AH25" s="104">
        <v>23.998000000000001</v>
      </c>
      <c r="AI25" s="104">
        <v>61.703000000000003</v>
      </c>
      <c r="AJ25" s="104">
        <v>73.004999999999995</v>
      </c>
      <c r="AK25" s="104">
        <v>63.78</v>
      </c>
      <c r="AL25" s="104">
        <v>73.337999999999994</v>
      </c>
      <c r="AM25" s="130">
        <v>113.93600000000001</v>
      </c>
      <c r="AN25" s="801">
        <v>0.62872405013474375</v>
      </c>
      <c r="AO25" s="801">
        <v>0.75186805928250011</v>
      </c>
      <c r="AP25" s="104">
        <v>0.71551727978685964</v>
      </c>
      <c r="AQ25" s="104">
        <v>1.0444116785878614</v>
      </c>
      <c r="AR25" s="104">
        <v>1.9222507035862382</v>
      </c>
      <c r="AS25" s="104">
        <v>5.410706877581573</v>
      </c>
      <c r="AT25" s="104">
        <v>13.85908444646094</v>
      </c>
      <c r="AU25" s="104">
        <v>20.5398516167695</v>
      </c>
      <c r="AV25" s="104">
        <v>19.787911317394624</v>
      </c>
      <c r="AW25" s="104">
        <v>23.500195466459875</v>
      </c>
      <c r="AX25" s="130">
        <v>30.81091751827384</v>
      </c>
      <c r="AY25" s="10" t="s">
        <v>43</v>
      </c>
      <c r="AZ25" s="381"/>
      <c r="BA25" s="183">
        <v>18.494651909483011</v>
      </c>
    </row>
    <row r="26" spans="1:53" ht="12.75" customHeight="1">
      <c r="A26" s="8"/>
      <c r="B26" s="211" t="s">
        <v>52</v>
      </c>
      <c r="C26" s="212">
        <v>295.86500000000001</v>
      </c>
      <c r="D26" s="127">
        <v>314.18200000000002</v>
      </c>
      <c r="E26" s="260">
        <v>309.42700000000002</v>
      </c>
      <c r="F26" s="260">
        <v>293.52800000000002</v>
      </c>
      <c r="G26" s="260">
        <v>279.49299999999999</v>
      </c>
      <c r="H26" s="260">
        <v>300.12099999999998</v>
      </c>
      <c r="I26" s="260">
        <v>311.29199999999997</v>
      </c>
      <c r="J26" s="260">
        <v>307.91500000000002</v>
      </c>
      <c r="K26" s="260">
        <v>308.59399999999999</v>
      </c>
      <c r="L26" s="260">
        <v>298.18200000000002</v>
      </c>
      <c r="M26" s="260">
        <v>293.697</v>
      </c>
      <c r="N26" s="260">
        <v>319.40300000000002</v>
      </c>
      <c r="O26" s="260">
        <v>328.56299999999999</v>
      </c>
      <c r="P26" s="260">
        <v>356.14499999999998</v>
      </c>
      <c r="Q26" s="262">
        <v>336.01</v>
      </c>
      <c r="R26" s="803">
        <v>319.03500000000003</v>
      </c>
      <c r="S26" s="803">
        <v>303.31799999999998</v>
      </c>
      <c r="T26" s="803">
        <v>308.55500000000001</v>
      </c>
      <c r="U26" s="804">
        <v>329.60399999999998</v>
      </c>
      <c r="V26" s="804">
        <v>353.32</v>
      </c>
      <c r="W26" s="804">
        <v>341.06799999999998</v>
      </c>
      <c r="X26" s="804">
        <v>329.363</v>
      </c>
      <c r="Y26" s="804">
        <v>248.74</v>
      </c>
      <c r="Z26" s="804">
        <v>239.803</v>
      </c>
      <c r="AA26" s="804">
        <v>215.05</v>
      </c>
      <c r="AB26" s="805">
        <v>239.15</v>
      </c>
      <c r="AC26" s="804">
        <v>0.65400000000000003</v>
      </c>
      <c r="AD26" s="804">
        <v>1.284</v>
      </c>
      <c r="AE26" s="127">
        <v>1.6859999999999999</v>
      </c>
      <c r="AF26" s="127">
        <v>3.831</v>
      </c>
      <c r="AG26" s="127">
        <v>5.4329999999999998</v>
      </c>
      <c r="AH26" s="127">
        <v>6.7640000000000002</v>
      </c>
      <c r="AI26" s="127">
        <v>9.2609999999999992</v>
      </c>
      <c r="AJ26" s="127">
        <v>15.986000000000001</v>
      </c>
      <c r="AK26" s="127">
        <v>33.380000000000003</v>
      </c>
      <c r="AL26" s="127">
        <v>34.179000000000002</v>
      </c>
      <c r="AM26" s="129">
        <v>47.631</v>
      </c>
      <c r="AN26" s="804">
        <v>0.20499318256617613</v>
      </c>
      <c r="AO26" s="804">
        <v>0.42331810179415663</v>
      </c>
      <c r="AP26" s="127">
        <v>0.54641798058692936</v>
      </c>
      <c r="AQ26" s="127">
        <v>1.1623038555357339</v>
      </c>
      <c r="AR26" s="127">
        <v>1.5376995358315408</v>
      </c>
      <c r="AS26" s="127">
        <v>1.9831822393188456</v>
      </c>
      <c r="AT26" s="127">
        <v>2.8117912455254532</v>
      </c>
      <c r="AU26" s="127">
        <v>6.4267910267749455</v>
      </c>
      <c r="AV26" s="127">
        <v>13.919759135623828</v>
      </c>
      <c r="AW26" s="127">
        <v>15.893513136479889</v>
      </c>
      <c r="AX26" s="129">
        <v>19.916788626385113</v>
      </c>
      <c r="AY26" s="211" t="s">
        <v>52</v>
      </c>
      <c r="AZ26" s="381"/>
      <c r="BA26" s="486">
        <v>11.206696117182062</v>
      </c>
    </row>
    <row r="27" spans="1:53" ht="12.75" customHeight="1">
      <c r="A27" s="8"/>
      <c r="B27" s="135" t="s">
        <v>36</v>
      </c>
      <c r="C27" s="109"/>
      <c r="D27" s="104"/>
      <c r="E27" s="270"/>
      <c r="F27" s="255"/>
      <c r="G27" s="255"/>
      <c r="H27" s="255">
        <v>358.43200000000002</v>
      </c>
      <c r="I27" s="255">
        <v>318.11099999999999</v>
      </c>
      <c r="J27" s="255">
        <v>235.52199999999999</v>
      </c>
      <c r="K27" s="255">
        <v>238.99299999999999</v>
      </c>
      <c r="L27" s="255">
        <v>293.30500000000001</v>
      </c>
      <c r="M27" s="255">
        <v>320.04000000000002</v>
      </c>
      <c r="N27" s="255">
        <v>320.20600000000002</v>
      </c>
      <c r="O27" s="255">
        <v>333.49</v>
      </c>
      <c r="P27" s="255">
        <v>297.93700000000001</v>
      </c>
      <c r="Q27" s="257">
        <v>271.21499999999997</v>
      </c>
      <c r="R27" s="806">
        <v>290.983</v>
      </c>
      <c r="S27" s="806">
        <v>282.35899999999998</v>
      </c>
      <c r="T27" s="806">
        <v>356.33699999999999</v>
      </c>
      <c r="U27" s="801">
        <v>418.05799999999999</v>
      </c>
      <c r="V27" s="801">
        <v>490.65100000000001</v>
      </c>
      <c r="W27" s="801">
        <v>540.39599999999996</v>
      </c>
      <c r="X27" s="801">
        <v>561.15300000000002</v>
      </c>
      <c r="Y27" s="801">
        <v>432.39400000000001</v>
      </c>
      <c r="Z27" s="801">
        <v>450.83100000000002</v>
      </c>
      <c r="AA27" s="801">
        <v>421.565</v>
      </c>
      <c r="AB27" s="802">
        <v>477.25799999999998</v>
      </c>
      <c r="AC27" s="801">
        <v>2.5999999999999999E-2</v>
      </c>
      <c r="AD27" s="801">
        <v>8.1000000000000003E-2</v>
      </c>
      <c r="AE27" s="104">
        <v>0.112</v>
      </c>
      <c r="AF27" s="104">
        <v>0.157</v>
      </c>
      <c r="AG27" s="104">
        <v>0.50800000000000001</v>
      </c>
      <c r="AH27" s="104">
        <v>0.69399999999999995</v>
      </c>
      <c r="AI27" s="104">
        <v>1.464</v>
      </c>
      <c r="AJ27" s="104">
        <v>3.673</v>
      </c>
      <c r="AK27" s="104">
        <v>7.1660000000000004</v>
      </c>
      <c r="AL27" s="104">
        <v>11.334</v>
      </c>
      <c r="AM27" s="130">
        <v>17.183</v>
      </c>
      <c r="AN27" s="801">
        <v>8.9352298931552696E-3</v>
      </c>
      <c r="AO27" s="801">
        <v>2.8686884427271669E-2</v>
      </c>
      <c r="AP27" s="104">
        <v>3.1430920729534122E-2</v>
      </c>
      <c r="AQ27" s="104">
        <v>3.7554597687402227E-2</v>
      </c>
      <c r="AR27" s="104">
        <v>0.10353591452987969</v>
      </c>
      <c r="AS27" s="104">
        <v>0.12842434066869479</v>
      </c>
      <c r="AT27" s="104">
        <v>0.2608914146409268</v>
      </c>
      <c r="AU27" s="104">
        <v>0.84945674546825345</v>
      </c>
      <c r="AV27" s="104">
        <v>1.5895091508791543</v>
      </c>
      <c r="AW27" s="104">
        <v>2.6885533666219921</v>
      </c>
      <c r="AX27" s="130">
        <v>3.6003587158308501</v>
      </c>
      <c r="AY27" s="135" t="s">
        <v>36</v>
      </c>
      <c r="AZ27" s="381"/>
      <c r="BA27" s="485">
        <v>13.211011350562771</v>
      </c>
    </row>
    <row r="28" spans="1:53" ht="12.75" customHeight="1">
      <c r="A28" s="8"/>
      <c r="B28" s="211" t="s">
        <v>53</v>
      </c>
      <c r="C28" s="212">
        <v>248.398</v>
      </c>
      <c r="D28" s="127">
        <v>272.88299999999998</v>
      </c>
      <c r="E28" s="260">
        <v>257.83600000000001</v>
      </c>
      <c r="F28" s="260">
        <v>255.21</v>
      </c>
      <c r="G28" s="260">
        <v>226.09200000000001</v>
      </c>
      <c r="H28" s="260">
        <v>189.792</v>
      </c>
      <c r="I28" s="260">
        <v>197.64500000000001</v>
      </c>
      <c r="J28" s="260">
        <v>206.488</v>
      </c>
      <c r="K28" s="260">
        <v>194.702</v>
      </c>
      <c r="L28" s="260">
        <v>201.816</v>
      </c>
      <c r="M28" s="260">
        <v>213.38900000000001</v>
      </c>
      <c r="N28" s="260">
        <v>161.01300000000001</v>
      </c>
      <c r="O28" s="260">
        <v>223.464</v>
      </c>
      <c r="P28" s="260">
        <v>153.404</v>
      </c>
      <c r="Q28" s="262">
        <v>95.29</v>
      </c>
      <c r="R28" s="803">
        <v>105.92100000000001</v>
      </c>
      <c r="S28" s="803">
        <v>142.82599999999999</v>
      </c>
      <c r="T28" s="803">
        <v>178.495</v>
      </c>
      <c r="U28" s="804">
        <v>207.33</v>
      </c>
      <c r="V28" s="804">
        <v>224.03700000000001</v>
      </c>
      <c r="W28" s="804">
        <v>228.13900000000001</v>
      </c>
      <c r="X28" s="804">
        <v>223.67400000000001</v>
      </c>
      <c r="Y28" s="804">
        <v>145.27000000000001</v>
      </c>
      <c r="Z28" s="804">
        <v>146.64099999999999</v>
      </c>
      <c r="AA28" s="804">
        <v>158.25800000000001</v>
      </c>
      <c r="AB28" s="805">
        <v>200.23699999999999</v>
      </c>
      <c r="AC28" s="804">
        <v>0.16700000000000001</v>
      </c>
      <c r="AD28" s="804">
        <v>0.19800000000000001</v>
      </c>
      <c r="AE28" s="127">
        <v>0.69199999999999995</v>
      </c>
      <c r="AF28" s="127">
        <v>0.82</v>
      </c>
      <c r="AG28" s="127">
        <v>1.9119999999999999</v>
      </c>
      <c r="AH28" s="127">
        <v>4.4580000000000002</v>
      </c>
      <c r="AI28" s="127">
        <v>6.88</v>
      </c>
      <c r="AJ28" s="127">
        <v>7.9080000000000004</v>
      </c>
      <c r="AK28" s="127">
        <v>13.548999999999999</v>
      </c>
      <c r="AL28" s="127">
        <v>18.425999999999998</v>
      </c>
      <c r="AM28" s="129">
        <v>36.457999999999998</v>
      </c>
      <c r="AN28" s="804">
        <v>0.15766467461598738</v>
      </c>
      <c r="AO28" s="804">
        <v>0.13863022138826264</v>
      </c>
      <c r="AP28" s="127">
        <v>0.3876859295778593</v>
      </c>
      <c r="AQ28" s="127">
        <v>0.39550475088023912</v>
      </c>
      <c r="AR28" s="127">
        <v>0.8534304601472078</v>
      </c>
      <c r="AS28" s="127">
        <v>1.9540718596995692</v>
      </c>
      <c r="AT28" s="127">
        <v>3.0759051119039316</v>
      </c>
      <c r="AU28" s="127">
        <v>5.4436566393611896</v>
      </c>
      <c r="AV28" s="127">
        <v>9.2395714704618772</v>
      </c>
      <c r="AW28" s="127">
        <v>11.643013307384145</v>
      </c>
      <c r="AX28" s="129">
        <v>18.207424202320251</v>
      </c>
      <c r="AY28" s="211" t="s">
        <v>53</v>
      </c>
      <c r="AZ28" s="381"/>
      <c r="BA28" s="486">
        <v>26.525673267702103</v>
      </c>
    </row>
    <row r="29" spans="1:53" ht="12.75" customHeight="1">
      <c r="A29" s="8"/>
      <c r="B29" s="10" t="s">
        <v>37</v>
      </c>
      <c r="C29" s="109"/>
      <c r="D29" s="104"/>
      <c r="E29" s="255"/>
      <c r="F29" s="255"/>
      <c r="G29" s="255">
        <v>88.8</v>
      </c>
      <c r="H29" s="255">
        <v>106.76</v>
      </c>
      <c r="I29" s="255">
        <v>145.12</v>
      </c>
      <c r="J29" s="255">
        <v>172.5</v>
      </c>
      <c r="K29" s="255">
        <v>256.36399999999998</v>
      </c>
      <c r="L29" s="255">
        <v>315.62099999999998</v>
      </c>
      <c r="M29" s="255">
        <v>270.995</v>
      </c>
      <c r="N29" s="255">
        <v>130.19499999999999</v>
      </c>
      <c r="O29" s="255">
        <v>106.328</v>
      </c>
      <c r="P29" s="255">
        <v>94.619</v>
      </c>
      <c r="Q29" s="257">
        <v>72.147999999999996</v>
      </c>
      <c r="R29" s="806">
        <v>57.7</v>
      </c>
      <c r="S29" s="806">
        <v>70.174999999999997</v>
      </c>
      <c r="T29" s="806">
        <v>81.174999999999997</v>
      </c>
      <c r="U29" s="801">
        <v>95.180999999999997</v>
      </c>
      <c r="V29" s="801">
        <v>106.873</v>
      </c>
      <c r="W29" s="801">
        <v>130.92099999999999</v>
      </c>
      <c r="X29" s="801">
        <v>161.56399999999999</v>
      </c>
      <c r="Y29" s="801">
        <v>126.32899999999999</v>
      </c>
      <c r="Z29" s="801">
        <v>121.21</v>
      </c>
      <c r="AA29" s="801">
        <v>129.32400000000001</v>
      </c>
      <c r="AB29" s="802">
        <v>144.60900000000001</v>
      </c>
      <c r="AC29" s="801">
        <v>3.6999999999999998E-2</v>
      </c>
      <c r="AD29" s="801">
        <v>1.7000000000000001E-2</v>
      </c>
      <c r="AE29" s="104">
        <v>2.8000000000000001E-2</v>
      </c>
      <c r="AF29" s="104">
        <v>6.9000000000000006E-2</v>
      </c>
      <c r="AG29" s="104">
        <v>0.23200000000000001</v>
      </c>
      <c r="AH29" s="104">
        <v>0.60399999999999998</v>
      </c>
      <c r="AI29" s="104">
        <v>1.506</v>
      </c>
      <c r="AJ29" s="104">
        <v>2.8439999999999999</v>
      </c>
      <c r="AK29" s="104">
        <v>6.3440000000000003</v>
      </c>
      <c r="AL29" s="104">
        <v>11.638</v>
      </c>
      <c r="AM29" s="130">
        <v>15.367000000000001</v>
      </c>
      <c r="AN29" s="801">
        <v>6.4124783362218357E-2</v>
      </c>
      <c r="AO29" s="801">
        <v>2.4225151407196298E-2</v>
      </c>
      <c r="AP29" s="104">
        <v>3.4493378503233751E-2</v>
      </c>
      <c r="AQ29" s="104">
        <v>7.2493459829167592E-2</v>
      </c>
      <c r="AR29" s="104">
        <v>0.21708008570920628</v>
      </c>
      <c r="AS29" s="104">
        <v>0.46134691913443987</v>
      </c>
      <c r="AT29" s="104">
        <v>0.93213834765170467</v>
      </c>
      <c r="AU29" s="104">
        <v>2.2512645552485968</v>
      </c>
      <c r="AV29" s="104">
        <v>5.2338915931028795</v>
      </c>
      <c r="AW29" s="104">
        <v>8.99910302805357</v>
      </c>
      <c r="AX29" s="130">
        <v>10.626586173751287</v>
      </c>
      <c r="AY29" s="10" t="s">
        <v>37</v>
      </c>
      <c r="AZ29" s="381"/>
      <c r="BA29" s="183">
        <v>11.819151897559621</v>
      </c>
    </row>
    <row r="30" spans="1:53" ht="12.75" customHeight="1">
      <c r="A30" s="8"/>
      <c r="B30" s="211" t="s">
        <v>39</v>
      </c>
      <c r="C30" s="212"/>
      <c r="D30" s="127"/>
      <c r="E30" s="260"/>
      <c r="F30" s="260"/>
      <c r="G30" s="260"/>
      <c r="H30" s="260">
        <v>59.548000000000002</v>
      </c>
      <c r="I30" s="260">
        <v>62.002000000000002</v>
      </c>
      <c r="J30" s="260">
        <v>59.323999999999998</v>
      </c>
      <c r="K30" s="260">
        <v>59.578000000000003</v>
      </c>
      <c r="L30" s="260">
        <v>68.718999999999994</v>
      </c>
      <c r="M30" s="260">
        <v>71.575000000000003</v>
      </c>
      <c r="N30" s="260">
        <v>57.966999999999999</v>
      </c>
      <c r="O30" s="260">
        <v>61.142000000000003</v>
      </c>
      <c r="P30" s="260">
        <v>60.192999999999998</v>
      </c>
      <c r="Q30" s="262">
        <v>50.091000000000001</v>
      </c>
      <c r="R30" s="803">
        <v>51.968000000000004</v>
      </c>
      <c r="S30" s="803">
        <v>54.085999999999999</v>
      </c>
      <c r="T30" s="803">
        <v>60.667999999999999</v>
      </c>
      <c r="U30" s="804">
        <v>64.899000000000001</v>
      </c>
      <c r="V30" s="804">
        <v>72.477000000000004</v>
      </c>
      <c r="W30" s="804">
        <v>74.518000000000001</v>
      </c>
      <c r="X30" s="804">
        <v>72.709999999999994</v>
      </c>
      <c r="Y30" s="804">
        <v>53.366999999999997</v>
      </c>
      <c r="Z30" s="804">
        <v>53.427999999999997</v>
      </c>
      <c r="AA30" s="804">
        <v>45.679000000000002</v>
      </c>
      <c r="AB30" s="805">
        <v>48.454999999999998</v>
      </c>
      <c r="AC30" s="804">
        <v>0</v>
      </c>
      <c r="AD30" s="804">
        <v>1.2999999999999999E-2</v>
      </c>
      <c r="AE30" s="127">
        <v>0.123</v>
      </c>
      <c r="AF30" s="127">
        <v>0.151</v>
      </c>
      <c r="AG30" s="127">
        <v>0.29699999999999999</v>
      </c>
      <c r="AH30" s="127">
        <v>0.52100000000000002</v>
      </c>
      <c r="AI30" s="127">
        <v>0.69499999999999995</v>
      </c>
      <c r="AJ30" s="127">
        <v>1.72</v>
      </c>
      <c r="AK30" s="127">
        <v>1.742</v>
      </c>
      <c r="AL30" s="127">
        <v>2.2930000000000001</v>
      </c>
      <c r="AM30" s="129">
        <v>4.306</v>
      </c>
      <c r="AN30" s="804">
        <v>0</v>
      </c>
      <c r="AO30" s="804">
        <v>2.4035794845246459E-2</v>
      </c>
      <c r="AP30" s="127">
        <v>0.20274279686160745</v>
      </c>
      <c r="AQ30" s="127">
        <v>0.23266922448728022</v>
      </c>
      <c r="AR30" s="127">
        <v>0.40978517322736868</v>
      </c>
      <c r="AS30" s="127">
        <v>0.69915993451246683</v>
      </c>
      <c r="AT30" s="127">
        <v>0.95585201485352767</v>
      </c>
      <c r="AU30" s="127">
        <v>3.2229655030262148</v>
      </c>
      <c r="AV30" s="127">
        <v>3.2604626787452275</v>
      </c>
      <c r="AW30" s="127">
        <v>5.0198121675168021</v>
      </c>
      <c r="AX30" s="129">
        <v>8.8865958105458684</v>
      </c>
      <c r="AY30" s="211" t="s">
        <v>39</v>
      </c>
      <c r="AZ30" s="381"/>
      <c r="BA30" s="486">
        <v>6.0771908316731924</v>
      </c>
    </row>
    <row r="31" spans="1:53" ht="12.75" customHeight="1">
      <c r="A31" s="8"/>
      <c r="B31" s="135" t="s">
        <v>38</v>
      </c>
      <c r="C31" s="109"/>
      <c r="D31" s="104"/>
      <c r="E31" s="255"/>
      <c r="F31" s="255"/>
      <c r="G31" s="255"/>
      <c r="H31" s="255">
        <v>59.741999999999997</v>
      </c>
      <c r="I31" s="255">
        <v>57.43</v>
      </c>
      <c r="J31" s="255">
        <v>57.125</v>
      </c>
      <c r="K31" s="255">
        <v>59.084000000000003</v>
      </c>
      <c r="L31" s="255">
        <v>59.7</v>
      </c>
      <c r="M31" s="255">
        <v>70.040000000000006</v>
      </c>
      <c r="N31" s="255">
        <v>74.716999999999999</v>
      </c>
      <c r="O31" s="255">
        <v>64.033000000000001</v>
      </c>
      <c r="P31" s="255">
        <v>68.254000000000005</v>
      </c>
      <c r="Q31" s="257">
        <v>69.194999999999993</v>
      </c>
      <c r="R31" s="806">
        <v>65.465999999999994</v>
      </c>
      <c r="S31" s="806">
        <v>71.692999999999998</v>
      </c>
      <c r="T31" s="806">
        <v>78.180000000000007</v>
      </c>
      <c r="U31" s="801">
        <v>88.504000000000005</v>
      </c>
      <c r="V31" s="801">
        <v>96.311999999999998</v>
      </c>
      <c r="W31" s="801">
        <v>98.602000000000004</v>
      </c>
      <c r="X31" s="801">
        <v>101.74299999999999</v>
      </c>
      <c r="Y31" s="801">
        <v>76.3</v>
      </c>
      <c r="Z31" s="801">
        <v>75.608000000000004</v>
      </c>
      <c r="AA31" s="801">
        <v>78.659000000000006</v>
      </c>
      <c r="AB31" s="802">
        <v>86.811999999999998</v>
      </c>
      <c r="AC31" s="801">
        <v>0</v>
      </c>
      <c r="AD31" s="801">
        <v>2.4E-2</v>
      </c>
      <c r="AE31" s="104">
        <v>1.4999999999999999E-2</v>
      </c>
      <c r="AF31" s="104">
        <v>5.5E-2</v>
      </c>
      <c r="AG31" s="104">
        <v>0.214</v>
      </c>
      <c r="AH31" s="104">
        <v>0.30099999999999999</v>
      </c>
      <c r="AI31" s="104">
        <v>0.16600000000000001</v>
      </c>
      <c r="AJ31" s="104">
        <v>0.90700000000000003</v>
      </c>
      <c r="AK31" s="104">
        <v>1.1379999999999999</v>
      </c>
      <c r="AL31" s="104">
        <v>1.5089999999999999</v>
      </c>
      <c r="AM31" s="130">
        <v>2.5179999999999998</v>
      </c>
      <c r="AN31" s="801">
        <v>0</v>
      </c>
      <c r="AO31" s="801">
        <v>3.3476071582999735E-2</v>
      </c>
      <c r="AP31" s="104">
        <v>1.9186492709132766E-2</v>
      </c>
      <c r="AQ31" s="104">
        <v>6.2144083883214317E-2</v>
      </c>
      <c r="AR31" s="104">
        <v>0.22219453442976991</v>
      </c>
      <c r="AS31" s="104">
        <v>0.30526764162998721</v>
      </c>
      <c r="AT31" s="104">
        <v>0.16315618764927317</v>
      </c>
      <c r="AU31" s="104">
        <v>1.1887287024901705</v>
      </c>
      <c r="AV31" s="104">
        <v>1.5051317320918418</v>
      </c>
      <c r="AW31" s="104">
        <v>1.9184073024065902</v>
      </c>
      <c r="AX31" s="130">
        <v>2.9005206653458049</v>
      </c>
      <c r="AY31" s="135" t="s">
        <v>38</v>
      </c>
      <c r="AZ31" s="381"/>
      <c r="BA31" s="485">
        <v>10.364993198489671</v>
      </c>
    </row>
    <row r="32" spans="1:53" ht="12.75" customHeight="1">
      <c r="A32" s="8"/>
      <c r="B32" s="211" t="s">
        <v>54</v>
      </c>
      <c r="C32" s="212">
        <v>125.751</v>
      </c>
      <c r="D32" s="127">
        <v>136.32400000000001</v>
      </c>
      <c r="E32" s="260">
        <v>134.64599999999999</v>
      </c>
      <c r="F32" s="260">
        <v>109.48699999999999</v>
      </c>
      <c r="G32" s="260">
        <v>116.877</v>
      </c>
      <c r="H32" s="260">
        <v>147.22200000000001</v>
      </c>
      <c r="I32" s="260">
        <v>142.43899999999999</v>
      </c>
      <c r="J32" s="260">
        <v>147.94900000000001</v>
      </c>
      <c r="K32" s="260">
        <v>145.68899999999999</v>
      </c>
      <c r="L32" s="260">
        <v>125.285</v>
      </c>
      <c r="M32" s="260">
        <v>139.61099999999999</v>
      </c>
      <c r="N32" s="260">
        <v>88.343999999999994</v>
      </c>
      <c r="O32" s="260">
        <v>107.346</v>
      </c>
      <c r="P32" s="260">
        <v>121.17100000000001</v>
      </c>
      <c r="Q32" s="262">
        <v>107.166</v>
      </c>
      <c r="R32" s="803">
        <v>103.45</v>
      </c>
      <c r="S32" s="803">
        <v>106.235</v>
      </c>
      <c r="T32" s="803">
        <v>108.819</v>
      </c>
      <c r="U32" s="804">
        <v>119</v>
      </c>
      <c r="V32" s="804">
        <v>118.587</v>
      </c>
      <c r="W32" s="804">
        <v>120.505</v>
      </c>
      <c r="X32" s="804">
        <v>114.202</v>
      </c>
      <c r="Y32" s="804">
        <v>96.418000000000006</v>
      </c>
      <c r="Z32" s="804">
        <v>98.484999999999999</v>
      </c>
      <c r="AA32" s="804">
        <v>81.7</v>
      </c>
      <c r="AB32" s="805">
        <v>87.509</v>
      </c>
      <c r="AC32" s="804">
        <v>5.0999999999999997E-2</v>
      </c>
      <c r="AD32" s="804">
        <v>0.183</v>
      </c>
      <c r="AE32" s="127">
        <v>0.24299999999999999</v>
      </c>
      <c r="AF32" s="127">
        <v>0.223</v>
      </c>
      <c r="AG32" s="127">
        <v>0.502</v>
      </c>
      <c r="AH32" s="127">
        <v>0.77600000000000002</v>
      </c>
      <c r="AI32" s="127">
        <v>1.897</v>
      </c>
      <c r="AJ32" s="127">
        <v>4.2450000000000001</v>
      </c>
      <c r="AK32" s="127">
        <v>10.154</v>
      </c>
      <c r="AL32" s="127">
        <v>14.531000000000001</v>
      </c>
      <c r="AM32" s="129">
        <v>29.536999999999999</v>
      </c>
      <c r="AN32" s="804">
        <v>4.9299178347027545E-2</v>
      </c>
      <c r="AO32" s="804">
        <v>0.17225961312185251</v>
      </c>
      <c r="AP32" s="127">
        <v>0.2233065916797618</v>
      </c>
      <c r="AQ32" s="127">
        <v>0.18739495798319328</v>
      </c>
      <c r="AR32" s="127">
        <v>0.4233179016249673</v>
      </c>
      <c r="AS32" s="127">
        <v>0.64395668229534053</v>
      </c>
      <c r="AT32" s="127">
        <v>1.6610917497066602</v>
      </c>
      <c r="AU32" s="127">
        <v>4.4027048891285858</v>
      </c>
      <c r="AV32" s="127">
        <v>10.310199522769965</v>
      </c>
      <c r="AW32" s="127">
        <v>17.785801713586292</v>
      </c>
      <c r="AX32" s="129">
        <v>33.753099681175648</v>
      </c>
      <c r="AY32" s="211" t="s">
        <v>54</v>
      </c>
      <c r="AZ32" s="381"/>
      <c r="BA32" s="486">
        <v>7.1101591187270543</v>
      </c>
    </row>
    <row r="33" spans="1:53" ht="12.75" customHeight="1">
      <c r="A33" s="8"/>
      <c r="B33" s="136" t="s">
        <v>55</v>
      </c>
      <c r="C33" s="382">
        <v>253.43</v>
      </c>
      <c r="D33" s="105">
        <v>295.24900000000002</v>
      </c>
      <c r="E33" s="267">
        <v>290.529</v>
      </c>
      <c r="F33" s="267">
        <v>246.58099999999999</v>
      </c>
      <c r="G33" s="267">
        <v>254.589</v>
      </c>
      <c r="H33" s="267">
        <v>261.20600000000002</v>
      </c>
      <c r="I33" s="267">
        <v>264.24599999999998</v>
      </c>
      <c r="J33" s="267">
        <v>274.30099999999999</v>
      </c>
      <c r="K33" s="267">
        <v>282.76600000000002</v>
      </c>
      <c r="L33" s="267">
        <v>306.79899999999998</v>
      </c>
      <c r="M33" s="267">
        <v>253.982</v>
      </c>
      <c r="N33" s="267">
        <v>213.40799999999999</v>
      </c>
      <c r="O33" s="267">
        <v>289.68400000000003</v>
      </c>
      <c r="P33" s="267">
        <v>304.98399999999998</v>
      </c>
      <c r="Q33" s="860">
        <v>279.47800000000001</v>
      </c>
      <c r="R33" s="807">
        <v>292.16199999999998</v>
      </c>
      <c r="S33" s="807">
        <v>324.02999999999997</v>
      </c>
      <c r="T33" s="807">
        <v>361.90800000000002</v>
      </c>
      <c r="U33" s="808">
        <v>387.99700000000001</v>
      </c>
      <c r="V33" s="808">
        <v>392.71699999999998</v>
      </c>
      <c r="W33" s="808">
        <v>365.51299999999998</v>
      </c>
      <c r="X33" s="808">
        <v>366.94600000000003</v>
      </c>
      <c r="Y33" s="808">
        <v>293.77100000000002</v>
      </c>
      <c r="Z33" s="808">
        <v>303.90600000000001</v>
      </c>
      <c r="AA33" s="808">
        <v>289.779</v>
      </c>
      <c r="AB33" s="809">
        <v>290.76799999999997</v>
      </c>
      <c r="AC33" s="808">
        <v>0.45500000000000002</v>
      </c>
      <c r="AD33" s="808">
        <v>1.266</v>
      </c>
      <c r="AE33" s="105">
        <v>2.9169999999999998</v>
      </c>
      <c r="AF33" s="105">
        <v>3.012</v>
      </c>
      <c r="AG33" s="105">
        <v>4.3730000000000002</v>
      </c>
      <c r="AH33" s="105">
        <v>7.1520000000000001</v>
      </c>
      <c r="AI33" s="105">
        <v>15.797000000000001</v>
      </c>
      <c r="AJ33" s="105">
        <v>27.986000000000001</v>
      </c>
      <c r="AK33" s="105">
        <v>57.606000000000002</v>
      </c>
      <c r="AL33" s="105">
        <v>95.373000000000005</v>
      </c>
      <c r="AM33" s="137">
        <v>112.32299999999999</v>
      </c>
      <c r="AN33" s="808">
        <v>0.1557355165969565</v>
      </c>
      <c r="AO33" s="808">
        <v>0.39070456439218598</v>
      </c>
      <c r="AP33" s="105">
        <v>0.80600594626258593</v>
      </c>
      <c r="AQ33" s="105">
        <v>0.77629466207212949</v>
      </c>
      <c r="AR33" s="105">
        <v>1.1135244972843041</v>
      </c>
      <c r="AS33" s="105">
        <v>1.9567019504094247</v>
      </c>
      <c r="AT33" s="105">
        <v>4.3049931052525432</v>
      </c>
      <c r="AU33" s="105">
        <v>9.5264678950611188</v>
      </c>
      <c r="AV33" s="105">
        <v>18.955203253637638</v>
      </c>
      <c r="AW33" s="105">
        <v>32.912322839129132</v>
      </c>
      <c r="AX33" s="137">
        <v>38.629766686843119</v>
      </c>
      <c r="AY33" s="136" t="s">
        <v>55</v>
      </c>
      <c r="AZ33" s="381"/>
      <c r="BA33" s="487">
        <v>0.34129457276061714</v>
      </c>
    </row>
    <row r="34" spans="1:53" ht="12.75" customHeight="1">
      <c r="A34" s="8"/>
      <c r="B34" s="211" t="s">
        <v>26</v>
      </c>
      <c r="C34" s="212">
        <v>13.569000000000001</v>
      </c>
      <c r="D34" s="127">
        <v>15.377000000000001</v>
      </c>
      <c r="E34" s="260">
        <v>13.569000000000001</v>
      </c>
      <c r="F34" s="260">
        <v>7.2450000000000001</v>
      </c>
      <c r="G34" s="260">
        <v>6.9429999999999996</v>
      </c>
      <c r="H34" s="260">
        <v>9.8849999999999998</v>
      </c>
      <c r="I34" s="260">
        <v>11.968</v>
      </c>
      <c r="J34" s="260">
        <v>18.059999999999999</v>
      </c>
      <c r="K34" s="260">
        <v>17.129000000000001</v>
      </c>
      <c r="L34" s="260">
        <v>15.942</v>
      </c>
      <c r="M34" s="260">
        <v>9.0329999999999995</v>
      </c>
      <c r="N34" s="260">
        <v>2.113</v>
      </c>
      <c r="O34" s="260">
        <v>3.1059999999999999</v>
      </c>
      <c r="P34" s="260">
        <v>5.0380000000000003</v>
      </c>
      <c r="Q34" s="861">
        <v>7.93</v>
      </c>
      <c r="R34" s="803">
        <v>7.274</v>
      </c>
      <c r="S34" s="803">
        <v>9.52</v>
      </c>
      <c r="T34" s="803">
        <v>14.029</v>
      </c>
      <c r="U34" s="804">
        <v>18.442</v>
      </c>
      <c r="V34" s="804">
        <v>25.9</v>
      </c>
      <c r="W34" s="804">
        <v>21.227</v>
      </c>
      <c r="X34" s="810">
        <v>13.635999999999999</v>
      </c>
      <c r="Y34" s="810">
        <v>9.3689999999999998</v>
      </c>
      <c r="Z34" s="804">
        <v>12.755000000000001</v>
      </c>
      <c r="AA34" s="804">
        <v>16.626999999999999</v>
      </c>
      <c r="AB34" s="805">
        <v>17.542999999999999</v>
      </c>
      <c r="AC34" s="804">
        <v>5.2999999999999999E-2</v>
      </c>
      <c r="AD34" s="804">
        <v>0.13400000000000001</v>
      </c>
      <c r="AE34" s="127">
        <v>0.25600000000000001</v>
      </c>
      <c r="AF34" s="127">
        <v>0.22600000000000001</v>
      </c>
      <c r="AG34" s="127">
        <v>0.84199999999999997</v>
      </c>
      <c r="AH34" s="127">
        <v>0.76800000000000002</v>
      </c>
      <c r="AI34" s="127">
        <v>1.139</v>
      </c>
      <c r="AJ34" s="127">
        <v>2.5299999999999998</v>
      </c>
      <c r="AK34" s="127">
        <v>4.266</v>
      </c>
      <c r="AL34" s="127">
        <v>6.8520000000000003</v>
      </c>
      <c r="AM34" s="993">
        <v>10.065</v>
      </c>
      <c r="AN34" s="804">
        <v>0.72862249106406374</v>
      </c>
      <c r="AO34" s="804">
        <v>1.4075630252100841</v>
      </c>
      <c r="AP34" s="127">
        <v>1.8247915033145627</v>
      </c>
      <c r="AQ34" s="127">
        <v>1.2254636156599068</v>
      </c>
      <c r="AR34" s="127">
        <v>3.2509652509652507</v>
      </c>
      <c r="AS34" s="127">
        <v>3.6180336364064631</v>
      </c>
      <c r="AT34" s="127">
        <v>8.352889410384277</v>
      </c>
      <c r="AU34" s="127">
        <v>27.003949194150923</v>
      </c>
      <c r="AV34" s="127">
        <v>33.44570756566052</v>
      </c>
      <c r="AW34" s="127">
        <v>41.210079990377103</v>
      </c>
      <c r="AX34" s="129">
        <v>57.373311292253312</v>
      </c>
      <c r="AY34" s="211" t="s">
        <v>26</v>
      </c>
      <c r="AZ34" s="904"/>
      <c r="BA34" s="486">
        <v>5.5091116858122291</v>
      </c>
    </row>
    <row r="35" spans="1:53" s="407" customFormat="1" ht="12.75" customHeight="1">
      <c r="A35" s="203"/>
      <c r="B35" s="10" t="s">
        <v>65</v>
      </c>
      <c r="C35" s="109"/>
      <c r="D35" s="104"/>
      <c r="E35" s="255"/>
      <c r="F35" s="255"/>
      <c r="G35" s="255"/>
      <c r="H35" s="255"/>
      <c r="I35" s="255"/>
      <c r="J35" s="255"/>
      <c r="K35" s="255"/>
      <c r="L35" s="255"/>
      <c r="M35" s="255"/>
      <c r="N35" s="255"/>
      <c r="O35" s="255"/>
      <c r="P35" s="255"/>
      <c r="Q35" s="257"/>
      <c r="R35" s="806">
        <v>1.92</v>
      </c>
      <c r="S35" s="806">
        <v>1.8</v>
      </c>
      <c r="T35" s="806">
        <v>2.0489999999999999</v>
      </c>
      <c r="U35" s="801">
        <v>1.984</v>
      </c>
      <c r="V35" s="801">
        <v>2.024</v>
      </c>
      <c r="W35" s="801">
        <v>1.849</v>
      </c>
      <c r="X35" s="801">
        <v>1.9530000000000001</v>
      </c>
      <c r="Y35" s="801">
        <v>1.51</v>
      </c>
      <c r="Z35" s="801">
        <v>1.627</v>
      </c>
      <c r="AA35" s="801">
        <v>1.524</v>
      </c>
      <c r="AB35" s="802">
        <v>1.59</v>
      </c>
      <c r="AC35" s="801">
        <v>1.4E-2</v>
      </c>
      <c r="AD35" s="801">
        <v>1.7999999999999999E-2</v>
      </c>
      <c r="AE35" s="104">
        <v>0.03</v>
      </c>
      <c r="AF35" s="104">
        <v>4.5999999999999999E-2</v>
      </c>
      <c r="AG35" s="104">
        <v>5.7000000000000002E-2</v>
      </c>
      <c r="AH35" s="104">
        <v>4.8000000000000001E-2</v>
      </c>
      <c r="AI35" s="104">
        <v>9.7000000000000003E-2</v>
      </c>
      <c r="AJ35" s="104">
        <v>0.16400000000000001</v>
      </c>
      <c r="AK35" s="104">
        <v>0.29199999999999998</v>
      </c>
      <c r="AL35" s="104">
        <v>0.317</v>
      </c>
      <c r="AM35" s="130">
        <v>0.33800000000000002</v>
      </c>
      <c r="AN35" s="801">
        <v>0.72916666666666663</v>
      </c>
      <c r="AO35" s="801">
        <v>0.99999999999999989</v>
      </c>
      <c r="AP35" s="104">
        <v>1.4641288433382138</v>
      </c>
      <c r="AQ35" s="104">
        <v>2.318548387096774</v>
      </c>
      <c r="AR35" s="104">
        <v>2.8162055335968379</v>
      </c>
      <c r="AS35" s="104">
        <v>2.5959978366684693</v>
      </c>
      <c r="AT35" s="104">
        <v>4.9667178699436763</v>
      </c>
      <c r="AU35" s="104">
        <v>10.860927152317881</v>
      </c>
      <c r="AV35" s="104">
        <v>17.947141979102639</v>
      </c>
      <c r="AW35" s="104">
        <v>20.800524934383201</v>
      </c>
      <c r="AX35" s="130">
        <v>21.257861635220127</v>
      </c>
      <c r="AY35" s="10" t="s">
        <v>65</v>
      </c>
      <c r="AZ35" s="368"/>
      <c r="BA35" s="183">
        <v>4.3307086614173329</v>
      </c>
    </row>
    <row r="36" spans="1:53" ht="12.75" customHeight="1">
      <c r="A36" s="8"/>
      <c r="B36" s="211" t="s">
        <v>56</v>
      </c>
      <c r="C36" s="212">
        <v>117.977</v>
      </c>
      <c r="D36" s="127">
        <v>101.27800000000001</v>
      </c>
      <c r="E36" s="260">
        <v>97.376000000000005</v>
      </c>
      <c r="F36" s="260">
        <v>91.915999999999997</v>
      </c>
      <c r="G36" s="260">
        <v>88.721000000000004</v>
      </c>
      <c r="H36" s="260">
        <v>89.921000000000006</v>
      </c>
      <c r="I36" s="260">
        <v>115.645</v>
      </c>
      <c r="J36" s="260">
        <v>109.907</v>
      </c>
      <c r="K36" s="260">
        <v>109.164</v>
      </c>
      <c r="L36" s="260">
        <v>129.19499999999999</v>
      </c>
      <c r="M36" s="260">
        <v>110.617</v>
      </c>
      <c r="N36" s="260">
        <v>98.674999999999997</v>
      </c>
      <c r="O36" s="260">
        <v>127.754</v>
      </c>
      <c r="P36" s="260">
        <v>138.345</v>
      </c>
      <c r="Q36" s="262">
        <v>137.96700000000001</v>
      </c>
      <c r="R36" s="803">
        <v>150.018</v>
      </c>
      <c r="S36" s="803">
        <v>149.96299999999999</v>
      </c>
      <c r="T36" s="803">
        <v>158.577</v>
      </c>
      <c r="U36" s="804">
        <v>160.404</v>
      </c>
      <c r="V36" s="804">
        <v>167.69200000000001</v>
      </c>
      <c r="W36" s="804">
        <v>158.83699999999999</v>
      </c>
      <c r="X36" s="804">
        <v>148.68199999999999</v>
      </c>
      <c r="Y36" s="804">
        <v>157.50299999999999</v>
      </c>
      <c r="Z36" s="804">
        <v>182.61799999999999</v>
      </c>
      <c r="AA36" s="804">
        <v>180.864</v>
      </c>
      <c r="AB36" s="805">
        <v>130.97300000000001</v>
      </c>
      <c r="AC36" s="804">
        <v>7.8879999999999999</v>
      </c>
      <c r="AD36" s="804">
        <v>18.094999999999999</v>
      </c>
      <c r="AE36" s="127">
        <v>25.788</v>
      </c>
      <c r="AF36" s="127">
        <v>24.245000000000001</v>
      </c>
      <c r="AG36" s="127">
        <v>33.078000000000003</v>
      </c>
      <c r="AH36" s="127">
        <v>46.140999999999998</v>
      </c>
      <c r="AI36" s="127">
        <v>60.3</v>
      </c>
      <c r="AJ36" s="127">
        <v>82.227999999999994</v>
      </c>
      <c r="AK36" s="127">
        <v>116.435</v>
      </c>
      <c r="AL36" s="127">
        <v>142.53100000000001</v>
      </c>
      <c r="AM36" s="129">
        <v>106.327</v>
      </c>
      <c r="AN36" s="804">
        <v>5.2580357023823803</v>
      </c>
      <c r="AO36" s="804">
        <v>12.066309689723465</v>
      </c>
      <c r="AP36" s="127">
        <v>16.26213133052082</v>
      </c>
      <c r="AQ36" s="127">
        <v>15.114959726690108</v>
      </c>
      <c r="AR36" s="127">
        <v>19.72544903752117</v>
      </c>
      <c r="AS36" s="127">
        <v>29.049276931697278</v>
      </c>
      <c r="AT36" s="127">
        <v>40.556355174130026</v>
      </c>
      <c r="AU36" s="127">
        <v>52.207259544262655</v>
      </c>
      <c r="AV36" s="127">
        <v>63.758775148123405</v>
      </c>
      <c r="AW36" s="127">
        <v>78.80562190375089</v>
      </c>
      <c r="AX36" s="129">
        <v>81.182381101448371</v>
      </c>
      <c r="AY36" s="211" t="s">
        <v>56</v>
      </c>
      <c r="AZ36" s="904"/>
      <c r="BA36" s="486">
        <v>-27.584815109695683</v>
      </c>
    </row>
    <row r="37" spans="1:53" s="407" customFormat="1" ht="12.75" customHeight="1">
      <c r="A37" s="203"/>
      <c r="B37" s="136" t="s">
        <v>27</v>
      </c>
      <c r="C37" s="382">
        <v>296.94499999999999</v>
      </c>
      <c r="D37" s="105">
        <v>316.87599999999998</v>
      </c>
      <c r="E37" s="267">
        <v>316.51900000000001</v>
      </c>
      <c r="F37" s="267">
        <v>316.64100000000002</v>
      </c>
      <c r="G37" s="267">
        <v>295.065</v>
      </c>
      <c r="H37" s="267">
        <v>270.30900000000003</v>
      </c>
      <c r="I37" s="267">
        <v>269.38499999999999</v>
      </c>
      <c r="J37" s="267">
        <v>264.94099999999997</v>
      </c>
      <c r="K37" s="267">
        <v>269.452</v>
      </c>
      <c r="L37" s="267">
        <v>284.68799999999999</v>
      </c>
      <c r="M37" s="267">
        <v>288.55700000000002</v>
      </c>
      <c r="N37" s="267">
        <v>266.04899999999998</v>
      </c>
      <c r="O37" s="267">
        <v>292.45299999999997</v>
      </c>
      <c r="P37" s="267">
        <v>316.846</v>
      </c>
      <c r="Q37" s="860">
        <v>326.08100000000002</v>
      </c>
      <c r="R37" s="807">
        <v>313.35300000000001</v>
      </c>
      <c r="S37" s="807">
        <v>307.40300000000002</v>
      </c>
      <c r="T37" s="807">
        <v>330.98500000000001</v>
      </c>
      <c r="U37" s="808">
        <v>323.62</v>
      </c>
      <c r="V37" s="808">
        <v>319.76499999999999</v>
      </c>
      <c r="W37" s="808">
        <v>304.66300000000001</v>
      </c>
      <c r="X37" s="808">
        <v>318.065</v>
      </c>
      <c r="Y37" s="808">
        <v>245.51</v>
      </c>
      <c r="Z37" s="808">
        <v>250.90100000000001</v>
      </c>
      <c r="AA37" s="808">
        <v>236.751</v>
      </c>
      <c r="AB37" s="809">
        <v>263.51400000000001</v>
      </c>
      <c r="AC37" s="808">
        <v>1.393</v>
      </c>
      <c r="AD37" s="808">
        <v>1.948</v>
      </c>
      <c r="AE37" s="105">
        <v>3.8969999999999998</v>
      </c>
      <c r="AF37" s="105">
        <v>3.5350000000000001</v>
      </c>
      <c r="AG37" s="105">
        <v>4.931</v>
      </c>
      <c r="AH37" s="105">
        <v>5.3630000000000004</v>
      </c>
      <c r="AI37" s="105">
        <v>13.204000000000001</v>
      </c>
      <c r="AJ37" s="105">
        <v>19.800999999999998</v>
      </c>
      <c r="AK37" s="105">
        <v>32.091000000000001</v>
      </c>
      <c r="AL37" s="105">
        <v>40.590000000000003</v>
      </c>
      <c r="AM37" s="137">
        <v>52.975000000000001</v>
      </c>
      <c r="AN37" s="808">
        <v>0.44454656569428092</v>
      </c>
      <c r="AO37" s="808">
        <v>0.63369583250651418</v>
      </c>
      <c r="AP37" s="105">
        <v>1.1773947459854675</v>
      </c>
      <c r="AQ37" s="105">
        <v>1.0923305110932575</v>
      </c>
      <c r="AR37" s="105">
        <v>1.5420699576251311</v>
      </c>
      <c r="AS37" s="105">
        <v>1.7603056491927147</v>
      </c>
      <c r="AT37" s="105">
        <v>4.1513527109238684</v>
      </c>
      <c r="AU37" s="105">
        <v>8.0652519245651906</v>
      </c>
      <c r="AV37" s="105">
        <v>12.790303745301932</v>
      </c>
      <c r="AW37" s="105">
        <v>17.144594954192378</v>
      </c>
      <c r="AX37" s="137">
        <v>20.103296219555698</v>
      </c>
      <c r="AY37" s="907" t="s">
        <v>27</v>
      </c>
      <c r="AZ37" s="368"/>
      <c r="BA37" s="908">
        <v>11.304281713699211</v>
      </c>
    </row>
    <row r="38" spans="1:53" ht="12.75" customHeight="1">
      <c r="A38" s="8"/>
      <c r="B38" s="119" t="s">
        <v>311</v>
      </c>
      <c r="C38" s="212"/>
      <c r="D38" s="127"/>
      <c r="E38" s="260"/>
      <c r="F38" s="260"/>
      <c r="G38" s="260"/>
      <c r="H38" s="260"/>
      <c r="I38" s="260"/>
      <c r="J38" s="260"/>
      <c r="K38" s="260"/>
      <c r="L38" s="260"/>
      <c r="M38" s="260"/>
      <c r="N38" s="260"/>
      <c r="O38" s="260"/>
      <c r="P38" s="260"/>
      <c r="Q38" s="262"/>
      <c r="R38" s="803">
        <v>6.0549999999999997</v>
      </c>
      <c r="S38" s="803">
        <v>5.976</v>
      </c>
      <c r="T38" s="803">
        <v>5.7089999999999996</v>
      </c>
      <c r="U38" s="804">
        <v>7.45</v>
      </c>
      <c r="V38" s="804">
        <v>8.1639999999999997</v>
      </c>
      <c r="W38" s="810">
        <v>8.4760000000000009</v>
      </c>
      <c r="X38" s="810">
        <v>8.68</v>
      </c>
      <c r="Y38" s="810">
        <v>6.5049999999999999</v>
      </c>
      <c r="Z38" s="810">
        <v>7.3369999999999997</v>
      </c>
      <c r="AA38" s="810">
        <v>7.9669999999999996</v>
      </c>
      <c r="AB38" s="805">
        <v>9.0269999999999992</v>
      </c>
      <c r="AC38" s="804">
        <v>0</v>
      </c>
      <c r="AD38" s="804">
        <v>0</v>
      </c>
      <c r="AE38" s="127">
        <v>1E-3</v>
      </c>
      <c r="AF38" s="127">
        <v>0</v>
      </c>
      <c r="AG38" s="127">
        <v>7.0000000000000001E-3</v>
      </c>
      <c r="AH38" s="127">
        <v>3.0000000000000001E-3</v>
      </c>
      <c r="AI38" s="127">
        <v>1.2999999999999999E-2</v>
      </c>
      <c r="AJ38" s="127">
        <v>8.0000000000000002E-3</v>
      </c>
      <c r="AK38" s="127">
        <v>2.8000000000000001E-2</v>
      </c>
      <c r="AL38" s="127">
        <v>3.3000000000000002E-2</v>
      </c>
      <c r="AM38" s="129">
        <v>0.13500000000000001</v>
      </c>
      <c r="AN38" s="1016">
        <v>0</v>
      </c>
      <c r="AO38" s="810">
        <v>0</v>
      </c>
      <c r="AP38" s="810">
        <v>1.7516202487300753E-2</v>
      </c>
      <c r="AQ38" s="810">
        <v>0</v>
      </c>
      <c r="AR38" s="810">
        <v>8.5742283194512506E-2</v>
      </c>
      <c r="AS38" s="810">
        <v>3.5394053798961773E-2</v>
      </c>
      <c r="AT38" s="810">
        <v>0.14976958525345621</v>
      </c>
      <c r="AU38" s="810">
        <v>0.12298232129131438</v>
      </c>
      <c r="AV38" s="810">
        <v>0.3816273681341148</v>
      </c>
      <c r="AW38" s="810">
        <v>0.41420861051838836</v>
      </c>
      <c r="AX38" s="1018">
        <v>1.4955134596211368</v>
      </c>
      <c r="AY38" s="209" t="s">
        <v>311</v>
      </c>
      <c r="AZ38" s="904"/>
      <c r="BA38" s="484">
        <v>13.304882640893695</v>
      </c>
    </row>
    <row r="39" spans="1:53" s="407" customFormat="1" ht="12.75" customHeight="1">
      <c r="A39" s="203"/>
      <c r="B39" s="10" t="s">
        <v>139</v>
      </c>
      <c r="C39" s="109">
        <v>85.893000000000001</v>
      </c>
      <c r="D39" s="104">
        <v>89.665000000000006</v>
      </c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>
        <v>8.6080000000000005</v>
      </c>
      <c r="P39" s="255">
        <v>10.26</v>
      </c>
      <c r="Q39" s="257">
        <v>11.173</v>
      </c>
      <c r="R39" s="806"/>
      <c r="S39" s="814">
        <v>1.8640000000000001</v>
      </c>
      <c r="T39" s="806">
        <v>2.2170000000000001</v>
      </c>
      <c r="U39" s="801">
        <v>2.2999999999999998</v>
      </c>
      <c r="V39" s="801">
        <v>2.9790000000000001</v>
      </c>
      <c r="W39" s="801">
        <v>3.2250000000000001</v>
      </c>
      <c r="X39" s="801">
        <v>3.1960000000000002</v>
      </c>
      <c r="Y39" s="801">
        <v>3.9809999999999999</v>
      </c>
      <c r="Z39" s="801">
        <v>2.99</v>
      </c>
      <c r="AA39" s="801">
        <v>4.0659999999999998</v>
      </c>
      <c r="AB39" s="802"/>
      <c r="AC39" s="801"/>
      <c r="AD39" s="801"/>
      <c r="AE39" s="104"/>
      <c r="AF39" s="104"/>
      <c r="AG39" s="104"/>
      <c r="AH39" s="104"/>
      <c r="AI39" s="104"/>
      <c r="AJ39" s="104"/>
      <c r="AK39" s="104"/>
      <c r="AL39" s="104"/>
      <c r="AM39" s="130"/>
      <c r="AN39" s="801"/>
      <c r="AO39" s="801"/>
      <c r="AP39" s="104"/>
      <c r="AQ39" s="104"/>
      <c r="AR39" s="104"/>
      <c r="AS39" s="104"/>
      <c r="AT39" s="104"/>
      <c r="AU39" s="104"/>
      <c r="AV39" s="104"/>
      <c r="AW39" s="104"/>
      <c r="AX39" s="130"/>
      <c r="AY39" s="54" t="s">
        <v>139</v>
      </c>
      <c r="AZ39" s="368"/>
      <c r="BA39" s="485"/>
    </row>
    <row r="40" spans="1:53" ht="12.75" customHeight="1">
      <c r="A40" s="8"/>
      <c r="B40" s="119" t="s">
        <v>313</v>
      </c>
      <c r="C40" s="212"/>
      <c r="D40" s="127"/>
      <c r="E40" s="260"/>
      <c r="F40" s="260"/>
      <c r="G40" s="260"/>
      <c r="H40" s="260"/>
      <c r="I40" s="260"/>
      <c r="J40" s="260"/>
      <c r="K40" s="260"/>
      <c r="L40" s="260"/>
      <c r="M40" s="260"/>
      <c r="N40" s="260"/>
      <c r="O40" s="260"/>
      <c r="P40" s="260"/>
      <c r="Q40" s="262"/>
      <c r="R40" s="803">
        <v>29.698</v>
      </c>
      <c r="S40" s="905">
        <v>24.843</v>
      </c>
      <c r="T40" s="803">
        <v>17.030999999999999</v>
      </c>
      <c r="U40" s="804">
        <v>17.207999999999998</v>
      </c>
      <c r="V40" s="804">
        <v>42.225000000000001</v>
      </c>
      <c r="W40" s="804">
        <v>27.009</v>
      </c>
      <c r="X40" s="804">
        <v>32.732999999999997</v>
      </c>
      <c r="Y40" s="804">
        <v>30.338999999999999</v>
      </c>
      <c r="Z40" s="804">
        <v>41.021000000000001</v>
      </c>
      <c r="AA40" s="804">
        <v>31.390999999999998</v>
      </c>
      <c r="AB40" s="805">
        <v>46.033000000000001</v>
      </c>
      <c r="AC40" s="804"/>
      <c r="AD40" s="804"/>
      <c r="AE40" s="127"/>
      <c r="AF40" s="127"/>
      <c r="AG40" s="127"/>
      <c r="AH40" s="127"/>
      <c r="AI40" s="127"/>
      <c r="AJ40" s="127"/>
      <c r="AK40" s="127"/>
      <c r="AL40" s="127"/>
      <c r="AM40" s="129"/>
      <c r="AN40" s="804"/>
      <c r="AO40" s="804"/>
      <c r="AP40" s="127"/>
      <c r="AQ40" s="127"/>
      <c r="AR40" s="127"/>
      <c r="AS40" s="127"/>
      <c r="AT40" s="127"/>
      <c r="AU40" s="127"/>
      <c r="AV40" s="127"/>
      <c r="AW40" s="127"/>
      <c r="AX40" s="805"/>
      <c r="AY40" s="209" t="s">
        <v>313</v>
      </c>
      <c r="AZ40" s="904"/>
      <c r="BA40" s="484">
        <v>46.643942531298791</v>
      </c>
    </row>
    <row r="41" spans="1:53" s="407" customFormat="1" ht="12.75" customHeight="1">
      <c r="A41" s="203"/>
      <c r="B41" s="135" t="s">
        <v>0</v>
      </c>
      <c r="C41" s="109"/>
      <c r="D41" s="104"/>
      <c r="E41" s="255"/>
      <c r="F41" s="255"/>
      <c r="G41" s="255"/>
      <c r="H41" s="255"/>
      <c r="I41" s="255"/>
      <c r="J41" s="255">
        <v>15.894</v>
      </c>
      <c r="K41" s="255">
        <v>12.45</v>
      </c>
      <c r="L41" s="255">
        <v>16.914000000000001</v>
      </c>
      <c r="M41" s="255">
        <v>17.914000000000001</v>
      </c>
      <c r="N41" s="255">
        <v>13.113</v>
      </c>
      <c r="O41" s="255">
        <v>49.290999999999997</v>
      </c>
      <c r="P41" s="255">
        <v>40.090000000000003</v>
      </c>
      <c r="Q41" s="257">
        <v>32.869999999999997</v>
      </c>
      <c r="R41" s="806">
        <v>31.927</v>
      </c>
      <c r="S41" s="806">
        <v>29.765999999999998</v>
      </c>
      <c r="T41" s="806">
        <v>29.308</v>
      </c>
      <c r="U41" s="801">
        <v>30.422999999999998</v>
      </c>
      <c r="V41" s="801">
        <v>26.609000000000002</v>
      </c>
      <c r="W41" s="801">
        <v>33.072000000000003</v>
      </c>
      <c r="X41" s="801">
        <v>39.216999999999999</v>
      </c>
      <c r="Y41" s="801">
        <v>29.952000000000002</v>
      </c>
      <c r="Z41" s="801">
        <v>39.427</v>
      </c>
      <c r="AA41" s="801">
        <v>28.018000000000001</v>
      </c>
      <c r="AB41" s="802"/>
      <c r="AC41" s="801"/>
      <c r="AD41" s="801"/>
      <c r="AE41" s="104"/>
      <c r="AF41" s="104"/>
      <c r="AG41" s="104"/>
      <c r="AH41" s="104"/>
      <c r="AI41" s="104"/>
      <c r="AJ41" s="104"/>
      <c r="AK41" s="104"/>
      <c r="AL41" s="104"/>
      <c r="AM41" s="130"/>
      <c r="AN41" s="801"/>
      <c r="AO41" s="801"/>
      <c r="AP41" s="104"/>
      <c r="AQ41" s="104"/>
      <c r="AR41" s="104"/>
      <c r="AS41" s="104"/>
      <c r="AT41" s="104"/>
      <c r="AU41" s="104"/>
      <c r="AV41" s="104"/>
      <c r="AW41" s="104"/>
      <c r="AX41" s="802"/>
      <c r="AY41" s="1017" t="s">
        <v>0</v>
      </c>
      <c r="AZ41" s="368"/>
      <c r="BA41" s="485"/>
    </row>
    <row r="42" spans="1:53" ht="12.75" customHeight="1">
      <c r="A42" s="8"/>
      <c r="B42" s="939" t="s">
        <v>346</v>
      </c>
      <c r="C42" s="212"/>
      <c r="D42" s="127"/>
      <c r="E42" s="260"/>
      <c r="F42" s="260"/>
      <c r="G42" s="260"/>
      <c r="H42" s="260"/>
      <c r="I42" s="260"/>
      <c r="J42" s="260"/>
      <c r="K42" s="260"/>
      <c r="L42" s="260"/>
      <c r="M42" s="260"/>
      <c r="N42" s="260"/>
      <c r="O42" s="260"/>
      <c r="P42" s="260"/>
      <c r="Q42" s="262"/>
      <c r="R42" s="803"/>
      <c r="S42" s="803"/>
      <c r="T42" s="803"/>
      <c r="U42" s="804"/>
      <c r="V42" s="804">
        <v>2.7309999999999999</v>
      </c>
      <c r="W42" s="804">
        <v>3.4319999999999999</v>
      </c>
      <c r="X42" s="804">
        <v>2.3959999999999999</v>
      </c>
      <c r="Y42" s="804">
        <v>2.3959999999999999</v>
      </c>
      <c r="Z42" s="804">
        <v>3.5510000000000002</v>
      </c>
      <c r="AA42" s="804">
        <v>5.4189999999999996</v>
      </c>
      <c r="AB42" s="805">
        <v>6.4219999999999997</v>
      </c>
      <c r="AC42" s="804"/>
      <c r="AD42" s="804"/>
      <c r="AE42" s="127"/>
      <c r="AF42" s="127"/>
      <c r="AG42" s="127"/>
      <c r="AH42" s="127"/>
      <c r="AI42" s="127"/>
      <c r="AJ42" s="127"/>
      <c r="AK42" s="127"/>
      <c r="AL42" s="127"/>
      <c r="AM42" s="129">
        <v>0.245</v>
      </c>
      <c r="AN42" s="804"/>
      <c r="AO42" s="804"/>
      <c r="AP42" s="127"/>
      <c r="AQ42" s="127"/>
      <c r="AR42" s="127"/>
      <c r="AS42" s="127"/>
      <c r="AT42" s="127"/>
      <c r="AU42" s="127"/>
      <c r="AV42" s="127"/>
      <c r="AW42" s="127"/>
      <c r="AX42" s="805">
        <v>3.8150109000311434</v>
      </c>
      <c r="AY42" s="209" t="s">
        <v>346</v>
      </c>
      <c r="AZ42" s="904"/>
      <c r="BA42" s="484">
        <v>18.508949990773218</v>
      </c>
    </row>
    <row r="43" spans="1:53" s="407" customFormat="1" ht="14.25" customHeight="1">
      <c r="A43" s="203"/>
      <c r="B43" s="935" t="s">
        <v>145</v>
      </c>
      <c r="C43" s="109"/>
      <c r="D43" s="104"/>
      <c r="E43" s="255"/>
      <c r="F43" s="255"/>
      <c r="G43" s="255"/>
      <c r="H43" s="255"/>
      <c r="I43" s="255"/>
      <c r="J43" s="255"/>
      <c r="K43" s="255"/>
      <c r="L43" s="255"/>
      <c r="M43" s="255"/>
      <c r="N43" s="255"/>
      <c r="O43" s="255"/>
      <c r="P43" s="255"/>
      <c r="Q43" s="257"/>
      <c r="R43" s="806"/>
      <c r="S43" s="806"/>
      <c r="T43" s="806"/>
      <c r="U43" s="801"/>
      <c r="V43" s="801"/>
      <c r="W43" s="801"/>
      <c r="X43" s="801">
        <v>42.680999999999997</v>
      </c>
      <c r="Y43" s="801">
        <v>43.661000000000001</v>
      </c>
      <c r="Z43" s="801">
        <v>58.207999999999998</v>
      </c>
      <c r="AA43" s="801">
        <v>49.459000000000003</v>
      </c>
      <c r="AB43" s="802">
        <v>66.004000000000005</v>
      </c>
      <c r="AC43" s="801"/>
      <c r="AD43" s="801"/>
      <c r="AE43" s="104"/>
      <c r="AF43" s="104"/>
      <c r="AG43" s="104"/>
      <c r="AH43" s="104"/>
      <c r="AI43" s="104"/>
      <c r="AJ43" s="104"/>
      <c r="AK43" s="104"/>
      <c r="AL43" s="104"/>
      <c r="AM43" s="130"/>
      <c r="AN43" s="801"/>
      <c r="AO43" s="801"/>
      <c r="AP43" s="104"/>
      <c r="AQ43" s="104"/>
      <c r="AR43" s="104"/>
      <c r="AS43" s="104"/>
      <c r="AT43" s="104"/>
      <c r="AU43" s="104"/>
      <c r="AV43" s="104"/>
      <c r="AW43" s="104"/>
      <c r="AX43" s="802"/>
      <c r="AY43" s="54" t="s">
        <v>145</v>
      </c>
      <c r="AZ43" s="368"/>
      <c r="BA43" s="485">
        <v>33.451950100082911</v>
      </c>
    </row>
    <row r="44" spans="1:53" ht="12.75" customHeight="1">
      <c r="A44" s="8"/>
      <c r="B44" s="939" t="s">
        <v>138</v>
      </c>
      <c r="C44" s="212"/>
      <c r="D44" s="127"/>
      <c r="E44" s="260"/>
      <c r="F44" s="260"/>
      <c r="G44" s="260"/>
      <c r="H44" s="260"/>
      <c r="I44" s="260"/>
      <c r="J44" s="260"/>
      <c r="K44" s="260"/>
      <c r="L44" s="260"/>
      <c r="M44" s="260"/>
      <c r="N44" s="260"/>
      <c r="O44" s="260"/>
      <c r="P44" s="260"/>
      <c r="Q44" s="262">
        <v>129.16800000000001</v>
      </c>
      <c r="R44" s="803"/>
      <c r="S44" s="803"/>
      <c r="T44" s="803"/>
      <c r="U44" s="804"/>
      <c r="V44" s="804"/>
      <c r="W44" s="804"/>
      <c r="X44" s="804"/>
      <c r="Y44" s="804">
        <v>22.565000000000001</v>
      </c>
      <c r="Z44" s="804">
        <v>24.91</v>
      </c>
      <c r="AA44" s="804">
        <v>23.895</v>
      </c>
      <c r="AB44" s="805">
        <v>45.96</v>
      </c>
      <c r="AC44" s="804"/>
      <c r="AD44" s="804"/>
      <c r="AE44" s="127"/>
      <c r="AF44" s="127"/>
      <c r="AG44" s="127"/>
      <c r="AH44" s="127"/>
      <c r="AI44" s="127"/>
      <c r="AJ44" s="127"/>
      <c r="AK44" s="127"/>
      <c r="AL44" s="127"/>
      <c r="AM44" s="129"/>
      <c r="AN44" s="804"/>
      <c r="AO44" s="804"/>
      <c r="AP44" s="127"/>
      <c r="AQ44" s="127"/>
      <c r="AR44" s="127"/>
      <c r="AS44" s="127"/>
      <c r="AT44" s="127"/>
      <c r="AU44" s="127"/>
      <c r="AV44" s="127"/>
      <c r="AW44" s="127"/>
      <c r="AX44" s="805"/>
      <c r="AY44" s="209" t="s">
        <v>138</v>
      </c>
      <c r="AZ44" s="904"/>
      <c r="BA44" s="484">
        <v>92.341494036409301</v>
      </c>
    </row>
    <row r="45" spans="1:53" s="407" customFormat="1" ht="12.75" customHeight="1">
      <c r="A45" s="203"/>
      <c r="B45" s="135" t="s">
        <v>40</v>
      </c>
      <c r="C45" s="1025"/>
      <c r="D45" s="1026"/>
      <c r="E45" s="1027"/>
      <c r="F45" s="1027"/>
      <c r="G45" s="255"/>
      <c r="H45" s="255"/>
      <c r="I45" s="255"/>
      <c r="J45" s="255">
        <v>406.80700000000002</v>
      </c>
      <c r="K45" s="255">
        <v>396.54199999999997</v>
      </c>
      <c r="L45" s="255">
        <v>353.495</v>
      </c>
      <c r="M45" s="255">
        <v>353.16800000000001</v>
      </c>
      <c r="N45" s="255">
        <v>357.98599999999999</v>
      </c>
      <c r="O45" s="255">
        <v>485.61900000000003</v>
      </c>
      <c r="P45" s="255">
        <v>602.24800000000005</v>
      </c>
      <c r="Q45" s="257">
        <v>565.79100000000005</v>
      </c>
      <c r="R45" s="806">
        <v>654.90499999999997</v>
      </c>
      <c r="S45" s="806">
        <v>585.81399999999996</v>
      </c>
      <c r="T45" s="806">
        <v>746.39499999999998</v>
      </c>
      <c r="U45" s="801">
        <v>746.07399999999996</v>
      </c>
      <c r="V45" s="801">
        <v>741.90200000000004</v>
      </c>
      <c r="W45" s="801">
        <v>526.23500000000001</v>
      </c>
      <c r="X45" s="801">
        <v>386.74799999999999</v>
      </c>
      <c r="Y45" s="801">
        <v>601.52499999999998</v>
      </c>
      <c r="Z45" s="801">
        <v>614.03700000000003</v>
      </c>
      <c r="AA45" s="801">
        <v>566.28</v>
      </c>
      <c r="AB45" s="802">
        <v>945.76800000000003</v>
      </c>
      <c r="AC45" s="801">
        <v>0</v>
      </c>
      <c r="AD45" s="801">
        <v>4.5999999999999999E-2</v>
      </c>
      <c r="AE45" s="104">
        <v>0.11899999999999999</v>
      </c>
      <c r="AF45" s="104">
        <v>4.3999999999999997E-2</v>
      </c>
      <c r="AG45" s="104">
        <v>0.11700000000000001</v>
      </c>
      <c r="AH45" s="104">
        <v>0.20599999999999999</v>
      </c>
      <c r="AI45" s="104">
        <v>0.22800000000000001</v>
      </c>
      <c r="AJ45" s="104">
        <v>1.617</v>
      </c>
      <c r="AK45" s="104">
        <v>3.5750000000000002</v>
      </c>
      <c r="AL45" s="104">
        <v>8.3119999999999994</v>
      </c>
      <c r="AM45" s="130">
        <v>65.558000000000007</v>
      </c>
      <c r="AN45" s="801">
        <v>0</v>
      </c>
      <c r="AO45" s="801">
        <v>7.8523217266914073E-3</v>
      </c>
      <c r="AP45" s="104">
        <v>1.5943300799174699E-2</v>
      </c>
      <c r="AQ45" s="104">
        <v>5.8975383138937954E-3</v>
      </c>
      <c r="AR45" s="104">
        <v>1.5770276936846107E-2</v>
      </c>
      <c r="AS45" s="104">
        <v>3.9146008912368045E-2</v>
      </c>
      <c r="AT45" s="104">
        <v>5.8953116758199135E-2</v>
      </c>
      <c r="AU45" s="104">
        <v>0.268816757408254</v>
      </c>
      <c r="AV45" s="104">
        <v>0.58221247253829977</v>
      </c>
      <c r="AW45" s="104">
        <v>1.4678251041887405</v>
      </c>
      <c r="AX45" s="802">
        <v>6.9317210986203808</v>
      </c>
      <c r="AY45" s="1017" t="s">
        <v>40</v>
      </c>
      <c r="AZ45" s="368"/>
      <c r="BA45" s="485">
        <v>67.014197923288833</v>
      </c>
    </row>
    <row r="46" spans="1:53" s="407" customFormat="1" ht="12.75" customHeight="1">
      <c r="A46" s="203"/>
      <c r="B46" s="120" t="s">
        <v>312</v>
      </c>
      <c r="C46" s="1019"/>
      <c r="D46" s="1020"/>
      <c r="E46" s="1021"/>
      <c r="F46" s="1021"/>
      <c r="G46" s="265"/>
      <c r="H46" s="265"/>
      <c r="I46" s="265"/>
      <c r="J46" s="265"/>
      <c r="K46" s="265"/>
      <c r="L46" s="265"/>
      <c r="M46" s="265"/>
      <c r="N46" s="265"/>
      <c r="O46" s="265"/>
      <c r="P46" s="265"/>
      <c r="Q46" s="862"/>
      <c r="R46" s="811"/>
      <c r="S46" s="811"/>
      <c r="T46" s="811"/>
      <c r="U46" s="812"/>
      <c r="V46" s="812"/>
      <c r="W46" s="812"/>
      <c r="X46" s="812">
        <v>62.951000000000001</v>
      </c>
      <c r="Y46" s="812">
        <v>88.796999999999997</v>
      </c>
      <c r="Z46" s="812">
        <v>107.771</v>
      </c>
      <c r="AA46" s="812">
        <v>39.090000000000003</v>
      </c>
      <c r="AB46" s="813">
        <v>62.951000000000001</v>
      </c>
      <c r="AC46" s="812"/>
      <c r="AD46" s="812"/>
      <c r="AE46" s="187"/>
      <c r="AF46" s="187"/>
      <c r="AG46" s="187"/>
      <c r="AH46" s="187"/>
      <c r="AI46" s="187"/>
      <c r="AJ46" s="187"/>
      <c r="AK46" s="187"/>
      <c r="AL46" s="187"/>
      <c r="AM46" s="435"/>
      <c r="AN46" s="812"/>
      <c r="AO46" s="812"/>
      <c r="AP46" s="187"/>
      <c r="AQ46" s="187"/>
      <c r="AR46" s="187"/>
      <c r="AS46" s="187"/>
      <c r="AT46" s="187"/>
      <c r="AU46" s="187"/>
      <c r="AV46" s="187"/>
      <c r="AW46" s="187"/>
      <c r="AX46" s="435"/>
      <c r="AY46" s="210" t="s">
        <v>312</v>
      </c>
      <c r="AZ46" s="906"/>
      <c r="BA46" s="486">
        <v>61.041187004348927</v>
      </c>
    </row>
    <row r="47" spans="1:53" ht="12.75" customHeight="1">
      <c r="A47" s="8"/>
      <c r="B47" s="136" t="s">
        <v>44</v>
      </c>
      <c r="C47" s="382">
        <v>2247.4029999999998</v>
      </c>
      <c r="D47" s="105">
        <v>2197.6149999999998</v>
      </c>
      <c r="E47" s="267">
        <v>2221.67</v>
      </c>
      <c r="F47" s="267">
        <v>2458.7689999999998</v>
      </c>
      <c r="G47" s="267">
        <v>2563.6309999999999</v>
      </c>
      <c r="H47" s="267">
        <v>2579.0500000000002</v>
      </c>
      <c r="I47" s="267">
        <v>2567.2689999999998</v>
      </c>
      <c r="J47" s="267">
        <v>2439.7170000000001</v>
      </c>
      <c r="K47" s="267">
        <v>2344.864</v>
      </c>
      <c r="L47" s="267">
        <v>2404.0070000000001</v>
      </c>
      <c r="M47" s="267">
        <v>2131.7950000000001</v>
      </c>
      <c r="N47" s="267">
        <v>1994.999</v>
      </c>
      <c r="O47" s="267">
        <v>2030.846</v>
      </c>
      <c r="P47" s="267">
        <v>1941.2529999999999</v>
      </c>
      <c r="Q47" s="860">
        <v>2044.6089999999999</v>
      </c>
      <c r="R47" s="807">
        <v>2264.7370000000001</v>
      </c>
      <c r="S47" s="807">
        <v>2476.4349999999999</v>
      </c>
      <c r="T47" s="807">
        <v>2633.5030000000002</v>
      </c>
      <c r="U47" s="808">
        <v>2692.7860000000001</v>
      </c>
      <c r="V47" s="808">
        <v>2540.6170000000002</v>
      </c>
      <c r="W47" s="808">
        <v>2367.1469999999999</v>
      </c>
      <c r="X47" s="808">
        <v>2311.14</v>
      </c>
      <c r="Y47" s="808">
        <v>1631.0640000000001</v>
      </c>
      <c r="Z47" s="1022">
        <v>1647.181</v>
      </c>
      <c r="AA47" s="808">
        <v>1614.0630000000001</v>
      </c>
      <c r="AB47" s="809">
        <v>1903.0540000000001</v>
      </c>
      <c r="AC47" s="808">
        <v>2.5390000000000001</v>
      </c>
      <c r="AD47" s="808">
        <v>7.5010000000000003</v>
      </c>
      <c r="AE47" s="105">
        <v>11.443</v>
      </c>
      <c r="AF47" s="1023">
        <v>11.853999999999999</v>
      </c>
      <c r="AG47" s="1023">
        <v>15.813000000000001</v>
      </c>
      <c r="AH47" s="1023">
        <v>17.111000000000001</v>
      </c>
      <c r="AI47" s="1023">
        <v>37.972000000000001</v>
      </c>
      <c r="AJ47" s="1023">
        <v>107.575</v>
      </c>
      <c r="AK47" s="1023">
        <v>191.86799999999999</v>
      </c>
      <c r="AL47" s="105">
        <v>267.42099999999999</v>
      </c>
      <c r="AM47" s="137">
        <v>314.69099999999997</v>
      </c>
      <c r="AN47" s="808">
        <v>0.1121101478891368</v>
      </c>
      <c r="AO47" s="808">
        <v>0.30289508910995039</v>
      </c>
      <c r="AP47" s="105">
        <v>0.43451630774675404</v>
      </c>
      <c r="AQ47" s="1023">
        <v>0.44021322154824033</v>
      </c>
      <c r="AR47" s="1023">
        <v>0.62240786391652103</v>
      </c>
      <c r="AS47" s="1023">
        <v>0.7228532913249579</v>
      </c>
      <c r="AT47" s="1023">
        <v>1.6429986932855647</v>
      </c>
      <c r="AU47" s="1023">
        <v>6.5953880411804802</v>
      </c>
      <c r="AV47" s="1023">
        <v>11.648264519806869</v>
      </c>
      <c r="AW47" s="105">
        <v>16.568188478392727</v>
      </c>
      <c r="AX47" s="137">
        <v>16.536104598187961</v>
      </c>
      <c r="AY47" s="907" t="s">
        <v>44</v>
      </c>
      <c r="AZ47" s="83"/>
      <c r="BA47" s="1024">
        <v>17.904567541663496</v>
      </c>
    </row>
    <row r="48" spans="1:53" ht="29.25" customHeight="1">
      <c r="B48" s="1320" t="s">
        <v>356</v>
      </c>
      <c r="C48" s="1320"/>
      <c r="D48" s="1320"/>
      <c r="E48" s="1320"/>
      <c r="F48" s="1320"/>
      <c r="G48" s="1320"/>
      <c r="H48" s="1320"/>
      <c r="I48" s="1320"/>
      <c r="J48" s="1320"/>
      <c r="K48" s="1320"/>
      <c r="L48" s="1320"/>
      <c r="M48" s="1320"/>
      <c r="N48" s="1320"/>
      <c r="O48" s="1320"/>
      <c r="P48" s="1320"/>
      <c r="Q48" s="1320"/>
      <c r="R48" s="1320"/>
      <c r="S48" s="1320"/>
      <c r="T48" s="1320"/>
      <c r="U48" s="1320"/>
      <c r="V48" s="1320"/>
      <c r="W48" s="1320"/>
      <c r="X48" s="1320"/>
      <c r="Y48" s="1320"/>
      <c r="Z48" s="1320"/>
      <c r="AA48" s="1320"/>
      <c r="AB48" s="1320"/>
      <c r="AC48" s="1320"/>
      <c r="AD48" s="1320"/>
      <c r="AE48" s="1320"/>
      <c r="AF48" s="1320"/>
      <c r="AG48" s="1320"/>
      <c r="AH48" s="1320"/>
      <c r="AI48" s="1320"/>
      <c r="AJ48" s="1320"/>
      <c r="AK48" s="1320"/>
      <c r="AL48" s="1320"/>
      <c r="AM48" s="1320"/>
      <c r="AN48" s="1320"/>
      <c r="AO48" s="1320"/>
      <c r="AP48" s="1320"/>
      <c r="AQ48" s="1320"/>
      <c r="AR48" s="1320"/>
      <c r="AS48" s="1320"/>
      <c r="AT48" s="1320"/>
      <c r="AU48" s="1320"/>
      <c r="AV48" s="1320"/>
      <c r="AW48" s="1320"/>
      <c r="AX48" s="1320"/>
      <c r="AY48" s="1320"/>
    </row>
    <row r="49" spans="2:47">
      <c r="B49" s="1319" t="s">
        <v>290</v>
      </c>
      <c r="C49" s="1319"/>
      <c r="D49" s="1319"/>
      <c r="E49" s="1319"/>
      <c r="F49" s="1319"/>
      <c r="G49" s="1319"/>
      <c r="H49" s="1319"/>
      <c r="I49" s="1319"/>
      <c r="J49" s="1319"/>
      <c r="K49" s="1319"/>
      <c r="L49" s="1319"/>
      <c r="M49" s="1319"/>
      <c r="N49" s="1319"/>
      <c r="O49" s="1319"/>
      <c r="P49" s="1319"/>
      <c r="Q49" s="1319"/>
      <c r="AF49" s="1"/>
    </row>
    <row r="50" spans="2:47" ht="12.75" customHeight="1">
      <c r="B50" s="851" t="s">
        <v>353</v>
      </c>
      <c r="C50" s="850"/>
      <c r="D50" s="850"/>
      <c r="E50" s="850"/>
      <c r="F50" s="850"/>
      <c r="G50" s="850"/>
      <c r="H50" s="850"/>
      <c r="I50" s="850"/>
      <c r="J50" s="850"/>
      <c r="K50" s="850"/>
      <c r="L50" s="850"/>
      <c r="M50" s="850"/>
      <c r="N50" s="850"/>
      <c r="O50" s="850"/>
      <c r="P50" s="850"/>
      <c r="Q50" s="850"/>
      <c r="R50" s="855"/>
      <c r="S50" s="855"/>
      <c r="T50" s="855"/>
      <c r="U50" s="855"/>
      <c r="V50" s="855"/>
      <c r="W50" s="855"/>
      <c r="X50" s="855"/>
      <c r="Y50" s="855"/>
      <c r="Z50" s="855"/>
      <c r="AF50" s="1"/>
      <c r="AU50" s="1"/>
    </row>
    <row r="51" spans="2:47">
      <c r="B51" s="1317"/>
      <c r="C51" s="1317"/>
      <c r="D51" s="1317"/>
      <c r="E51" s="1317"/>
      <c r="F51" s="1317"/>
      <c r="G51" s="1317"/>
      <c r="H51" s="1317"/>
      <c r="I51" s="1317"/>
      <c r="J51" s="1317"/>
      <c r="K51" s="1317"/>
      <c r="L51" s="1317"/>
      <c r="M51" s="1317"/>
      <c r="N51" s="1317"/>
      <c r="O51" s="1317"/>
      <c r="P51" s="1317"/>
      <c r="Q51" s="1317"/>
      <c r="R51" s="481"/>
    </row>
    <row r="52" spans="2:47">
      <c r="Q52"/>
    </row>
    <row r="53" spans="2:47">
      <c r="O53"/>
      <c r="P53"/>
      <c r="Q53"/>
    </row>
    <row r="55" spans="2:47">
      <c r="R55" s="111"/>
      <c r="S55" s="111"/>
      <c r="T55" s="111"/>
      <c r="U55" s="111"/>
      <c r="V55" s="111"/>
      <c r="W55" s="111"/>
      <c r="X55" s="111"/>
      <c r="Y55" s="111"/>
      <c r="Z55" s="111"/>
      <c r="AA55" s="111"/>
      <c r="AB55" s="111"/>
      <c r="AC55" s="111"/>
      <c r="AD55" s="111"/>
      <c r="AE55" s="111"/>
    </row>
  </sheetData>
  <mergeCells count="9">
    <mergeCell ref="B1:BA1"/>
    <mergeCell ref="B2:BA2"/>
    <mergeCell ref="B3:BA3"/>
    <mergeCell ref="B51:Q51"/>
    <mergeCell ref="AC4:AL4"/>
    <mergeCell ref="B49:Q49"/>
    <mergeCell ref="B48:AY48"/>
    <mergeCell ref="C4:AB4"/>
    <mergeCell ref="AN4:AX4"/>
  </mergeCells>
  <pageMargins left="0.7" right="0.7" top="0.75" bottom="0.75" header="0.3" footer="0.3"/>
  <pageSetup paperSize="9" orientation="portrait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CD49"/>
  <sheetViews>
    <sheetView topLeftCell="AZ1" zoomScaleNormal="100" workbookViewId="0">
      <selection activeCell="CG10" sqref="CG10"/>
    </sheetView>
  </sheetViews>
  <sheetFormatPr defaultRowHeight="12.75"/>
  <cols>
    <col min="1" max="1" width="13.140625" style="546" customWidth="1"/>
    <col min="2" max="2" width="5.140625" style="546" customWidth="1"/>
    <col min="3" max="4" width="9.140625" style="546" hidden="1" customWidth="1"/>
    <col min="5" max="5" width="10.85546875" style="546" hidden="1" customWidth="1"/>
    <col min="6" max="9" width="9.140625" style="546" hidden="1" customWidth="1"/>
    <col min="10" max="10" width="8.5703125" style="546" hidden="1" customWidth="1"/>
    <col min="11" max="11" width="7.7109375" style="546" hidden="1" customWidth="1"/>
    <col min="12" max="20" width="9.140625" style="546" customWidth="1"/>
    <col min="21" max="21" width="8.85546875" style="546" customWidth="1"/>
    <col min="22" max="22" width="6.5703125" style="1190" customWidth="1"/>
    <col min="23" max="23" width="8.28515625" style="546" hidden="1" customWidth="1"/>
    <col min="24" max="24" width="7.7109375" style="546" hidden="1" customWidth="1"/>
    <col min="25" max="25" width="8.140625" style="546" hidden="1" customWidth="1"/>
    <col min="26" max="26" width="8.42578125" style="546" hidden="1" customWidth="1"/>
    <col min="27" max="27" width="8.140625" style="546" hidden="1" customWidth="1"/>
    <col min="28" max="31" width="10.140625" style="546" hidden="1" customWidth="1"/>
    <col min="32" max="32" width="8.42578125" style="546" customWidth="1"/>
    <col min="33" max="33" width="9.28515625" style="546" customWidth="1"/>
    <col min="34" max="34" width="8" style="546" customWidth="1"/>
    <col min="35" max="35" width="9.85546875" style="546" customWidth="1"/>
    <col min="36" max="37" width="8.7109375" style="546" customWidth="1"/>
    <col min="38" max="38" width="9" style="546" customWidth="1"/>
    <col min="39" max="39" width="8.140625" style="546" customWidth="1"/>
    <col min="40" max="40" width="7.5703125" style="546" customWidth="1"/>
    <col min="41" max="41" width="8.28515625" style="546" customWidth="1"/>
    <col min="42" max="42" width="7.85546875" style="546" customWidth="1"/>
    <col min="43" max="44" width="8.140625" style="546" customWidth="1"/>
    <col min="45" max="45" width="8" style="546" customWidth="1"/>
    <col min="46" max="46" width="7.85546875" style="546" customWidth="1"/>
    <col min="47" max="47" width="7.7109375" style="546" customWidth="1"/>
    <col min="48" max="48" width="8" style="546" customWidth="1"/>
    <col min="49" max="49" width="7.42578125" style="546" customWidth="1"/>
    <col min="50" max="50" width="7" style="546" customWidth="1"/>
    <col min="51" max="51" width="7.140625" style="546" customWidth="1"/>
    <col min="52" max="52" width="7.42578125" style="546" customWidth="1"/>
    <col min="53" max="53" width="7.28515625" style="546" customWidth="1"/>
    <col min="54" max="54" width="8.28515625" style="546" customWidth="1"/>
    <col min="55" max="55" width="7" style="546" customWidth="1"/>
    <col min="56" max="56" width="7.42578125" style="546" customWidth="1"/>
    <col min="57" max="57" width="6.7109375" style="546" customWidth="1"/>
    <col min="58" max="58" width="7.5703125" style="546" customWidth="1"/>
    <col min="59" max="59" width="7.140625" style="546" customWidth="1"/>
    <col min="60" max="60" width="7.7109375" style="546" customWidth="1"/>
    <col min="61" max="61" width="7.28515625" style="546" customWidth="1"/>
    <col min="62" max="70" width="9.140625" style="546" hidden="1" customWidth="1"/>
    <col min="71" max="76" width="9.140625" style="546" customWidth="1"/>
    <col min="77" max="77" width="8.5703125" style="546" customWidth="1"/>
    <col min="78" max="80" width="9.140625" style="546" customWidth="1"/>
    <col min="81" max="81" width="7" style="546" customWidth="1"/>
    <col min="82" max="82" width="5.5703125" style="546" customWidth="1"/>
    <col min="83" max="16384" width="9.140625" style="546"/>
  </cols>
  <sheetData>
    <row r="1" spans="2:82" s="1090" customFormat="1" ht="15.75">
      <c r="B1" s="1088"/>
      <c r="C1" s="1089"/>
      <c r="D1" s="1089"/>
      <c r="E1" s="1089"/>
      <c r="F1" s="1089"/>
      <c r="G1" s="1089"/>
      <c r="H1" s="1089"/>
      <c r="I1" s="1089"/>
      <c r="J1" s="1089"/>
      <c r="K1" s="1089"/>
      <c r="V1" s="1091"/>
      <c r="BX1" s="1092"/>
      <c r="BY1" s="1092"/>
      <c r="BZ1" s="1092"/>
      <c r="CA1" s="1092"/>
      <c r="CB1" s="1092"/>
      <c r="CC1" s="1092" t="s">
        <v>108</v>
      </c>
    </row>
    <row r="2" spans="2:82" s="547" customFormat="1" ht="15.75">
      <c r="B2" s="1328" t="s">
        <v>132</v>
      </c>
      <c r="C2" s="1328"/>
      <c r="D2" s="1328"/>
      <c r="E2" s="1328"/>
      <c r="F2" s="1328"/>
      <c r="G2" s="1328"/>
      <c r="H2" s="1328"/>
      <c r="I2" s="1328"/>
      <c r="J2" s="1328"/>
      <c r="K2" s="1328"/>
      <c r="L2" s="1328"/>
      <c r="M2" s="1328"/>
      <c r="N2" s="1328"/>
      <c r="O2" s="1328"/>
      <c r="P2" s="1328"/>
      <c r="Q2" s="1328"/>
      <c r="R2" s="1328"/>
      <c r="S2" s="1328"/>
      <c r="T2" s="1328"/>
      <c r="U2" s="1328"/>
      <c r="V2" s="1328"/>
      <c r="W2" s="1328"/>
      <c r="X2" s="1328"/>
      <c r="Y2" s="1328"/>
      <c r="Z2" s="1328"/>
      <c r="AA2" s="1328"/>
      <c r="AB2" s="1328"/>
      <c r="AC2" s="1328"/>
      <c r="AD2" s="1328"/>
      <c r="AE2" s="1328"/>
      <c r="AF2" s="1328"/>
      <c r="AG2" s="1328"/>
      <c r="AH2" s="1328"/>
      <c r="AI2" s="1328"/>
      <c r="AJ2" s="1328"/>
      <c r="AK2" s="1328"/>
      <c r="AL2" s="1328"/>
      <c r="AM2" s="1328"/>
      <c r="AN2" s="1328"/>
      <c r="AO2" s="1328"/>
      <c r="AP2" s="1328"/>
      <c r="AQ2" s="1328"/>
      <c r="AR2" s="1328"/>
      <c r="AS2" s="1328"/>
      <c r="AT2" s="1328"/>
      <c r="AU2" s="1328"/>
      <c r="AV2" s="1328"/>
      <c r="AW2" s="1328"/>
      <c r="AX2" s="1328"/>
      <c r="AY2" s="1328"/>
      <c r="AZ2" s="1328"/>
      <c r="BA2" s="1328"/>
      <c r="BB2" s="1328"/>
      <c r="BC2" s="1328"/>
      <c r="BD2" s="1328"/>
      <c r="BE2" s="1328"/>
      <c r="BF2" s="1328"/>
      <c r="BG2" s="1328"/>
      <c r="BH2" s="1328"/>
      <c r="BI2" s="1328"/>
      <c r="BJ2" s="1328"/>
      <c r="BK2" s="1328"/>
      <c r="BL2" s="1328"/>
      <c r="BM2" s="1328"/>
      <c r="BN2" s="1328"/>
      <c r="BO2" s="1328"/>
      <c r="BP2" s="1328"/>
      <c r="BQ2" s="1328"/>
      <c r="BR2" s="1328"/>
      <c r="BS2" s="1328"/>
      <c r="BT2" s="1328"/>
      <c r="BU2" s="1328"/>
      <c r="BV2" s="1328"/>
      <c r="BW2" s="1328"/>
      <c r="BX2" s="1328"/>
      <c r="BY2" s="1328"/>
      <c r="BZ2" s="1328"/>
      <c r="CA2" s="1328"/>
      <c r="CB2" s="1328"/>
      <c r="CC2" s="1328"/>
    </row>
    <row r="3" spans="2:82">
      <c r="B3" s="1329" t="s">
        <v>72</v>
      </c>
      <c r="C3" s="1329"/>
      <c r="D3" s="1329"/>
      <c r="E3" s="1329"/>
      <c r="F3" s="1329"/>
      <c r="G3" s="1329"/>
      <c r="H3" s="1329"/>
      <c r="I3" s="1329"/>
      <c r="J3" s="1329"/>
      <c r="K3" s="1329"/>
      <c r="L3" s="1329"/>
      <c r="M3" s="1329"/>
      <c r="N3" s="1329"/>
      <c r="O3" s="1329"/>
      <c r="P3" s="1329"/>
      <c r="Q3" s="1329"/>
      <c r="R3" s="1329"/>
      <c r="S3" s="1329"/>
      <c r="T3" s="1329"/>
      <c r="U3" s="1329"/>
      <c r="V3" s="1329"/>
      <c r="W3" s="1329"/>
      <c r="X3" s="1329"/>
      <c r="Y3" s="1329"/>
      <c r="Z3" s="1329"/>
      <c r="AA3" s="1329"/>
      <c r="AB3" s="1329"/>
      <c r="AC3" s="1329"/>
      <c r="AD3" s="1329"/>
      <c r="AE3" s="1329"/>
      <c r="AF3" s="1329"/>
      <c r="AG3" s="1329"/>
      <c r="AH3" s="1329"/>
      <c r="AI3" s="1329"/>
      <c r="AJ3" s="1329"/>
      <c r="AK3" s="1329"/>
      <c r="AL3" s="1329"/>
      <c r="AM3" s="1329"/>
      <c r="AN3" s="1329"/>
      <c r="AO3" s="1329"/>
      <c r="AP3" s="1329"/>
      <c r="AQ3" s="1329"/>
      <c r="AR3" s="1329"/>
      <c r="AS3" s="1329"/>
      <c r="AT3" s="1329"/>
      <c r="AU3" s="1329"/>
      <c r="AV3" s="1329"/>
      <c r="AW3" s="1329"/>
      <c r="AX3" s="1329"/>
      <c r="AY3" s="1329"/>
      <c r="AZ3" s="1329"/>
      <c r="BA3" s="1329"/>
      <c r="BB3" s="1329"/>
      <c r="BC3" s="1329"/>
      <c r="BD3" s="1329"/>
      <c r="BE3" s="1329"/>
      <c r="BF3" s="1329"/>
      <c r="BG3" s="1329"/>
      <c r="BH3" s="1329"/>
      <c r="BI3" s="1329"/>
      <c r="BJ3" s="1329"/>
      <c r="BK3" s="1329"/>
      <c r="BL3" s="1329"/>
      <c r="BM3" s="1329"/>
      <c r="BN3" s="1329"/>
      <c r="BO3" s="1329"/>
      <c r="BP3" s="1329"/>
      <c r="BQ3" s="1329"/>
      <c r="BR3" s="1329"/>
      <c r="BS3" s="1329"/>
      <c r="BT3" s="1329"/>
      <c r="BU3" s="1329"/>
      <c r="BV3" s="1329"/>
      <c r="BW3" s="1329"/>
      <c r="BX3" s="1329"/>
      <c r="BY3" s="1329"/>
      <c r="BZ3" s="1329"/>
      <c r="CA3" s="1329"/>
      <c r="CB3" s="1329"/>
      <c r="CC3" s="1329"/>
    </row>
    <row r="4" spans="2:82" ht="21.75" customHeight="1">
      <c r="B4" s="1093"/>
      <c r="C4" s="1326" t="s">
        <v>327</v>
      </c>
      <c r="D4" s="1327"/>
      <c r="E4" s="1327"/>
      <c r="F4" s="1327"/>
      <c r="G4" s="1327"/>
      <c r="H4" s="1327"/>
      <c r="I4" s="1327"/>
      <c r="J4" s="1327"/>
      <c r="K4" s="1327"/>
      <c r="L4" s="1327"/>
      <c r="M4" s="1327"/>
      <c r="N4" s="1327"/>
      <c r="O4" s="1327"/>
      <c r="P4" s="1327"/>
      <c r="Q4" s="1327"/>
      <c r="R4" s="1327"/>
      <c r="S4" s="1327"/>
      <c r="T4" s="1327"/>
      <c r="U4" s="1327"/>
      <c r="V4" s="1217"/>
      <c r="W4" s="1204" t="s">
        <v>328</v>
      </c>
      <c r="X4" s="1205"/>
      <c r="Y4" s="1205"/>
      <c r="Z4" s="1205"/>
      <c r="AA4" s="1205"/>
      <c r="AB4" s="1205"/>
      <c r="AC4" s="1205"/>
      <c r="AD4" s="1205"/>
      <c r="AE4" s="1205"/>
      <c r="AF4" s="1339" t="s">
        <v>366</v>
      </c>
      <c r="AG4" s="1339"/>
      <c r="AH4" s="1339"/>
      <c r="AI4" s="1339"/>
      <c r="AJ4" s="1339"/>
      <c r="AK4" s="1339"/>
      <c r="AL4" s="1339"/>
      <c r="AM4" s="1339"/>
      <c r="AN4" s="1339"/>
      <c r="AO4" s="1340"/>
      <c r="AP4" s="1219"/>
      <c r="AQ4" s="1219"/>
      <c r="AR4" s="1219"/>
      <c r="AS4" s="1219"/>
      <c r="AT4" s="1219"/>
      <c r="AU4" s="1219"/>
      <c r="AV4" s="1219"/>
      <c r="AW4" s="1219"/>
      <c r="AX4" s="1219"/>
      <c r="AY4" s="1219"/>
      <c r="AZ4" s="1219"/>
      <c r="BA4" s="1219"/>
      <c r="BB4" s="1219"/>
      <c r="BC4" s="1219"/>
      <c r="BD4" s="1219"/>
      <c r="BE4" s="1219"/>
      <c r="BF4" s="1219"/>
      <c r="BG4" s="1219"/>
      <c r="BH4" s="1219"/>
      <c r="BI4" s="1220"/>
      <c r="BJ4" s="1324" t="s">
        <v>329</v>
      </c>
      <c r="BK4" s="1325"/>
      <c r="BL4" s="1325"/>
      <c r="BM4" s="1325"/>
      <c r="BN4" s="1325"/>
      <c r="BO4" s="1325"/>
      <c r="BP4" s="1325"/>
      <c r="BQ4" s="1325"/>
      <c r="BR4" s="1325"/>
      <c r="BS4" s="1325"/>
      <c r="BT4" s="1325"/>
      <c r="BU4" s="1325"/>
      <c r="BV4" s="1325"/>
      <c r="BW4" s="1325"/>
      <c r="BX4" s="1325"/>
      <c r="BY4" s="1325"/>
      <c r="BZ4" s="1325"/>
      <c r="CA4" s="1325"/>
      <c r="CB4" s="1094"/>
      <c r="CC4" s="1330" t="s">
        <v>363</v>
      </c>
      <c r="CD4" s="1095"/>
    </row>
    <row r="5" spans="2:82" ht="22.5" customHeight="1">
      <c r="B5" s="1093"/>
      <c r="C5" s="1335"/>
      <c r="D5" s="1336"/>
      <c r="E5" s="1336"/>
      <c r="F5" s="1336"/>
      <c r="G5" s="1336"/>
      <c r="H5" s="1336"/>
      <c r="I5" s="1336"/>
      <c r="J5" s="1336"/>
      <c r="K5" s="1336"/>
      <c r="L5" s="1336"/>
      <c r="M5" s="1336"/>
      <c r="N5" s="1336"/>
      <c r="O5" s="1336"/>
      <c r="P5" s="1336"/>
      <c r="Q5" s="1336"/>
      <c r="R5" s="1096"/>
      <c r="S5" s="1096"/>
      <c r="T5" s="1097"/>
      <c r="U5" s="1098"/>
      <c r="V5" s="1256" t="s">
        <v>359</v>
      </c>
      <c r="W5" s="1337"/>
      <c r="X5" s="1334"/>
      <c r="Y5" s="1334"/>
      <c r="Z5" s="1334"/>
      <c r="AA5" s="1334"/>
      <c r="AB5" s="1334"/>
      <c r="AC5" s="1334"/>
      <c r="AD5" s="1334"/>
      <c r="AE5" s="1334"/>
      <c r="AF5" s="1334"/>
      <c r="AG5" s="1334"/>
      <c r="AH5" s="1334"/>
      <c r="AI5" s="1334"/>
      <c r="AJ5" s="1334"/>
      <c r="AK5" s="1334"/>
      <c r="AL5" s="1334"/>
      <c r="AM5" s="1334"/>
      <c r="AN5" s="1334"/>
      <c r="AO5" s="1338"/>
      <c r="AP5" s="1333" t="s">
        <v>330</v>
      </c>
      <c r="AQ5" s="1333"/>
      <c r="AR5" s="1333"/>
      <c r="AS5" s="1333"/>
      <c r="AT5" s="1333"/>
      <c r="AU5" s="1333"/>
      <c r="AV5" s="1333"/>
      <c r="AW5" s="1333"/>
      <c r="AX5" s="1333"/>
      <c r="AY5" s="1099"/>
      <c r="AZ5" s="1334" t="s">
        <v>331</v>
      </c>
      <c r="BA5" s="1334"/>
      <c r="BB5" s="1334"/>
      <c r="BC5" s="1334"/>
      <c r="BD5" s="1334"/>
      <c r="BE5" s="1334"/>
      <c r="BF5" s="1334"/>
      <c r="BG5" s="1334"/>
      <c r="BH5" s="1334"/>
      <c r="BI5" s="1257"/>
      <c r="BJ5" s="1100"/>
      <c r="BK5" s="1101"/>
      <c r="BL5" s="1101"/>
      <c r="BM5" s="1101"/>
      <c r="BN5" s="1101"/>
      <c r="BO5" s="1101"/>
      <c r="BP5" s="1101"/>
      <c r="BQ5" s="1101"/>
      <c r="BR5" s="1101"/>
      <c r="BS5" s="1101"/>
      <c r="BT5" s="1101"/>
      <c r="BU5" s="1101"/>
      <c r="BV5" s="1101"/>
      <c r="BW5" s="1101"/>
      <c r="BX5" s="1101"/>
      <c r="BY5" s="1101"/>
      <c r="BZ5" s="1101"/>
      <c r="CA5" s="1101"/>
      <c r="CB5" s="1102"/>
      <c r="CC5" s="1331"/>
      <c r="CD5" s="1095"/>
    </row>
    <row r="6" spans="2:82">
      <c r="B6" s="1103"/>
      <c r="C6" s="1104">
        <v>2004</v>
      </c>
      <c r="D6" s="1105">
        <v>2005</v>
      </c>
      <c r="E6" s="1105">
        <v>2006</v>
      </c>
      <c r="F6" s="1105">
        <v>2007</v>
      </c>
      <c r="G6" s="1105">
        <v>2008</v>
      </c>
      <c r="H6" s="1105">
        <v>2009</v>
      </c>
      <c r="I6" s="1105">
        <v>2010</v>
      </c>
      <c r="J6" s="1105">
        <v>2011</v>
      </c>
      <c r="K6" s="1105">
        <v>2012</v>
      </c>
      <c r="L6" s="1105">
        <v>2013</v>
      </c>
      <c r="M6" s="1105">
        <v>2014</v>
      </c>
      <c r="N6" s="1105">
        <v>2015</v>
      </c>
      <c r="O6" s="1105">
        <v>2016</v>
      </c>
      <c r="P6" s="1105">
        <v>2017</v>
      </c>
      <c r="Q6" s="1105">
        <v>2018</v>
      </c>
      <c r="R6" s="1105">
        <v>2019</v>
      </c>
      <c r="S6" s="1105">
        <v>2020</v>
      </c>
      <c r="T6" s="1105">
        <v>2021</v>
      </c>
      <c r="U6" s="1106">
        <v>2022</v>
      </c>
      <c r="V6" s="1258">
        <v>2022</v>
      </c>
      <c r="W6" s="1105">
        <v>2004</v>
      </c>
      <c r="X6" s="1105">
        <v>2005</v>
      </c>
      <c r="Y6" s="1105">
        <v>2006</v>
      </c>
      <c r="Z6" s="1105">
        <v>2007</v>
      </c>
      <c r="AA6" s="1105">
        <v>2008</v>
      </c>
      <c r="AB6" s="1105">
        <v>2009</v>
      </c>
      <c r="AC6" s="1105">
        <v>2010</v>
      </c>
      <c r="AD6" s="1105">
        <v>2011</v>
      </c>
      <c r="AE6" s="1105">
        <v>2012</v>
      </c>
      <c r="AF6" s="1105">
        <v>2013</v>
      </c>
      <c r="AG6" s="1105">
        <v>2014</v>
      </c>
      <c r="AH6" s="1105">
        <v>2015</v>
      </c>
      <c r="AI6" s="1105">
        <v>2016</v>
      </c>
      <c r="AJ6" s="1107">
        <v>2017</v>
      </c>
      <c r="AK6" s="1107">
        <v>2018</v>
      </c>
      <c r="AL6" s="1107">
        <v>2019</v>
      </c>
      <c r="AM6" s="1107">
        <v>2020</v>
      </c>
      <c r="AN6" s="1108">
        <v>2021</v>
      </c>
      <c r="AO6" s="1109">
        <v>2022</v>
      </c>
      <c r="AP6" s="1105">
        <v>2013</v>
      </c>
      <c r="AQ6" s="1105">
        <v>2014</v>
      </c>
      <c r="AR6" s="1105">
        <v>2015</v>
      </c>
      <c r="AS6" s="1105">
        <v>2016</v>
      </c>
      <c r="AT6" s="1105">
        <v>2017</v>
      </c>
      <c r="AU6" s="1105">
        <v>2018</v>
      </c>
      <c r="AV6" s="1105">
        <v>2019</v>
      </c>
      <c r="AW6" s="1105">
        <v>2020</v>
      </c>
      <c r="AX6" s="1110">
        <v>2021</v>
      </c>
      <c r="AY6" s="1111">
        <v>2022</v>
      </c>
      <c r="AZ6" s="1105">
        <v>2013</v>
      </c>
      <c r="BA6" s="1105">
        <v>2014</v>
      </c>
      <c r="BB6" s="1105">
        <v>2015</v>
      </c>
      <c r="BC6" s="1105">
        <v>2016</v>
      </c>
      <c r="BD6" s="1107">
        <v>2017</v>
      </c>
      <c r="BE6" s="1107">
        <v>2018</v>
      </c>
      <c r="BF6" s="1107">
        <v>2019</v>
      </c>
      <c r="BG6" s="1107">
        <v>2020</v>
      </c>
      <c r="BH6" s="1112">
        <v>2021</v>
      </c>
      <c r="BI6" s="1109">
        <v>2022</v>
      </c>
      <c r="BJ6" s="1105">
        <v>2004</v>
      </c>
      <c r="BK6" s="1105">
        <v>2005</v>
      </c>
      <c r="BL6" s="1105">
        <v>2006</v>
      </c>
      <c r="BM6" s="1105">
        <v>2007</v>
      </c>
      <c r="BN6" s="1105">
        <v>2008</v>
      </c>
      <c r="BO6" s="1105">
        <v>2009</v>
      </c>
      <c r="BP6" s="1105">
        <v>2010</v>
      </c>
      <c r="BQ6" s="1105">
        <v>2011</v>
      </c>
      <c r="BR6" s="1105">
        <v>2012</v>
      </c>
      <c r="BS6" s="1105">
        <v>2013</v>
      </c>
      <c r="BT6" s="1105">
        <v>2014</v>
      </c>
      <c r="BU6" s="1105">
        <v>2015</v>
      </c>
      <c r="BV6" s="1105">
        <v>2016</v>
      </c>
      <c r="BW6" s="1105">
        <v>2017</v>
      </c>
      <c r="BX6" s="1105">
        <v>2018</v>
      </c>
      <c r="BY6" s="1105">
        <v>2019</v>
      </c>
      <c r="BZ6" s="1105">
        <v>2020</v>
      </c>
      <c r="CA6" s="1105">
        <v>2021</v>
      </c>
      <c r="CB6" s="1111">
        <v>2022</v>
      </c>
      <c r="CC6" s="1332"/>
      <c r="CD6" s="1113"/>
    </row>
    <row r="7" spans="2:82">
      <c r="B7" s="1114" t="s">
        <v>238</v>
      </c>
      <c r="C7" s="1115"/>
      <c r="D7" s="1115"/>
      <c r="E7" s="1115"/>
      <c r="F7" s="1115"/>
      <c r="G7" s="1115"/>
      <c r="H7" s="1115"/>
      <c r="I7" s="1115"/>
      <c r="J7" s="1115"/>
      <c r="K7" s="1115"/>
      <c r="L7" s="1115">
        <f>SUM(L8:L34)</f>
        <v>1123167</v>
      </c>
      <c r="M7" s="1115">
        <f>SUM(M8:M34)</f>
        <v>1260949</v>
      </c>
      <c r="N7" s="1116">
        <f>SUM(N8:N34)</f>
        <v>1306821</v>
      </c>
      <c r="O7" s="1116">
        <f t="shared" ref="O7:U7" si="0">SUM(O8:O34)</f>
        <v>1385725</v>
      </c>
      <c r="P7" s="1116">
        <f t="shared" si="0"/>
        <v>1522174</v>
      </c>
      <c r="Q7" s="1116">
        <f t="shared" si="0"/>
        <v>1465021</v>
      </c>
      <c r="R7" s="1116">
        <f t="shared" si="0"/>
        <v>1515196</v>
      </c>
      <c r="S7" s="1117">
        <f t="shared" si="0"/>
        <v>1251426</v>
      </c>
      <c r="T7" s="1117">
        <f>SUM(T8:T34)</f>
        <v>1384031</v>
      </c>
      <c r="U7" s="1199">
        <f t="shared" si="0"/>
        <v>1130746</v>
      </c>
      <c r="V7" s="1037">
        <v>5.24857041280712</v>
      </c>
      <c r="W7" s="1118"/>
      <c r="X7" s="1118"/>
      <c r="Y7" s="1118"/>
      <c r="Z7" s="1118"/>
      <c r="AA7" s="1118"/>
      <c r="AB7" s="1118"/>
      <c r="AC7" s="1118"/>
      <c r="AD7" s="1118"/>
      <c r="AE7" s="1118"/>
      <c r="AF7" s="1118">
        <f>SUM(AF8:AF34)</f>
        <v>271276</v>
      </c>
      <c r="AG7" s="1118">
        <f>SUM(AG8:AG34)</f>
        <v>271811</v>
      </c>
      <c r="AH7" s="1117">
        <f>SUM(AH8:AH34)</f>
        <v>307093</v>
      </c>
      <c r="AI7" s="1117">
        <f t="shared" ref="AI7:AM7" si="1">SUM(AI8:AI34)</f>
        <v>328043</v>
      </c>
      <c r="AJ7" s="1117">
        <f t="shared" si="1"/>
        <v>327563</v>
      </c>
      <c r="AK7" s="1117">
        <f t="shared" si="1"/>
        <v>315204</v>
      </c>
      <c r="AL7" s="1117">
        <f t="shared" si="1"/>
        <v>312117</v>
      </c>
      <c r="AM7" s="1117">
        <f t="shared" si="1"/>
        <v>226292</v>
      </c>
      <c r="AN7" s="1117">
        <f>SUM(AN8:AN34)</f>
        <v>267014</v>
      </c>
      <c r="AO7" s="1199">
        <f>SUM(AO8:AO34)</f>
        <v>282060</v>
      </c>
      <c r="AP7" s="1118"/>
      <c r="AQ7" s="1118"/>
      <c r="AR7" s="1118"/>
      <c r="AS7" s="1118"/>
      <c r="AT7" s="1118"/>
      <c r="AU7" s="1118"/>
      <c r="AV7" s="1118"/>
      <c r="AW7" s="1118"/>
      <c r="AX7" s="1118"/>
      <c r="AY7" s="1119"/>
      <c r="AZ7" s="1118"/>
      <c r="BA7" s="1118"/>
      <c r="BB7" s="1118"/>
      <c r="BC7" s="1118"/>
      <c r="BD7" s="1118"/>
      <c r="BE7" s="1118"/>
      <c r="BF7" s="1118"/>
      <c r="BG7" s="1118"/>
      <c r="BH7" s="1118"/>
      <c r="BI7" s="1119"/>
      <c r="BJ7" s="1118"/>
      <c r="BK7" s="1118"/>
      <c r="BL7" s="1117">
        <f>SUM(BL8:BL34)</f>
        <v>2065402</v>
      </c>
      <c r="BM7" s="1117">
        <f t="shared" ref="BM7:BR7" si="2">SUM(BM8:BM34)</f>
        <v>2219342</v>
      </c>
      <c r="BN7" s="1117">
        <f t="shared" si="2"/>
        <v>2028378</v>
      </c>
      <c r="BO7" s="1117">
        <f t="shared" si="2"/>
        <v>1388195</v>
      </c>
      <c r="BP7" s="1117">
        <f t="shared" si="2"/>
        <v>1490153</v>
      </c>
      <c r="BQ7" s="1117">
        <f t="shared" si="2"/>
        <v>1621285</v>
      </c>
      <c r="BR7" s="1120">
        <f t="shared" si="2"/>
        <v>1398645</v>
      </c>
      <c r="BS7" s="1117">
        <f>SUM(BS8:BS34)</f>
        <v>1394443</v>
      </c>
      <c r="BT7" s="1117">
        <f t="shared" ref="BT7:CA7" si="3">SUM(BT8:BT34)</f>
        <v>1532760</v>
      </c>
      <c r="BU7" s="1117">
        <f>SUM(BU8:BU34)</f>
        <v>1613914</v>
      </c>
      <c r="BV7" s="1117">
        <f t="shared" si="3"/>
        <v>1713768</v>
      </c>
      <c r="BW7" s="1117">
        <f t="shared" si="3"/>
        <v>1849737</v>
      </c>
      <c r="BX7" s="1117">
        <f t="shared" si="3"/>
        <v>1780225</v>
      </c>
      <c r="BY7" s="1117">
        <f t="shared" si="3"/>
        <v>1827313</v>
      </c>
      <c r="BZ7" s="1117">
        <f t="shared" si="3"/>
        <v>1477718</v>
      </c>
      <c r="CA7" s="1117">
        <f t="shared" si="3"/>
        <v>1651045</v>
      </c>
      <c r="CB7" s="1117">
        <f>SUM(CB8:CB34)</f>
        <v>1412806</v>
      </c>
      <c r="CC7" s="1121">
        <f>CB7/CA7*100-100</f>
        <v>-14.429588533322828</v>
      </c>
      <c r="CD7" s="1114" t="s">
        <v>238</v>
      </c>
    </row>
    <row r="8" spans="2:82">
      <c r="B8" s="1122" t="s">
        <v>45</v>
      </c>
      <c r="C8" s="1123">
        <v>58539</v>
      </c>
      <c r="D8" s="1123">
        <v>62068</v>
      </c>
      <c r="E8" s="1028">
        <v>60156</v>
      </c>
      <c r="F8" s="1028">
        <v>68007</v>
      </c>
      <c r="G8" s="1028">
        <v>67546</v>
      </c>
      <c r="H8" s="1028">
        <v>53620</v>
      </c>
      <c r="I8" s="1028">
        <v>54856</v>
      </c>
      <c r="J8" s="1028">
        <v>64049</v>
      </c>
      <c r="K8" s="1124">
        <v>57020</v>
      </c>
      <c r="L8" s="1124">
        <v>55793</v>
      </c>
      <c r="M8" s="1124">
        <v>55807</v>
      </c>
      <c r="N8" s="1125">
        <v>61247</v>
      </c>
      <c r="O8" s="1028">
        <v>68305</v>
      </c>
      <c r="P8" s="1028">
        <v>76579</v>
      </c>
      <c r="Q8" s="1028">
        <v>78085</v>
      </c>
      <c r="R8" s="1028">
        <v>81422</v>
      </c>
      <c r="S8" s="1029">
        <v>71499</v>
      </c>
      <c r="T8" s="1029">
        <v>71769</v>
      </c>
      <c r="U8" s="1030">
        <v>56227</v>
      </c>
      <c r="V8" s="1193">
        <v>3.2475501093780572</v>
      </c>
      <c r="W8" s="910">
        <v>10378</v>
      </c>
      <c r="X8" s="910">
        <v>13015</v>
      </c>
      <c r="Y8" s="910">
        <v>10779</v>
      </c>
      <c r="Z8" s="910">
        <v>12562</v>
      </c>
      <c r="AA8" s="910">
        <v>12524</v>
      </c>
      <c r="AB8" s="910">
        <v>8832</v>
      </c>
      <c r="AC8" s="910">
        <v>8054</v>
      </c>
      <c r="AD8" s="910">
        <v>10233</v>
      </c>
      <c r="AE8" s="1126">
        <v>8970</v>
      </c>
      <c r="AF8" s="910">
        <f t="shared" ref="AF8:AN8" si="4">AP8+AZ8</f>
        <v>7696</v>
      </c>
      <c r="AG8" s="910">
        <f t="shared" si="4"/>
        <v>7846</v>
      </c>
      <c r="AH8" s="910">
        <f t="shared" si="4"/>
        <v>8387</v>
      </c>
      <c r="AI8" s="910">
        <f t="shared" si="4"/>
        <v>9740</v>
      </c>
      <c r="AJ8" s="910">
        <f t="shared" si="4"/>
        <v>10268</v>
      </c>
      <c r="AK8" s="910">
        <f t="shared" si="4"/>
        <v>11373</v>
      </c>
      <c r="AL8" s="910">
        <f t="shared" si="4"/>
        <v>11722</v>
      </c>
      <c r="AM8" s="910">
        <f t="shared" si="4"/>
        <v>7622</v>
      </c>
      <c r="AN8" s="910">
        <f t="shared" si="4"/>
        <v>8295</v>
      </c>
      <c r="AO8" s="912">
        <f>AY8+BI8</f>
        <v>8645</v>
      </c>
      <c r="AP8" s="910">
        <v>3435</v>
      </c>
      <c r="AQ8" s="910">
        <v>3669</v>
      </c>
      <c r="AR8" s="910">
        <v>3606</v>
      </c>
      <c r="AS8" s="910">
        <v>3868</v>
      </c>
      <c r="AT8" s="910">
        <v>4364</v>
      </c>
      <c r="AU8" s="910">
        <v>4779</v>
      </c>
      <c r="AV8" s="910">
        <v>5381</v>
      </c>
      <c r="AW8" s="911">
        <v>4311</v>
      </c>
      <c r="AX8" s="910">
        <v>4017</v>
      </c>
      <c r="AY8" s="912">
        <v>3392</v>
      </c>
      <c r="AZ8" s="910">
        <v>4261</v>
      </c>
      <c r="BA8" s="910">
        <v>4177</v>
      </c>
      <c r="BB8" s="910">
        <v>4781</v>
      </c>
      <c r="BC8" s="910">
        <v>5872</v>
      </c>
      <c r="BD8" s="910">
        <v>5904</v>
      </c>
      <c r="BE8" s="910">
        <v>6594</v>
      </c>
      <c r="BF8" s="910">
        <v>6341</v>
      </c>
      <c r="BG8" s="910">
        <v>3311</v>
      </c>
      <c r="BH8" s="910">
        <v>4278</v>
      </c>
      <c r="BI8" s="912">
        <v>5253</v>
      </c>
      <c r="BJ8" s="910">
        <f t="shared" ref="BJ8:CA8" si="5">C8+W8</f>
        <v>68917</v>
      </c>
      <c r="BK8" s="910">
        <f t="shared" si="5"/>
        <v>75083</v>
      </c>
      <c r="BL8" s="910">
        <f t="shared" si="5"/>
        <v>70935</v>
      </c>
      <c r="BM8" s="910">
        <f t="shared" si="5"/>
        <v>80569</v>
      </c>
      <c r="BN8" s="910">
        <f t="shared" si="5"/>
        <v>80070</v>
      </c>
      <c r="BO8" s="910">
        <f t="shared" si="5"/>
        <v>62452</v>
      </c>
      <c r="BP8" s="910">
        <f t="shared" si="5"/>
        <v>62910</v>
      </c>
      <c r="BQ8" s="910">
        <f t="shared" si="5"/>
        <v>74282</v>
      </c>
      <c r="BR8" s="1126">
        <f t="shared" si="5"/>
        <v>65990</v>
      </c>
      <c r="BS8" s="910">
        <f t="shared" si="5"/>
        <v>63489</v>
      </c>
      <c r="BT8" s="910">
        <f t="shared" si="5"/>
        <v>63653</v>
      </c>
      <c r="BU8" s="910">
        <f t="shared" si="5"/>
        <v>69634</v>
      </c>
      <c r="BV8" s="910">
        <f t="shared" si="5"/>
        <v>78045</v>
      </c>
      <c r="BW8" s="910">
        <f t="shared" si="5"/>
        <v>86847</v>
      </c>
      <c r="BX8" s="910">
        <f t="shared" si="5"/>
        <v>89458</v>
      </c>
      <c r="BY8" s="910">
        <f t="shared" si="5"/>
        <v>93144</v>
      </c>
      <c r="BZ8" s="910">
        <f t="shared" si="5"/>
        <v>79121</v>
      </c>
      <c r="CA8" s="910">
        <f t="shared" si="5"/>
        <v>80064</v>
      </c>
      <c r="CB8" s="1212">
        <f>U8+AO8</f>
        <v>64872</v>
      </c>
      <c r="CC8" s="1208">
        <f t="shared" ref="CC8:CC38" si="6">CB8/CA8*100-100</f>
        <v>-18.974820143884898</v>
      </c>
      <c r="CD8" s="1127" t="s">
        <v>45</v>
      </c>
    </row>
    <row r="9" spans="2:82">
      <c r="B9" s="1038" t="s">
        <v>28</v>
      </c>
      <c r="C9" s="1128"/>
      <c r="D9" s="1128" t="s">
        <v>63</v>
      </c>
      <c r="E9" s="1128" t="s">
        <v>63</v>
      </c>
      <c r="F9" s="1128" t="s">
        <v>63</v>
      </c>
      <c r="G9" s="1128" t="s">
        <v>63</v>
      </c>
      <c r="H9" s="1128" t="s">
        <v>63</v>
      </c>
      <c r="I9" s="1128" t="s">
        <v>63</v>
      </c>
      <c r="J9" s="1128" t="s">
        <v>63</v>
      </c>
      <c r="K9" s="1129" t="s">
        <v>63</v>
      </c>
      <c r="L9" s="1035">
        <v>3346</v>
      </c>
      <c r="M9" s="1035">
        <v>4225</v>
      </c>
      <c r="N9" s="1035">
        <v>4553</v>
      </c>
      <c r="O9" s="1035">
        <v>4890</v>
      </c>
      <c r="P9" s="1035">
        <v>5000</v>
      </c>
      <c r="Q9" s="1035">
        <v>6282</v>
      </c>
      <c r="R9" s="1035">
        <v>5985</v>
      </c>
      <c r="S9" s="1130">
        <v>5000</v>
      </c>
      <c r="T9" s="1031">
        <v>6659</v>
      </c>
      <c r="U9" s="1032">
        <v>4889</v>
      </c>
      <c r="V9" s="1194">
        <v>8.1816322356310089E-2</v>
      </c>
      <c r="W9" s="1131" t="s">
        <v>63</v>
      </c>
      <c r="X9" s="1131" t="s">
        <v>63</v>
      </c>
      <c r="Y9" s="1131" t="s">
        <v>63</v>
      </c>
      <c r="Z9" s="1131" t="s">
        <v>63</v>
      </c>
      <c r="AA9" s="1131" t="s">
        <v>63</v>
      </c>
      <c r="AB9" s="1131" t="s">
        <v>63</v>
      </c>
      <c r="AC9" s="1131" t="s">
        <v>63</v>
      </c>
      <c r="AD9" s="1131" t="s">
        <v>63</v>
      </c>
      <c r="AE9" s="1132" t="s">
        <v>63</v>
      </c>
      <c r="AF9" s="914">
        <f t="shared" ref="AF9:AN14" si="7">AP9+AZ9</f>
        <v>9446</v>
      </c>
      <c r="AG9" s="914">
        <f t="shared" si="7"/>
        <v>10749</v>
      </c>
      <c r="AH9" s="914">
        <f t="shared" si="7"/>
        <v>13665</v>
      </c>
      <c r="AI9" s="914">
        <f t="shared" si="7"/>
        <v>2887</v>
      </c>
      <c r="AJ9" s="914">
        <f t="shared" si="7"/>
        <v>2641</v>
      </c>
      <c r="AK9" s="914">
        <f t="shared" si="7"/>
        <v>3540</v>
      </c>
      <c r="AL9" s="914">
        <f t="shared" si="7"/>
        <v>3234</v>
      </c>
      <c r="AM9" s="914">
        <f t="shared" si="7"/>
        <v>2055</v>
      </c>
      <c r="AN9" s="914">
        <f t="shared" si="7"/>
        <v>3073</v>
      </c>
      <c r="AO9" s="915">
        <f t="shared" ref="AO9:AO38" si="8">AY9+BI9</f>
        <v>3705</v>
      </c>
      <c r="AP9" s="913">
        <v>8075</v>
      </c>
      <c r="AQ9" s="913">
        <v>9059</v>
      </c>
      <c r="AR9" s="913">
        <v>10900</v>
      </c>
      <c r="AS9" s="913">
        <v>388</v>
      </c>
      <c r="AT9" s="914">
        <v>416</v>
      </c>
      <c r="AU9" s="914">
        <v>608</v>
      </c>
      <c r="AV9" s="914">
        <v>792</v>
      </c>
      <c r="AW9" s="914">
        <v>526</v>
      </c>
      <c r="AX9" s="914">
        <v>677</v>
      </c>
      <c r="AY9" s="915">
        <v>529</v>
      </c>
      <c r="AZ9" s="919">
        <v>1371</v>
      </c>
      <c r="BA9" s="919">
        <v>1690</v>
      </c>
      <c r="BB9" s="919">
        <v>2765</v>
      </c>
      <c r="BC9" s="919">
        <v>2499</v>
      </c>
      <c r="BD9" s="914">
        <v>2225</v>
      </c>
      <c r="BE9" s="914">
        <v>2932</v>
      </c>
      <c r="BF9" s="914">
        <v>2442</v>
      </c>
      <c r="BG9" s="914">
        <v>1529</v>
      </c>
      <c r="BH9" s="914">
        <v>2396</v>
      </c>
      <c r="BI9" s="915">
        <v>3176</v>
      </c>
      <c r="BJ9" s="913"/>
      <c r="BK9" s="919">
        <v>7631</v>
      </c>
      <c r="BL9" s="919">
        <v>10242</v>
      </c>
      <c r="BM9" s="919">
        <v>12225</v>
      </c>
      <c r="BN9" s="919">
        <v>13642</v>
      </c>
      <c r="BO9" s="919">
        <v>5514</v>
      </c>
      <c r="BP9" s="919">
        <v>5835</v>
      </c>
      <c r="BQ9" s="919">
        <v>8454</v>
      </c>
      <c r="BR9" s="1133">
        <v>10231</v>
      </c>
      <c r="BS9" s="919">
        <f t="shared" ref="BS9:BS24" si="9">L9+AF9</f>
        <v>12792</v>
      </c>
      <c r="BT9" s="919">
        <f t="shared" ref="BT9:BT24" si="10">M9+AG9</f>
        <v>14974</v>
      </c>
      <c r="BU9" s="919">
        <f t="shared" ref="BU9:BU25" si="11">N9+AH9</f>
        <v>18218</v>
      </c>
      <c r="BV9" s="919">
        <f t="shared" ref="BV9:BV24" si="12">O9+AI9</f>
        <v>7777</v>
      </c>
      <c r="BW9" s="914">
        <f t="shared" ref="BW9:BW24" si="13">P9+AJ9</f>
        <v>7641</v>
      </c>
      <c r="BX9" s="914">
        <f t="shared" ref="BX9:BX24" si="14">Q9+AK9</f>
        <v>9822</v>
      </c>
      <c r="BY9" s="914">
        <f t="shared" ref="BY9:BY24" si="15">R9+AL9</f>
        <v>9219</v>
      </c>
      <c r="BZ9" s="914">
        <f t="shared" ref="BZ9:BZ24" si="16">S9+AM9</f>
        <v>7055</v>
      </c>
      <c r="CA9" s="914">
        <f t="shared" ref="CA9:CA24" si="17">T9+AN9</f>
        <v>9732</v>
      </c>
      <c r="CB9" s="915">
        <f t="shared" ref="CB9:CB24" si="18">U9+AO9</f>
        <v>8594</v>
      </c>
      <c r="CC9" s="1209">
        <f t="shared" si="6"/>
        <v>-11.693382655158231</v>
      </c>
      <c r="CD9" s="1134" t="s">
        <v>28</v>
      </c>
    </row>
    <row r="10" spans="2:82">
      <c r="B10" s="1039" t="s">
        <v>30</v>
      </c>
      <c r="C10" s="1123">
        <v>17186</v>
      </c>
      <c r="D10" s="1123">
        <v>15965</v>
      </c>
      <c r="E10" s="1028">
        <v>16185</v>
      </c>
      <c r="F10" s="1028">
        <v>19534</v>
      </c>
      <c r="G10" s="1028">
        <v>20269</v>
      </c>
      <c r="H10" s="1028">
        <v>13007</v>
      </c>
      <c r="I10" s="1028">
        <v>11429</v>
      </c>
      <c r="J10" s="1028">
        <v>13377</v>
      </c>
      <c r="K10" s="1135">
        <v>11628</v>
      </c>
      <c r="L10" s="1028">
        <v>10801</v>
      </c>
      <c r="M10" s="1028">
        <v>12112</v>
      </c>
      <c r="N10" s="1028">
        <v>15216</v>
      </c>
      <c r="O10" s="1028">
        <v>17081</v>
      </c>
      <c r="P10" s="1028">
        <v>17157</v>
      </c>
      <c r="Q10" s="1028">
        <v>17968</v>
      </c>
      <c r="R10" s="1028">
        <v>17901</v>
      </c>
      <c r="S10" s="1029">
        <v>15045</v>
      </c>
      <c r="T10" s="1029">
        <v>19407</v>
      </c>
      <c r="U10" s="1030">
        <v>16908</v>
      </c>
      <c r="V10" s="1193">
        <v>0.74520936834634488</v>
      </c>
      <c r="W10" s="910">
        <v>6502</v>
      </c>
      <c r="X10" s="910">
        <v>8259</v>
      </c>
      <c r="Y10" s="910">
        <v>9794</v>
      </c>
      <c r="Z10" s="910">
        <v>12079</v>
      </c>
      <c r="AA10" s="910">
        <v>11404</v>
      </c>
      <c r="AB10" s="910">
        <v>5129</v>
      </c>
      <c r="AC10" s="910">
        <v>4953</v>
      </c>
      <c r="AD10" s="910">
        <v>7435</v>
      </c>
      <c r="AE10" s="1136">
        <v>6943</v>
      </c>
      <c r="AF10" s="910">
        <f t="shared" si="7"/>
        <v>8688</v>
      </c>
      <c r="AG10" s="910">
        <f t="shared" si="7"/>
        <v>9483</v>
      </c>
      <c r="AH10" s="910">
        <f t="shared" si="7"/>
        <v>11180</v>
      </c>
      <c r="AI10" s="910">
        <f t="shared" si="7"/>
        <v>12326</v>
      </c>
      <c r="AJ10" s="910">
        <f t="shared" si="7"/>
        <v>11163</v>
      </c>
      <c r="AK10" s="910">
        <f t="shared" si="7"/>
        <v>10982</v>
      </c>
      <c r="AL10" s="910">
        <f t="shared" si="7"/>
        <v>11110</v>
      </c>
      <c r="AM10" s="910">
        <f t="shared" si="7"/>
        <v>8392</v>
      </c>
      <c r="AN10" s="910">
        <f t="shared" si="7"/>
        <v>7963</v>
      </c>
      <c r="AO10" s="912">
        <f t="shared" si="8"/>
        <v>8990</v>
      </c>
      <c r="AP10" s="910">
        <v>8672</v>
      </c>
      <c r="AQ10" s="910">
        <v>9464</v>
      </c>
      <c r="AR10" s="910">
        <v>11147</v>
      </c>
      <c r="AS10" s="910">
        <v>12293</v>
      </c>
      <c r="AT10" s="910">
        <v>11074</v>
      </c>
      <c r="AU10" s="910">
        <v>10921</v>
      </c>
      <c r="AV10" s="910">
        <v>11095</v>
      </c>
      <c r="AW10" s="910">
        <v>8390</v>
      </c>
      <c r="AX10" s="910">
        <v>7960</v>
      </c>
      <c r="AY10" s="912">
        <v>8988</v>
      </c>
      <c r="AZ10" s="910">
        <v>16</v>
      </c>
      <c r="BA10" s="910">
        <v>19</v>
      </c>
      <c r="BB10" s="910">
        <v>33</v>
      </c>
      <c r="BC10" s="910">
        <v>33</v>
      </c>
      <c r="BD10" s="910">
        <v>89</v>
      </c>
      <c r="BE10" s="910">
        <v>61</v>
      </c>
      <c r="BF10" s="910">
        <v>15</v>
      </c>
      <c r="BG10" s="910">
        <v>2</v>
      </c>
      <c r="BH10" s="910">
        <v>3</v>
      </c>
      <c r="BI10" s="912">
        <v>2</v>
      </c>
      <c r="BJ10" s="910">
        <f t="shared" ref="BJ10:BR17" si="19">C10+W10</f>
        <v>23688</v>
      </c>
      <c r="BK10" s="910">
        <f t="shared" si="19"/>
        <v>24224</v>
      </c>
      <c r="BL10" s="910">
        <f t="shared" si="19"/>
        <v>25979</v>
      </c>
      <c r="BM10" s="910">
        <f t="shared" si="19"/>
        <v>31613</v>
      </c>
      <c r="BN10" s="910">
        <f t="shared" si="19"/>
        <v>31673</v>
      </c>
      <c r="BO10" s="910">
        <f t="shared" si="19"/>
        <v>18136</v>
      </c>
      <c r="BP10" s="910">
        <f t="shared" si="19"/>
        <v>16382</v>
      </c>
      <c r="BQ10" s="910">
        <f t="shared" si="19"/>
        <v>20812</v>
      </c>
      <c r="BR10" s="1136">
        <f t="shared" si="19"/>
        <v>18571</v>
      </c>
      <c r="BS10" s="910">
        <f t="shared" si="9"/>
        <v>19489</v>
      </c>
      <c r="BT10" s="910">
        <f t="shared" si="10"/>
        <v>21595</v>
      </c>
      <c r="BU10" s="910">
        <f t="shared" si="11"/>
        <v>26396</v>
      </c>
      <c r="BV10" s="910">
        <f t="shared" si="12"/>
        <v>29407</v>
      </c>
      <c r="BW10" s="910">
        <f t="shared" si="13"/>
        <v>28320</v>
      </c>
      <c r="BX10" s="910">
        <f t="shared" si="14"/>
        <v>28950</v>
      </c>
      <c r="BY10" s="910">
        <f t="shared" si="15"/>
        <v>29011</v>
      </c>
      <c r="BZ10" s="910">
        <f t="shared" si="16"/>
        <v>23437</v>
      </c>
      <c r="CA10" s="910">
        <f t="shared" si="17"/>
        <v>27370</v>
      </c>
      <c r="CB10" s="912">
        <f t="shared" si="18"/>
        <v>25898</v>
      </c>
      <c r="CC10" s="1208">
        <f t="shared" si="6"/>
        <v>-5.378151260504211</v>
      </c>
      <c r="CD10" s="1127" t="s">
        <v>30</v>
      </c>
    </row>
    <row r="11" spans="2:82">
      <c r="B11" s="1038" t="s">
        <v>41</v>
      </c>
      <c r="C11" s="1137">
        <v>44791</v>
      </c>
      <c r="D11" s="1138">
        <v>57880</v>
      </c>
      <c r="E11" s="1035">
        <v>62792</v>
      </c>
      <c r="F11" s="1035">
        <v>56067</v>
      </c>
      <c r="G11" s="1035">
        <v>33602</v>
      </c>
      <c r="H11" s="1035">
        <v>15207</v>
      </c>
      <c r="I11" s="1035">
        <v>16092</v>
      </c>
      <c r="J11" s="1035">
        <v>23600</v>
      </c>
      <c r="K11" s="1033">
        <v>24053</v>
      </c>
      <c r="L11" s="1035">
        <v>24020</v>
      </c>
      <c r="M11" s="1035">
        <v>28450</v>
      </c>
      <c r="N11" s="1035">
        <v>32439</v>
      </c>
      <c r="O11" s="1035">
        <v>36607</v>
      </c>
      <c r="P11" s="1035">
        <v>35869</v>
      </c>
      <c r="Q11" s="1035">
        <v>33857</v>
      </c>
      <c r="R11" s="1035">
        <v>33104</v>
      </c>
      <c r="S11" s="1130">
        <v>31079</v>
      </c>
      <c r="T11" s="1130">
        <v>31551</v>
      </c>
      <c r="U11" s="1032">
        <v>27168</v>
      </c>
      <c r="V11" s="1194">
        <v>7.1002650176678452</v>
      </c>
      <c r="W11" s="916">
        <v>4661</v>
      </c>
      <c r="X11" s="916">
        <v>6412</v>
      </c>
      <c r="Y11" s="916">
        <v>5990</v>
      </c>
      <c r="Z11" s="916">
        <v>6891</v>
      </c>
      <c r="AA11" s="916">
        <v>6673</v>
      </c>
      <c r="AB11" s="916">
        <v>3252</v>
      </c>
      <c r="AC11" s="916">
        <v>2840</v>
      </c>
      <c r="AD11" s="916">
        <v>3548</v>
      </c>
      <c r="AE11" s="1139">
        <v>3768</v>
      </c>
      <c r="AF11" s="916">
        <f t="shared" si="7"/>
        <v>4064</v>
      </c>
      <c r="AG11" s="916">
        <f t="shared" si="7"/>
        <v>3554</v>
      </c>
      <c r="AH11" s="916">
        <f t="shared" si="7"/>
        <v>4483</v>
      </c>
      <c r="AI11" s="916">
        <f t="shared" si="7"/>
        <v>4782</v>
      </c>
      <c r="AJ11" s="916">
        <f t="shared" si="7"/>
        <v>4585</v>
      </c>
      <c r="AK11" s="916">
        <f t="shared" si="7"/>
        <v>4628</v>
      </c>
      <c r="AL11" s="916">
        <f t="shared" si="7"/>
        <v>4575</v>
      </c>
      <c r="AM11" s="916">
        <f t="shared" si="7"/>
        <v>3499</v>
      </c>
      <c r="AN11" s="916">
        <f t="shared" si="7"/>
        <v>4079</v>
      </c>
      <c r="AO11" s="917">
        <f t="shared" si="8"/>
        <v>4584</v>
      </c>
      <c r="AP11" s="916">
        <v>1769</v>
      </c>
      <c r="AQ11" s="916">
        <v>1564</v>
      </c>
      <c r="AR11" s="916">
        <v>1835</v>
      </c>
      <c r="AS11" s="916">
        <v>2135</v>
      </c>
      <c r="AT11" s="916">
        <v>2075</v>
      </c>
      <c r="AU11" s="916">
        <v>2200</v>
      </c>
      <c r="AV11" s="916">
        <v>2260</v>
      </c>
      <c r="AW11" s="916">
        <v>1968</v>
      </c>
      <c r="AX11" s="916">
        <v>2063</v>
      </c>
      <c r="AY11" s="917">
        <v>2079</v>
      </c>
      <c r="AZ11" s="916">
        <v>2295</v>
      </c>
      <c r="BA11" s="916">
        <v>1990</v>
      </c>
      <c r="BB11" s="916">
        <v>2648</v>
      </c>
      <c r="BC11" s="916">
        <v>2647</v>
      </c>
      <c r="BD11" s="916">
        <v>2510</v>
      </c>
      <c r="BE11" s="916">
        <v>2428</v>
      </c>
      <c r="BF11" s="916">
        <v>2315</v>
      </c>
      <c r="BG11" s="916">
        <v>1531</v>
      </c>
      <c r="BH11" s="916">
        <v>2016</v>
      </c>
      <c r="BI11" s="917">
        <v>2505</v>
      </c>
      <c r="BJ11" s="916">
        <f t="shared" si="19"/>
        <v>49452</v>
      </c>
      <c r="BK11" s="916">
        <f t="shared" si="19"/>
        <v>64292</v>
      </c>
      <c r="BL11" s="916">
        <f t="shared" si="19"/>
        <v>68782</v>
      </c>
      <c r="BM11" s="916">
        <f t="shared" si="19"/>
        <v>62958</v>
      </c>
      <c r="BN11" s="916">
        <f t="shared" si="19"/>
        <v>40275</v>
      </c>
      <c r="BO11" s="916">
        <f t="shared" si="19"/>
        <v>18459</v>
      </c>
      <c r="BP11" s="916">
        <f t="shared" si="19"/>
        <v>18932</v>
      </c>
      <c r="BQ11" s="916">
        <f t="shared" si="19"/>
        <v>27148</v>
      </c>
      <c r="BR11" s="1139">
        <f t="shared" si="19"/>
        <v>27821</v>
      </c>
      <c r="BS11" s="916">
        <f t="shared" si="9"/>
        <v>28084</v>
      </c>
      <c r="BT11" s="916">
        <f t="shared" si="10"/>
        <v>32004</v>
      </c>
      <c r="BU11" s="916">
        <f t="shared" si="11"/>
        <v>36922</v>
      </c>
      <c r="BV11" s="916">
        <f t="shared" si="12"/>
        <v>41389</v>
      </c>
      <c r="BW11" s="916">
        <f t="shared" si="13"/>
        <v>40454</v>
      </c>
      <c r="BX11" s="916">
        <f t="shared" si="14"/>
        <v>38485</v>
      </c>
      <c r="BY11" s="916">
        <f t="shared" si="15"/>
        <v>37679</v>
      </c>
      <c r="BZ11" s="916">
        <f t="shared" si="16"/>
        <v>34578</v>
      </c>
      <c r="CA11" s="916">
        <f t="shared" si="17"/>
        <v>35630</v>
      </c>
      <c r="CB11" s="917">
        <f t="shared" si="18"/>
        <v>31752</v>
      </c>
      <c r="CC11" s="1209">
        <f t="shared" si="6"/>
        <v>-10.884086444007863</v>
      </c>
      <c r="CD11" s="1134" t="s">
        <v>41</v>
      </c>
    </row>
    <row r="12" spans="2:82">
      <c r="B12" s="1039" t="s">
        <v>46</v>
      </c>
      <c r="C12" s="1140">
        <v>185541</v>
      </c>
      <c r="D12" s="1123">
        <v>193736</v>
      </c>
      <c r="E12" s="1028">
        <v>197513</v>
      </c>
      <c r="F12" s="1028">
        <v>221769</v>
      </c>
      <c r="G12" s="1028">
        <v>223525</v>
      </c>
      <c r="H12" s="1028">
        <v>170067</v>
      </c>
      <c r="I12" s="1028">
        <v>197270</v>
      </c>
      <c r="J12" s="1028">
        <v>233617</v>
      </c>
      <c r="K12" s="1135">
        <v>219508</v>
      </c>
      <c r="L12" s="1028">
        <v>208132</v>
      </c>
      <c r="M12" s="1028">
        <v>223537</v>
      </c>
      <c r="N12" s="1028">
        <v>232768</v>
      </c>
      <c r="O12" s="1028">
        <v>251904</v>
      </c>
      <c r="P12" s="1028">
        <v>264060</v>
      </c>
      <c r="Q12" s="1028">
        <v>278286</v>
      </c>
      <c r="R12" s="1028">
        <v>297128</v>
      </c>
      <c r="S12" s="1029">
        <v>259580</v>
      </c>
      <c r="T12" s="1029">
        <v>257742</v>
      </c>
      <c r="U12" s="1030">
        <v>222474</v>
      </c>
      <c r="V12" s="1193">
        <v>7.9384557296582976</v>
      </c>
      <c r="W12" s="910">
        <v>92463</v>
      </c>
      <c r="X12" s="910">
        <v>101891</v>
      </c>
      <c r="Y12" s="910">
        <v>101210</v>
      </c>
      <c r="Z12" s="910">
        <v>106876</v>
      </c>
      <c r="AA12" s="910">
        <v>105589</v>
      </c>
      <c r="AB12" s="910">
        <v>66499</v>
      </c>
      <c r="AC12" s="910">
        <v>79668</v>
      </c>
      <c r="AD12" s="910">
        <v>96161</v>
      </c>
      <c r="AE12" s="1136">
        <v>86218</v>
      </c>
      <c r="AF12" s="910">
        <f t="shared" si="7"/>
        <v>75869</v>
      </c>
      <c r="AG12" s="910">
        <f t="shared" si="7"/>
        <v>75404</v>
      </c>
      <c r="AH12" s="910">
        <f t="shared" si="7"/>
        <v>78621</v>
      </c>
      <c r="AI12" s="910">
        <f t="shared" si="7"/>
        <v>80819</v>
      </c>
      <c r="AJ12" s="910">
        <f t="shared" si="7"/>
        <v>80149</v>
      </c>
      <c r="AK12" s="910">
        <f t="shared" si="7"/>
        <v>82208</v>
      </c>
      <c r="AL12" s="910">
        <f t="shared" si="7"/>
        <v>85130</v>
      </c>
      <c r="AM12" s="910">
        <f t="shared" si="7"/>
        <v>61454</v>
      </c>
      <c r="AN12" s="910">
        <f t="shared" si="7"/>
        <v>65200</v>
      </c>
      <c r="AO12" s="912">
        <f t="shared" si="8"/>
        <v>63919</v>
      </c>
      <c r="AP12" s="910">
        <v>45800</v>
      </c>
      <c r="AQ12" s="910">
        <v>41074</v>
      </c>
      <c r="AR12" s="910">
        <v>42077</v>
      </c>
      <c r="AS12" s="910">
        <v>43852</v>
      </c>
      <c r="AT12" s="910">
        <v>42543</v>
      </c>
      <c r="AU12" s="910">
        <v>43481</v>
      </c>
      <c r="AV12" s="910">
        <v>46510</v>
      </c>
      <c r="AW12" s="910">
        <v>35508</v>
      </c>
      <c r="AX12" s="910">
        <v>35502</v>
      </c>
      <c r="AY12" s="912">
        <v>31311</v>
      </c>
      <c r="AZ12" s="910">
        <v>30069</v>
      </c>
      <c r="BA12" s="910">
        <v>34330</v>
      </c>
      <c r="BB12" s="910">
        <v>36544</v>
      </c>
      <c r="BC12" s="910">
        <v>36967</v>
      </c>
      <c r="BD12" s="910">
        <v>37606</v>
      </c>
      <c r="BE12" s="910">
        <v>38727</v>
      </c>
      <c r="BF12" s="910">
        <v>38620</v>
      </c>
      <c r="BG12" s="910">
        <v>25946</v>
      </c>
      <c r="BH12" s="910">
        <v>29698</v>
      </c>
      <c r="BI12" s="912">
        <v>32608</v>
      </c>
      <c r="BJ12" s="910">
        <f t="shared" si="19"/>
        <v>278004</v>
      </c>
      <c r="BK12" s="910">
        <f t="shared" si="19"/>
        <v>295627</v>
      </c>
      <c r="BL12" s="910">
        <f t="shared" si="19"/>
        <v>298723</v>
      </c>
      <c r="BM12" s="910">
        <f t="shared" si="19"/>
        <v>328645</v>
      </c>
      <c r="BN12" s="910">
        <f t="shared" si="19"/>
        <v>329114</v>
      </c>
      <c r="BO12" s="910">
        <f t="shared" si="19"/>
        <v>236566</v>
      </c>
      <c r="BP12" s="910">
        <f t="shared" si="19"/>
        <v>276938</v>
      </c>
      <c r="BQ12" s="910">
        <f t="shared" si="19"/>
        <v>329778</v>
      </c>
      <c r="BR12" s="1136">
        <f t="shared" si="19"/>
        <v>305726</v>
      </c>
      <c r="BS12" s="910">
        <f t="shared" si="9"/>
        <v>284001</v>
      </c>
      <c r="BT12" s="910">
        <f t="shared" si="10"/>
        <v>298941</v>
      </c>
      <c r="BU12" s="910">
        <f t="shared" si="11"/>
        <v>311389</v>
      </c>
      <c r="BV12" s="910">
        <f t="shared" si="12"/>
        <v>332723</v>
      </c>
      <c r="BW12" s="910">
        <f t="shared" si="13"/>
        <v>344209</v>
      </c>
      <c r="BX12" s="910">
        <f t="shared" si="14"/>
        <v>360494</v>
      </c>
      <c r="BY12" s="910">
        <f t="shared" si="15"/>
        <v>382258</v>
      </c>
      <c r="BZ12" s="910">
        <f t="shared" si="16"/>
        <v>321034</v>
      </c>
      <c r="CA12" s="910">
        <f t="shared" si="17"/>
        <v>322942</v>
      </c>
      <c r="CB12" s="912">
        <f t="shared" si="18"/>
        <v>286393</v>
      </c>
      <c r="CC12" s="1208">
        <f t="shared" si="6"/>
        <v>-11.317512122919908</v>
      </c>
      <c r="CD12" s="1127" t="s">
        <v>46</v>
      </c>
    </row>
    <row r="13" spans="2:82">
      <c r="B13" s="1038" t="s">
        <v>31</v>
      </c>
      <c r="C13" s="1137">
        <v>2365</v>
      </c>
      <c r="D13" s="1138">
        <v>2896</v>
      </c>
      <c r="E13" s="1035">
        <v>3696</v>
      </c>
      <c r="F13" s="1035">
        <v>4610</v>
      </c>
      <c r="G13" s="1035">
        <v>2976</v>
      </c>
      <c r="H13" s="1035">
        <v>1175</v>
      </c>
      <c r="I13" s="1035">
        <v>1370</v>
      </c>
      <c r="J13" s="1035">
        <v>2435</v>
      </c>
      <c r="K13" s="1033">
        <v>2752</v>
      </c>
      <c r="L13" s="1035">
        <v>2888</v>
      </c>
      <c r="M13" s="1035">
        <v>3243</v>
      </c>
      <c r="N13" s="1035">
        <v>3915</v>
      </c>
      <c r="O13" s="1035">
        <v>4355</v>
      </c>
      <c r="P13" s="1035">
        <v>4744</v>
      </c>
      <c r="Q13" s="1035">
        <v>5017</v>
      </c>
      <c r="R13" s="1035">
        <v>4448</v>
      </c>
      <c r="S13" s="1130">
        <v>3302</v>
      </c>
      <c r="T13" s="1130">
        <v>4183</v>
      </c>
      <c r="U13" s="1032">
        <v>3755</v>
      </c>
      <c r="V13" s="1194">
        <v>1.5712383488681758</v>
      </c>
      <c r="W13" s="916">
        <v>638</v>
      </c>
      <c r="X13" s="916">
        <v>975</v>
      </c>
      <c r="Y13" s="916">
        <v>1534</v>
      </c>
      <c r="Z13" s="916">
        <v>1718</v>
      </c>
      <c r="AA13" s="916">
        <v>1301</v>
      </c>
      <c r="AB13" s="916">
        <v>256</v>
      </c>
      <c r="AC13" s="916">
        <v>370</v>
      </c>
      <c r="AD13" s="916">
        <v>746</v>
      </c>
      <c r="AE13" s="1139">
        <v>734</v>
      </c>
      <c r="AF13" s="916">
        <f t="shared" si="7"/>
        <v>856</v>
      </c>
      <c r="AG13" s="916">
        <f t="shared" si="7"/>
        <v>776</v>
      </c>
      <c r="AH13" s="916">
        <f t="shared" si="7"/>
        <v>769</v>
      </c>
      <c r="AI13" s="916">
        <f t="shared" si="7"/>
        <v>879</v>
      </c>
      <c r="AJ13" s="916">
        <f t="shared" si="7"/>
        <v>1086</v>
      </c>
      <c r="AK13" s="916">
        <f t="shared" si="7"/>
        <v>1083</v>
      </c>
      <c r="AL13" s="916">
        <f t="shared" si="7"/>
        <v>1043</v>
      </c>
      <c r="AM13" s="916">
        <f t="shared" si="7"/>
        <v>505</v>
      </c>
      <c r="AN13" s="916">
        <f t="shared" si="7"/>
        <v>775</v>
      </c>
      <c r="AO13" s="917">
        <f t="shared" si="8"/>
        <v>947</v>
      </c>
      <c r="AP13" s="916">
        <v>215</v>
      </c>
      <c r="AQ13" s="916">
        <v>247</v>
      </c>
      <c r="AR13" s="916">
        <v>218</v>
      </c>
      <c r="AS13" s="916">
        <v>250</v>
      </c>
      <c r="AT13" s="916">
        <v>333</v>
      </c>
      <c r="AU13" s="916">
        <v>323</v>
      </c>
      <c r="AV13" s="916">
        <v>327</v>
      </c>
      <c r="AW13" s="916">
        <v>234</v>
      </c>
      <c r="AX13" s="916">
        <v>240</v>
      </c>
      <c r="AY13" s="917">
        <v>258</v>
      </c>
      <c r="AZ13" s="916">
        <v>641</v>
      </c>
      <c r="BA13" s="916">
        <v>529</v>
      </c>
      <c r="BB13" s="916">
        <v>551</v>
      </c>
      <c r="BC13" s="916">
        <v>629</v>
      </c>
      <c r="BD13" s="916">
        <v>753</v>
      </c>
      <c r="BE13" s="916">
        <v>760</v>
      </c>
      <c r="BF13" s="916">
        <v>716</v>
      </c>
      <c r="BG13" s="916">
        <v>271</v>
      </c>
      <c r="BH13" s="916">
        <v>535</v>
      </c>
      <c r="BI13" s="917">
        <v>689</v>
      </c>
      <c r="BJ13" s="916">
        <f t="shared" si="19"/>
        <v>3003</v>
      </c>
      <c r="BK13" s="916">
        <f t="shared" si="19"/>
        <v>3871</v>
      </c>
      <c r="BL13" s="916">
        <f t="shared" si="19"/>
        <v>5230</v>
      </c>
      <c r="BM13" s="916">
        <f t="shared" si="19"/>
        <v>6328</v>
      </c>
      <c r="BN13" s="916">
        <f t="shared" si="19"/>
        <v>4277</v>
      </c>
      <c r="BO13" s="916">
        <f t="shared" si="19"/>
        <v>1431</v>
      </c>
      <c r="BP13" s="916">
        <f t="shared" si="19"/>
        <v>1740</v>
      </c>
      <c r="BQ13" s="916">
        <f t="shared" si="19"/>
        <v>3181</v>
      </c>
      <c r="BR13" s="1139">
        <f t="shared" si="19"/>
        <v>3486</v>
      </c>
      <c r="BS13" s="916">
        <f t="shared" si="9"/>
        <v>3744</v>
      </c>
      <c r="BT13" s="916">
        <f t="shared" si="10"/>
        <v>4019</v>
      </c>
      <c r="BU13" s="916">
        <f t="shared" si="11"/>
        <v>4684</v>
      </c>
      <c r="BV13" s="916">
        <f t="shared" si="12"/>
        <v>5234</v>
      </c>
      <c r="BW13" s="916">
        <f t="shared" si="13"/>
        <v>5830</v>
      </c>
      <c r="BX13" s="916">
        <f t="shared" si="14"/>
        <v>6100</v>
      </c>
      <c r="BY13" s="916">
        <f t="shared" si="15"/>
        <v>5491</v>
      </c>
      <c r="BZ13" s="916">
        <f t="shared" si="16"/>
        <v>3807</v>
      </c>
      <c r="CA13" s="916">
        <f t="shared" si="17"/>
        <v>4958</v>
      </c>
      <c r="CB13" s="917">
        <f t="shared" si="18"/>
        <v>4702</v>
      </c>
      <c r="CC13" s="1209">
        <f t="shared" si="6"/>
        <v>-5.1633723275514285</v>
      </c>
      <c r="CD13" s="1134" t="s">
        <v>31</v>
      </c>
    </row>
    <row r="14" spans="2:82">
      <c r="B14" s="1039" t="s">
        <v>49</v>
      </c>
      <c r="C14" s="1140">
        <v>29313</v>
      </c>
      <c r="D14" s="1123">
        <v>36431</v>
      </c>
      <c r="E14" s="1028">
        <v>39502</v>
      </c>
      <c r="F14" s="1028">
        <v>42727</v>
      </c>
      <c r="G14" s="1028">
        <v>28163</v>
      </c>
      <c r="H14" s="1028">
        <v>8611</v>
      </c>
      <c r="I14" s="1028">
        <v>9957</v>
      </c>
      <c r="J14" s="1028">
        <v>10868</v>
      </c>
      <c r="K14" s="1135">
        <v>10325</v>
      </c>
      <c r="L14" s="1028">
        <v>10879</v>
      </c>
      <c r="M14" s="1028">
        <v>15156</v>
      </c>
      <c r="N14" s="1028">
        <v>24344</v>
      </c>
      <c r="O14" s="1028">
        <v>28129</v>
      </c>
      <c r="P14" s="1028">
        <v>23132</v>
      </c>
      <c r="Q14" s="1028">
        <v>24056</v>
      </c>
      <c r="R14" s="1028">
        <v>25592</v>
      </c>
      <c r="S14" s="1029">
        <v>20191</v>
      </c>
      <c r="T14" s="1029">
        <v>26914</v>
      </c>
      <c r="U14" s="1030">
        <v>22367</v>
      </c>
      <c r="V14" s="1200">
        <v>2.2935574730629944</v>
      </c>
      <c r="W14" s="1141">
        <v>4274</v>
      </c>
      <c r="X14" s="910">
        <v>5534</v>
      </c>
      <c r="Y14" s="910">
        <v>6789</v>
      </c>
      <c r="Z14" s="910">
        <v>6138</v>
      </c>
      <c r="AA14" s="910">
        <v>4688</v>
      </c>
      <c r="AB14" s="910">
        <v>1558</v>
      </c>
      <c r="AC14" s="910">
        <v>1486</v>
      </c>
      <c r="AD14" s="910">
        <v>1497</v>
      </c>
      <c r="AE14" s="1136">
        <v>1564</v>
      </c>
      <c r="AF14" s="910">
        <f t="shared" si="7"/>
        <v>1226</v>
      </c>
      <c r="AG14" s="910">
        <f t="shared" si="7"/>
        <v>1320</v>
      </c>
      <c r="AH14" s="910">
        <f t="shared" si="7"/>
        <v>1656</v>
      </c>
      <c r="AI14" s="910">
        <f t="shared" si="7"/>
        <v>2189</v>
      </c>
      <c r="AJ14" s="910">
        <f t="shared" si="7"/>
        <v>1949</v>
      </c>
      <c r="AK14" s="910">
        <f t="shared" si="7"/>
        <v>1971</v>
      </c>
      <c r="AL14" s="910">
        <f t="shared" si="7"/>
        <v>2070</v>
      </c>
      <c r="AM14" s="910">
        <f t="shared" si="7"/>
        <v>1768</v>
      </c>
      <c r="AN14" s="910">
        <f t="shared" si="7"/>
        <v>1840</v>
      </c>
      <c r="AO14" s="912">
        <f t="shared" si="8"/>
        <v>1975</v>
      </c>
      <c r="AP14" s="910">
        <v>328</v>
      </c>
      <c r="AQ14" s="910">
        <v>471</v>
      </c>
      <c r="AR14" s="910">
        <v>655</v>
      </c>
      <c r="AS14" s="910">
        <v>946</v>
      </c>
      <c r="AT14" s="910">
        <v>944</v>
      </c>
      <c r="AU14" s="910">
        <v>982</v>
      </c>
      <c r="AV14" s="910">
        <v>1034</v>
      </c>
      <c r="AW14" s="910">
        <v>739</v>
      </c>
      <c r="AX14" s="910">
        <v>738</v>
      </c>
      <c r="AY14" s="912">
        <v>801</v>
      </c>
      <c r="AZ14" s="910">
        <v>898</v>
      </c>
      <c r="BA14" s="910">
        <v>849</v>
      </c>
      <c r="BB14" s="910">
        <v>1001</v>
      </c>
      <c r="BC14" s="910">
        <v>1243</v>
      </c>
      <c r="BD14" s="910">
        <v>1005</v>
      </c>
      <c r="BE14" s="910">
        <v>989</v>
      </c>
      <c r="BF14" s="910">
        <v>1036</v>
      </c>
      <c r="BG14" s="910">
        <v>1029</v>
      </c>
      <c r="BH14" s="910">
        <v>1102</v>
      </c>
      <c r="BI14" s="912">
        <v>1174</v>
      </c>
      <c r="BJ14" s="910">
        <f t="shared" si="19"/>
        <v>33587</v>
      </c>
      <c r="BK14" s="910">
        <f t="shared" si="19"/>
        <v>41965</v>
      </c>
      <c r="BL14" s="910">
        <f t="shared" si="19"/>
        <v>46291</v>
      </c>
      <c r="BM14" s="910">
        <f t="shared" si="19"/>
        <v>48865</v>
      </c>
      <c r="BN14" s="910">
        <f t="shared" si="19"/>
        <v>32851</v>
      </c>
      <c r="BO14" s="910">
        <f t="shared" si="19"/>
        <v>10169</v>
      </c>
      <c r="BP14" s="910">
        <f t="shared" si="19"/>
        <v>11443</v>
      </c>
      <c r="BQ14" s="910">
        <f t="shared" si="19"/>
        <v>12365</v>
      </c>
      <c r="BR14" s="1136">
        <f t="shared" si="19"/>
        <v>11889</v>
      </c>
      <c r="BS14" s="910">
        <f t="shared" si="9"/>
        <v>12105</v>
      </c>
      <c r="BT14" s="910">
        <f t="shared" si="10"/>
        <v>16476</v>
      </c>
      <c r="BU14" s="910">
        <f t="shared" si="11"/>
        <v>26000</v>
      </c>
      <c r="BV14" s="910">
        <f t="shared" si="12"/>
        <v>30318</v>
      </c>
      <c r="BW14" s="910">
        <f t="shared" si="13"/>
        <v>25081</v>
      </c>
      <c r="BX14" s="910">
        <f t="shared" si="14"/>
        <v>26027</v>
      </c>
      <c r="BY14" s="910">
        <f t="shared" si="15"/>
        <v>27662</v>
      </c>
      <c r="BZ14" s="910">
        <f t="shared" si="16"/>
        <v>21959</v>
      </c>
      <c r="CA14" s="910">
        <f t="shared" si="17"/>
        <v>28754</v>
      </c>
      <c r="CB14" s="912">
        <f t="shared" si="18"/>
        <v>24342</v>
      </c>
      <c r="CC14" s="1208">
        <f t="shared" si="6"/>
        <v>-15.343952145788407</v>
      </c>
      <c r="CD14" s="1127" t="s">
        <v>49</v>
      </c>
    </row>
    <row r="15" spans="2:82">
      <c r="B15" s="1038" t="s">
        <v>42</v>
      </c>
      <c r="C15" s="1138">
        <v>22543</v>
      </c>
      <c r="D15" s="1138">
        <v>23071</v>
      </c>
      <c r="E15" s="1035">
        <v>23730</v>
      </c>
      <c r="F15" s="1035">
        <v>24007</v>
      </c>
      <c r="G15" s="1035">
        <v>22205</v>
      </c>
      <c r="H15" s="1035">
        <v>14499</v>
      </c>
      <c r="I15" s="1035">
        <v>10632</v>
      </c>
      <c r="J15" s="1035">
        <v>6357</v>
      </c>
      <c r="K15" s="1035">
        <v>3707</v>
      </c>
      <c r="L15" s="1033">
        <v>3431</v>
      </c>
      <c r="M15" s="1034">
        <v>4707</v>
      </c>
      <c r="N15" s="1035">
        <v>5653</v>
      </c>
      <c r="O15" s="1035">
        <v>5623</v>
      </c>
      <c r="P15" s="1035">
        <v>6000</v>
      </c>
      <c r="Q15" s="1035">
        <v>6905</v>
      </c>
      <c r="R15" s="1035">
        <v>7972</v>
      </c>
      <c r="S15" s="1035">
        <v>6833</v>
      </c>
      <c r="T15" s="1035">
        <v>10431</v>
      </c>
      <c r="U15" s="1036">
        <v>9665</v>
      </c>
      <c r="V15" s="1201">
        <v>1.603724780134506</v>
      </c>
      <c r="W15" s="1142">
        <v>2232</v>
      </c>
      <c r="X15" s="916">
        <v>2467</v>
      </c>
      <c r="Y15" s="916">
        <v>2187</v>
      </c>
      <c r="Z15" s="916">
        <v>2497</v>
      </c>
      <c r="AA15" s="916">
        <v>2790</v>
      </c>
      <c r="AB15" s="916">
        <v>1877</v>
      </c>
      <c r="AC15" s="916">
        <v>1306</v>
      </c>
      <c r="AD15" s="916">
        <v>547</v>
      </c>
      <c r="AE15" s="1139">
        <v>219</v>
      </c>
      <c r="AF15" s="1040">
        <v>345</v>
      </c>
      <c r="AG15" s="1040">
        <v>383</v>
      </c>
      <c r="AH15" s="1040">
        <v>465</v>
      </c>
      <c r="AI15" s="1040">
        <v>321</v>
      </c>
      <c r="AJ15" s="1040">
        <v>424</v>
      </c>
      <c r="AK15" s="1040">
        <v>352</v>
      </c>
      <c r="AL15" s="1040">
        <v>434</v>
      </c>
      <c r="AM15" s="1040">
        <v>568</v>
      </c>
      <c r="AN15" s="1040">
        <v>568</v>
      </c>
      <c r="AO15" s="1156">
        <v>676</v>
      </c>
      <c r="AP15" s="1143" t="s">
        <v>168</v>
      </c>
      <c r="AQ15" s="1143" t="s">
        <v>168</v>
      </c>
      <c r="AR15" s="1143" t="s">
        <v>168</v>
      </c>
      <c r="AS15" s="1143" t="s">
        <v>168</v>
      </c>
      <c r="AT15" s="1143" t="s">
        <v>168</v>
      </c>
      <c r="AU15" s="1143" t="s">
        <v>168</v>
      </c>
      <c r="AV15" s="1143" t="s">
        <v>168</v>
      </c>
      <c r="AW15" s="1143" t="s">
        <v>168</v>
      </c>
      <c r="AX15" s="1143" t="s">
        <v>168</v>
      </c>
      <c r="AY15" s="1206" t="s">
        <v>168</v>
      </c>
      <c r="AZ15" s="1143" t="s">
        <v>168</v>
      </c>
      <c r="BA15" s="1143" t="s">
        <v>168</v>
      </c>
      <c r="BB15" s="1143" t="s">
        <v>168</v>
      </c>
      <c r="BC15" s="1143" t="s">
        <v>168</v>
      </c>
      <c r="BD15" s="1143" t="s">
        <v>168</v>
      </c>
      <c r="BE15" s="1143" t="s">
        <v>168</v>
      </c>
      <c r="BF15" s="1143" t="s">
        <v>168</v>
      </c>
      <c r="BG15" s="1143" t="s">
        <v>168</v>
      </c>
      <c r="BH15" s="1143" t="s">
        <v>168</v>
      </c>
      <c r="BI15" s="1206" t="s">
        <v>168</v>
      </c>
      <c r="BJ15" s="916">
        <f t="shared" si="19"/>
        <v>24775</v>
      </c>
      <c r="BK15" s="916">
        <f t="shared" si="19"/>
        <v>25538</v>
      </c>
      <c r="BL15" s="916">
        <f t="shared" si="19"/>
        <v>25917</v>
      </c>
      <c r="BM15" s="916">
        <f t="shared" si="19"/>
        <v>26504</v>
      </c>
      <c r="BN15" s="916">
        <f t="shared" si="19"/>
        <v>24995</v>
      </c>
      <c r="BO15" s="916">
        <f t="shared" si="19"/>
        <v>16376</v>
      </c>
      <c r="BP15" s="916">
        <f t="shared" si="19"/>
        <v>11938</v>
      </c>
      <c r="BQ15" s="916">
        <f t="shared" si="19"/>
        <v>6904</v>
      </c>
      <c r="BR15" s="1139">
        <f t="shared" si="19"/>
        <v>3926</v>
      </c>
      <c r="BS15" s="916">
        <f t="shared" si="9"/>
        <v>3776</v>
      </c>
      <c r="BT15" s="916">
        <f t="shared" si="10"/>
        <v>5090</v>
      </c>
      <c r="BU15" s="916">
        <f t="shared" si="11"/>
        <v>6118</v>
      </c>
      <c r="BV15" s="916">
        <f t="shared" si="12"/>
        <v>5944</v>
      </c>
      <c r="BW15" s="916">
        <f t="shared" si="13"/>
        <v>6424</v>
      </c>
      <c r="BX15" s="916">
        <f t="shared" si="14"/>
        <v>7257</v>
      </c>
      <c r="BY15" s="916">
        <f t="shared" si="15"/>
        <v>8406</v>
      </c>
      <c r="BZ15" s="916">
        <f t="shared" si="16"/>
        <v>7401</v>
      </c>
      <c r="CA15" s="916">
        <f t="shared" si="17"/>
        <v>10999</v>
      </c>
      <c r="CB15" s="917">
        <f t="shared" si="18"/>
        <v>10341</v>
      </c>
      <c r="CC15" s="1209">
        <f t="shared" si="6"/>
        <v>-5.9823620329120786</v>
      </c>
      <c r="CD15" s="1134" t="s">
        <v>42</v>
      </c>
    </row>
    <row r="16" spans="2:82">
      <c r="B16" s="1039" t="s">
        <v>47</v>
      </c>
      <c r="C16" s="1123">
        <v>333414</v>
      </c>
      <c r="D16" s="1123">
        <v>386250</v>
      </c>
      <c r="E16" s="1028">
        <v>273922</v>
      </c>
      <c r="F16" s="1028">
        <v>275563</v>
      </c>
      <c r="G16" s="1028">
        <v>165872</v>
      </c>
      <c r="H16" s="1028">
        <v>106527</v>
      </c>
      <c r="I16" s="1028">
        <v>116004</v>
      </c>
      <c r="J16" s="1028">
        <v>104374</v>
      </c>
      <c r="K16" s="1135">
        <v>76387</v>
      </c>
      <c r="L16" s="1028">
        <v>85382</v>
      </c>
      <c r="M16" s="1028">
        <v>118136</v>
      </c>
      <c r="N16" s="1028">
        <v>146677</v>
      </c>
      <c r="O16" s="1028">
        <v>91502</v>
      </c>
      <c r="P16" s="1028">
        <v>166669</v>
      </c>
      <c r="Q16" s="1028">
        <v>106754</v>
      </c>
      <c r="R16" s="1028">
        <v>110284</v>
      </c>
      <c r="S16" s="1029">
        <v>83218</v>
      </c>
      <c r="T16" s="1029">
        <v>93353</v>
      </c>
      <c r="U16" s="1030">
        <v>81895</v>
      </c>
      <c r="V16" s="1200">
        <v>4.332376823981928</v>
      </c>
      <c r="W16" s="1141">
        <v>37283</v>
      </c>
      <c r="X16" s="910">
        <v>44361</v>
      </c>
      <c r="Y16" s="910">
        <v>40972</v>
      </c>
      <c r="Z16" s="910">
        <v>45097</v>
      </c>
      <c r="AA16" s="910">
        <v>32067</v>
      </c>
      <c r="AB16" s="910">
        <v>12279</v>
      </c>
      <c r="AC16" s="910">
        <v>13690</v>
      </c>
      <c r="AD16" s="910">
        <v>16306</v>
      </c>
      <c r="AE16" s="910">
        <v>13040</v>
      </c>
      <c r="AF16" s="1213">
        <v>13204</v>
      </c>
      <c r="AG16" s="910">
        <f t="shared" ref="AG16:AN17" si="20">AQ16+BA16</f>
        <v>19406</v>
      </c>
      <c r="AH16" s="910">
        <f t="shared" si="20"/>
        <v>22878</v>
      </c>
      <c r="AI16" s="910">
        <f t="shared" si="20"/>
        <v>24222</v>
      </c>
      <c r="AJ16" s="910">
        <f t="shared" si="20"/>
        <v>24595</v>
      </c>
      <c r="AK16" s="910">
        <f t="shared" si="20"/>
        <v>24556</v>
      </c>
      <c r="AL16" s="910">
        <f t="shared" si="20"/>
        <v>24793</v>
      </c>
      <c r="AM16" s="910">
        <f t="shared" si="20"/>
        <v>18747</v>
      </c>
      <c r="AN16" s="910">
        <f t="shared" si="20"/>
        <v>20504</v>
      </c>
      <c r="AO16" s="912">
        <f t="shared" si="8"/>
        <v>23232</v>
      </c>
      <c r="AP16" s="1144">
        <v>2680</v>
      </c>
      <c r="AQ16" s="910">
        <v>4975</v>
      </c>
      <c r="AR16" s="910">
        <v>5940</v>
      </c>
      <c r="AS16" s="910">
        <v>6477</v>
      </c>
      <c r="AT16" s="910">
        <v>7357</v>
      </c>
      <c r="AU16" s="910">
        <v>8940</v>
      </c>
      <c r="AV16" s="910">
        <v>9012</v>
      </c>
      <c r="AW16" s="910">
        <v>6046</v>
      </c>
      <c r="AX16" s="910">
        <v>6131</v>
      </c>
      <c r="AY16" s="912">
        <v>6435</v>
      </c>
      <c r="AZ16" s="910">
        <v>10524</v>
      </c>
      <c r="BA16" s="910">
        <v>14431</v>
      </c>
      <c r="BB16" s="910">
        <v>16938</v>
      </c>
      <c r="BC16" s="910">
        <v>17745</v>
      </c>
      <c r="BD16" s="910">
        <v>17238</v>
      </c>
      <c r="BE16" s="910">
        <v>15616</v>
      </c>
      <c r="BF16" s="910">
        <v>15781</v>
      </c>
      <c r="BG16" s="910">
        <v>12701</v>
      </c>
      <c r="BH16" s="910">
        <v>14373</v>
      </c>
      <c r="BI16" s="912">
        <v>16797</v>
      </c>
      <c r="BJ16" s="910">
        <f t="shared" si="19"/>
        <v>370697</v>
      </c>
      <c r="BK16" s="910">
        <f t="shared" si="19"/>
        <v>430611</v>
      </c>
      <c r="BL16" s="910">
        <f t="shared" si="19"/>
        <v>314894</v>
      </c>
      <c r="BM16" s="910">
        <f t="shared" si="19"/>
        <v>320660</v>
      </c>
      <c r="BN16" s="910">
        <f t="shared" si="19"/>
        <v>197939</v>
      </c>
      <c r="BO16" s="910">
        <f t="shared" si="19"/>
        <v>118806</v>
      </c>
      <c r="BP16" s="910">
        <f t="shared" si="19"/>
        <v>129694</v>
      </c>
      <c r="BQ16" s="910">
        <f t="shared" si="19"/>
        <v>120680</v>
      </c>
      <c r="BR16" s="1136">
        <f t="shared" si="19"/>
        <v>89427</v>
      </c>
      <c r="BS16" s="910">
        <f t="shared" si="9"/>
        <v>98586</v>
      </c>
      <c r="BT16" s="910">
        <f t="shared" si="10"/>
        <v>137542</v>
      </c>
      <c r="BU16" s="910">
        <f t="shared" si="11"/>
        <v>169555</v>
      </c>
      <c r="BV16" s="910">
        <f t="shared" si="12"/>
        <v>115724</v>
      </c>
      <c r="BW16" s="910">
        <f t="shared" si="13"/>
        <v>191264</v>
      </c>
      <c r="BX16" s="910">
        <f t="shared" si="14"/>
        <v>131310</v>
      </c>
      <c r="BY16" s="910">
        <f t="shared" si="15"/>
        <v>135077</v>
      </c>
      <c r="BZ16" s="910">
        <f t="shared" si="16"/>
        <v>101965</v>
      </c>
      <c r="CA16" s="910">
        <f t="shared" si="17"/>
        <v>113857</v>
      </c>
      <c r="CB16" s="912">
        <f t="shared" si="18"/>
        <v>105127</v>
      </c>
      <c r="CC16" s="1208">
        <f t="shared" si="6"/>
        <v>-7.6675127572305684</v>
      </c>
      <c r="CD16" s="1127" t="s">
        <v>47</v>
      </c>
    </row>
    <row r="17" spans="2:82">
      <c r="B17" s="1038" t="s">
        <v>48</v>
      </c>
      <c r="C17" s="1138">
        <v>407515</v>
      </c>
      <c r="D17" s="1138">
        <v>419043</v>
      </c>
      <c r="E17" s="1035">
        <v>439194</v>
      </c>
      <c r="F17" s="1035">
        <v>460513</v>
      </c>
      <c r="G17" s="1035">
        <v>458937</v>
      </c>
      <c r="H17" s="1035">
        <v>372590</v>
      </c>
      <c r="I17" s="1035">
        <v>415448</v>
      </c>
      <c r="J17" s="1035">
        <v>426652</v>
      </c>
      <c r="K17" s="1033">
        <v>381233</v>
      </c>
      <c r="L17" s="1035">
        <v>343396</v>
      </c>
      <c r="M17" s="1035">
        <v>348766</v>
      </c>
      <c r="N17" s="1035">
        <v>309620</v>
      </c>
      <c r="O17" s="1035">
        <v>288298</v>
      </c>
      <c r="P17" s="1035">
        <v>328692</v>
      </c>
      <c r="Q17" s="1035">
        <v>348879</v>
      </c>
      <c r="R17" s="1035">
        <v>369833</v>
      </c>
      <c r="S17" s="1130">
        <v>312439</v>
      </c>
      <c r="T17" s="1130">
        <v>335681</v>
      </c>
      <c r="U17" s="1032">
        <v>268613</v>
      </c>
      <c r="V17" s="1201">
        <v>4.8311139073685938</v>
      </c>
      <c r="W17" s="1142">
        <v>47477</v>
      </c>
      <c r="X17" s="916">
        <v>61079</v>
      </c>
      <c r="Y17" s="916">
        <v>53353</v>
      </c>
      <c r="Z17" s="916">
        <v>52808</v>
      </c>
      <c r="AA17" s="916">
        <v>57870</v>
      </c>
      <c r="AB17" s="916">
        <v>36175</v>
      </c>
      <c r="AC17" s="916">
        <v>35859</v>
      </c>
      <c r="AD17" s="916">
        <v>49365</v>
      </c>
      <c r="AE17" s="916">
        <v>45673</v>
      </c>
      <c r="AF17" s="1142">
        <f t="shared" ref="AF17:AF27" si="21">AP17+AZ17</f>
        <v>38060</v>
      </c>
      <c r="AG17" s="916">
        <f t="shared" si="20"/>
        <v>34652</v>
      </c>
      <c r="AH17" s="916">
        <f t="shared" si="20"/>
        <v>38774</v>
      </c>
      <c r="AI17" s="916">
        <f t="shared" si="20"/>
        <v>43992</v>
      </c>
      <c r="AJ17" s="916">
        <f t="shared" si="20"/>
        <v>47470</v>
      </c>
      <c r="AK17" s="916">
        <f t="shared" si="20"/>
        <v>50907</v>
      </c>
      <c r="AL17" s="916">
        <f t="shared" si="20"/>
        <v>51735</v>
      </c>
      <c r="AM17" s="916">
        <f t="shared" si="20"/>
        <v>38562</v>
      </c>
      <c r="AN17" s="916">
        <f t="shared" si="20"/>
        <v>40878</v>
      </c>
      <c r="AO17" s="917">
        <f t="shared" si="8"/>
        <v>41714</v>
      </c>
      <c r="AP17" s="916">
        <v>13212</v>
      </c>
      <c r="AQ17" s="916">
        <v>13867</v>
      </c>
      <c r="AR17" s="916">
        <v>13828</v>
      </c>
      <c r="AS17" s="916">
        <v>17087</v>
      </c>
      <c r="AT17" s="916">
        <v>19679</v>
      </c>
      <c r="AU17" s="916">
        <v>20800</v>
      </c>
      <c r="AV17" s="916">
        <v>20920</v>
      </c>
      <c r="AW17" s="916">
        <v>17524</v>
      </c>
      <c r="AX17" s="916">
        <v>17959</v>
      </c>
      <c r="AY17" s="917">
        <v>16184</v>
      </c>
      <c r="AZ17" s="916">
        <v>24848</v>
      </c>
      <c r="BA17" s="916">
        <v>20785</v>
      </c>
      <c r="BB17" s="916">
        <v>24946</v>
      </c>
      <c r="BC17" s="916">
        <v>26905</v>
      </c>
      <c r="BD17" s="916">
        <v>27791</v>
      </c>
      <c r="BE17" s="916">
        <v>30107</v>
      </c>
      <c r="BF17" s="916">
        <v>30815</v>
      </c>
      <c r="BG17" s="916">
        <v>21038</v>
      </c>
      <c r="BH17" s="916">
        <v>22919</v>
      </c>
      <c r="BI17" s="917">
        <v>25530</v>
      </c>
      <c r="BJ17" s="916">
        <f t="shared" si="19"/>
        <v>454992</v>
      </c>
      <c r="BK17" s="916">
        <f t="shared" si="19"/>
        <v>480122</v>
      </c>
      <c r="BL17" s="916">
        <f t="shared" si="19"/>
        <v>492547</v>
      </c>
      <c r="BM17" s="916">
        <f t="shared" si="19"/>
        <v>513321</v>
      </c>
      <c r="BN17" s="916">
        <f t="shared" si="19"/>
        <v>516807</v>
      </c>
      <c r="BO17" s="916">
        <f t="shared" si="19"/>
        <v>408765</v>
      </c>
      <c r="BP17" s="916">
        <f t="shared" si="19"/>
        <v>451307</v>
      </c>
      <c r="BQ17" s="916">
        <f t="shared" si="19"/>
        <v>476017</v>
      </c>
      <c r="BR17" s="1139">
        <f t="shared" si="19"/>
        <v>426906</v>
      </c>
      <c r="BS17" s="916">
        <f t="shared" si="9"/>
        <v>381456</v>
      </c>
      <c r="BT17" s="916">
        <f t="shared" si="10"/>
        <v>383418</v>
      </c>
      <c r="BU17" s="916">
        <f t="shared" si="11"/>
        <v>348394</v>
      </c>
      <c r="BV17" s="916">
        <f t="shared" si="12"/>
        <v>332290</v>
      </c>
      <c r="BW17" s="916">
        <f t="shared" si="13"/>
        <v>376162</v>
      </c>
      <c r="BX17" s="916">
        <f t="shared" si="14"/>
        <v>399786</v>
      </c>
      <c r="BY17" s="916">
        <f t="shared" si="15"/>
        <v>421568</v>
      </c>
      <c r="BZ17" s="916">
        <f t="shared" si="16"/>
        <v>351001</v>
      </c>
      <c r="CA17" s="916">
        <f t="shared" si="17"/>
        <v>376559</v>
      </c>
      <c r="CB17" s="917">
        <f t="shared" si="18"/>
        <v>310327</v>
      </c>
      <c r="CC17" s="1209">
        <f t="shared" si="6"/>
        <v>-17.588744393308886</v>
      </c>
      <c r="CD17" s="1134" t="s">
        <v>48</v>
      </c>
    </row>
    <row r="18" spans="2:82">
      <c r="B18" s="1039" t="s">
        <v>59</v>
      </c>
      <c r="C18" s="1145" t="s">
        <v>63</v>
      </c>
      <c r="D18" s="1145" t="s">
        <v>63</v>
      </c>
      <c r="E18" s="1145" t="s">
        <v>63</v>
      </c>
      <c r="F18" s="1145" t="s">
        <v>63</v>
      </c>
      <c r="G18" s="1145" t="s">
        <v>63</v>
      </c>
      <c r="H18" s="1145" t="s">
        <v>63</v>
      </c>
      <c r="I18" s="1145" t="s">
        <v>63</v>
      </c>
      <c r="J18" s="1145" t="s">
        <v>63</v>
      </c>
      <c r="K18" s="1145" t="s">
        <v>63</v>
      </c>
      <c r="L18" s="1146">
        <v>5268</v>
      </c>
      <c r="M18" s="1028">
        <v>5214</v>
      </c>
      <c r="N18" s="1028">
        <v>8285</v>
      </c>
      <c r="O18" s="1028">
        <v>11307</v>
      </c>
      <c r="P18" s="1028">
        <v>12836</v>
      </c>
      <c r="Q18" s="1028">
        <v>14544</v>
      </c>
      <c r="R18" s="1028">
        <v>15768</v>
      </c>
      <c r="S18" s="1028">
        <v>12568</v>
      </c>
      <c r="T18" s="1029">
        <v>4763</v>
      </c>
      <c r="U18" s="1030">
        <v>4138</v>
      </c>
      <c r="V18" s="1200">
        <v>4.5190913484775255</v>
      </c>
      <c r="W18" s="1147" t="s">
        <v>63</v>
      </c>
      <c r="X18" s="1147" t="s">
        <v>63</v>
      </c>
      <c r="Y18" s="1147" t="s">
        <v>63</v>
      </c>
      <c r="Z18" s="1147" t="s">
        <v>63</v>
      </c>
      <c r="AA18" s="1147" t="s">
        <v>63</v>
      </c>
      <c r="AB18" s="1147" t="s">
        <v>63</v>
      </c>
      <c r="AC18" s="1147" t="s">
        <v>63</v>
      </c>
      <c r="AD18" s="1147" t="s">
        <v>63</v>
      </c>
      <c r="AE18" s="1148" t="s">
        <v>63</v>
      </c>
      <c r="AF18" s="910">
        <v>638</v>
      </c>
      <c r="AG18" s="910">
        <v>917</v>
      </c>
      <c r="AH18" s="910">
        <v>977</v>
      </c>
      <c r="AI18" s="910">
        <v>1325</v>
      </c>
      <c r="AJ18" s="910">
        <v>1313</v>
      </c>
      <c r="AK18" s="910">
        <v>1396</v>
      </c>
      <c r="AL18" s="910">
        <v>1411</v>
      </c>
      <c r="AM18" s="1136">
        <v>906</v>
      </c>
      <c r="AN18" s="910">
        <f t="shared" ref="AN18:AN29" si="22">AX18+BH18</f>
        <v>957</v>
      </c>
      <c r="AO18" s="912">
        <f t="shared" si="8"/>
        <v>1253</v>
      </c>
      <c r="AP18" s="921" t="s">
        <v>168</v>
      </c>
      <c r="AQ18" s="921" t="s">
        <v>168</v>
      </c>
      <c r="AR18" s="921" t="s">
        <v>168</v>
      </c>
      <c r="AS18" s="921" t="s">
        <v>168</v>
      </c>
      <c r="AT18" s="921" t="s">
        <v>168</v>
      </c>
      <c r="AU18" s="921" t="s">
        <v>168</v>
      </c>
      <c r="AV18" s="921" t="s">
        <v>168</v>
      </c>
      <c r="AW18" s="1259" t="s">
        <v>168</v>
      </c>
      <c r="AX18" s="921">
        <v>544</v>
      </c>
      <c r="AY18" s="922">
        <v>512</v>
      </c>
      <c r="AZ18" s="921" t="s">
        <v>168</v>
      </c>
      <c r="BA18" s="921" t="s">
        <v>168</v>
      </c>
      <c r="BB18" s="921" t="s">
        <v>168</v>
      </c>
      <c r="BC18" s="921" t="s">
        <v>168</v>
      </c>
      <c r="BD18" s="921" t="s">
        <v>168</v>
      </c>
      <c r="BE18" s="921" t="s">
        <v>168</v>
      </c>
      <c r="BF18" s="921" t="s">
        <v>168</v>
      </c>
      <c r="BG18" s="1259" t="s">
        <v>168</v>
      </c>
      <c r="BH18" s="1260">
        <v>413</v>
      </c>
      <c r="BI18" s="912">
        <v>741</v>
      </c>
      <c r="BJ18" s="910">
        <v>12598</v>
      </c>
      <c r="BK18" s="910">
        <v>12650</v>
      </c>
      <c r="BL18" s="910">
        <v>13607</v>
      </c>
      <c r="BM18" s="910">
        <v>13782</v>
      </c>
      <c r="BN18" s="910">
        <v>13148</v>
      </c>
      <c r="BO18" s="910">
        <v>6780</v>
      </c>
      <c r="BP18" s="910">
        <v>4996</v>
      </c>
      <c r="BQ18" s="910">
        <v>5198</v>
      </c>
      <c r="BR18" s="1136">
        <v>5218</v>
      </c>
      <c r="BS18" s="910">
        <f t="shared" si="9"/>
        <v>5906</v>
      </c>
      <c r="BT18" s="910">
        <f t="shared" si="10"/>
        <v>6131</v>
      </c>
      <c r="BU18" s="910">
        <f t="shared" si="11"/>
        <v>9262</v>
      </c>
      <c r="BV18" s="910">
        <f t="shared" si="12"/>
        <v>12632</v>
      </c>
      <c r="BW18" s="910">
        <f t="shared" si="13"/>
        <v>14149</v>
      </c>
      <c r="BX18" s="910">
        <f t="shared" si="14"/>
        <v>15940</v>
      </c>
      <c r="BY18" s="910">
        <f t="shared" si="15"/>
        <v>17179</v>
      </c>
      <c r="BZ18" s="910">
        <f t="shared" si="16"/>
        <v>13474</v>
      </c>
      <c r="CA18" s="910">
        <f t="shared" si="17"/>
        <v>5720</v>
      </c>
      <c r="CB18" s="912">
        <f t="shared" si="18"/>
        <v>5391</v>
      </c>
      <c r="CC18" s="1208">
        <f t="shared" si="6"/>
        <v>-5.7517482517482534</v>
      </c>
      <c r="CD18" s="1127" t="s">
        <v>59</v>
      </c>
    </row>
    <row r="19" spans="2:82">
      <c r="B19" s="1149" t="s">
        <v>50</v>
      </c>
      <c r="C19" s="1150">
        <v>214009</v>
      </c>
      <c r="D19" s="1150">
        <v>207400</v>
      </c>
      <c r="E19" s="1151">
        <v>231436</v>
      </c>
      <c r="F19" s="1151">
        <v>242626</v>
      </c>
      <c r="G19" s="1151">
        <v>223885</v>
      </c>
      <c r="H19" s="1151">
        <v>175405</v>
      </c>
      <c r="I19" s="1151">
        <v>179502</v>
      </c>
      <c r="J19" s="1151">
        <v>172265</v>
      </c>
      <c r="K19" s="1152">
        <v>116673</v>
      </c>
      <c r="L19" s="1153">
        <v>89959</v>
      </c>
      <c r="M19" s="1151">
        <v>108483</v>
      </c>
      <c r="N19" s="1151">
        <v>120048</v>
      </c>
      <c r="O19" s="1151">
        <v>181878</v>
      </c>
      <c r="P19" s="1151">
        <v>178383</v>
      </c>
      <c r="Q19" s="1035">
        <v>165021</v>
      </c>
      <c r="R19" s="1035">
        <v>171007</v>
      </c>
      <c r="S19" s="1130">
        <v>140783</v>
      </c>
      <c r="T19" s="1130">
        <v>172259</v>
      </c>
      <c r="U19" s="1032">
        <v>143925</v>
      </c>
      <c r="V19" s="1201">
        <v>2.8619072433559145</v>
      </c>
      <c r="W19" s="1040">
        <v>36193</v>
      </c>
      <c r="X19" s="1040">
        <v>40767</v>
      </c>
      <c r="Y19" s="1040">
        <v>35748</v>
      </c>
      <c r="Z19" s="1040">
        <v>35820</v>
      </c>
      <c r="AA19" s="1040">
        <v>34477</v>
      </c>
      <c r="AB19" s="1040">
        <v>19086</v>
      </c>
      <c r="AC19" s="1040">
        <v>17847</v>
      </c>
      <c r="AD19" s="1040">
        <v>20747</v>
      </c>
      <c r="AE19" s="1155">
        <v>13611</v>
      </c>
      <c r="AF19" s="1040">
        <f t="shared" si="21"/>
        <v>8733</v>
      </c>
      <c r="AG19" s="1040">
        <f t="shared" ref="AG19:AM25" si="23">AQ19+BA19</f>
        <v>9580</v>
      </c>
      <c r="AH19" s="1040">
        <f t="shared" si="23"/>
        <v>10794</v>
      </c>
      <c r="AI19" s="1040">
        <f t="shared" si="23"/>
        <v>14435</v>
      </c>
      <c r="AJ19" s="1040">
        <f t="shared" si="23"/>
        <v>18167</v>
      </c>
      <c r="AK19" s="1040">
        <f t="shared" si="23"/>
        <v>19473</v>
      </c>
      <c r="AL19" s="1040">
        <f t="shared" si="23"/>
        <v>17425</v>
      </c>
      <c r="AM19" s="1040">
        <f t="shared" si="23"/>
        <v>14999</v>
      </c>
      <c r="AN19" s="1040">
        <f t="shared" si="22"/>
        <v>21903</v>
      </c>
      <c r="AO19" s="1156">
        <f t="shared" si="8"/>
        <v>21692</v>
      </c>
      <c r="AP19" s="1040">
        <v>2774</v>
      </c>
      <c r="AQ19" s="1040">
        <v>2848</v>
      </c>
      <c r="AR19" s="1040">
        <v>3107</v>
      </c>
      <c r="AS19" s="1040">
        <v>4340</v>
      </c>
      <c r="AT19" s="1040">
        <v>5633</v>
      </c>
      <c r="AU19" s="1040">
        <v>6018</v>
      </c>
      <c r="AV19" s="1040">
        <v>6025</v>
      </c>
      <c r="AW19" s="1040">
        <v>5485</v>
      </c>
      <c r="AX19" s="1040">
        <v>7785</v>
      </c>
      <c r="AY19" s="1156">
        <v>7407</v>
      </c>
      <c r="AZ19" s="1040">
        <v>5959</v>
      </c>
      <c r="BA19" s="1040">
        <v>6732</v>
      </c>
      <c r="BB19" s="1040">
        <v>7687</v>
      </c>
      <c r="BC19" s="1040">
        <v>10095</v>
      </c>
      <c r="BD19" s="1040">
        <v>12534</v>
      </c>
      <c r="BE19" s="1040">
        <v>13455</v>
      </c>
      <c r="BF19" s="1040">
        <v>11400</v>
      </c>
      <c r="BG19" s="1040">
        <v>9514</v>
      </c>
      <c r="BH19" s="1040">
        <v>14118</v>
      </c>
      <c r="BI19" s="1156">
        <v>14285</v>
      </c>
      <c r="BJ19" s="1040">
        <f t="shared" ref="BJ19:BR19" si="24">C19+W19</f>
        <v>250202</v>
      </c>
      <c r="BK19" s="1040">
        <f t="shared" si="24"/>
        <v>248167</v>
      </c>
      <c r="BL19" s="1040">
        <f t="shared" si="24"/>
        <v>267184</v>
      </c>
      <c r="BM19" s="1040">
        <f t="shared" si="24"/>
        <v>278446</v>
      </c>
      <c r="BN19" s="1040">
        <f t="shared" si="24"/>
        <v>258362</v>
      </c>
      <c r="BO19" s="1040">
        <f t="shared" si="24"/>
        <v>194491</v>
      </c>
      <c r="BP19" s="1040">
        <f t="shared" si="24"/>
        <v>197349</v>
      </c>
      <c r="BQ19" s="1040">
        <f t="shared" si="24"/>
        <v>193012</v>
      </c>
      <c r="BR19" s="1155">
        <f t="shared" si="24"/>
        <v>130284</v>
      </c>
      <c r="BS19" s="1040">
        <f t="shared" si="9"/>
        <v>98692</v>
      </c>
      <c r="BT19" s="1040">
        <f t="shared" si="10"/>
        <v>118063</v>
      </c>
      <c r="BU19" s="1040">
        <f t="shared" si="11"/>
        <v>130842</v>
      </c>
      <c r="BV19" s="1040">
        <f t="shared" si="12"/>
        <v>196313</v>
      </c>
      <c r="BW19" s="1040">
        <f t="shared" si="13"/>
        <v>196550</v>
      </c>
      <c r="BX19" s="1040">
        <f t="shared" si="14"/>
        <v>184494</v>
      </c>
      <c r="BY19" s="1040">
        <f t="shared" si="15"/>
        <v>188432</v>
      </c>
      <c r="BZ19" s="1040">
        <f t="shared" si="16"/>
        <v>155782</v>
      </c>
      <c r="CA19" s="1040">
        <f t="shared" si="17"/>
        <v>194162</v>
      </c>
      <c r="CB19" s="1156">
        <f t="shared" si="18"/>
        <v>165617</v>
      </c>
      <c r="CC19" s="1210">
        <f t="shared" si="6"/>
        <v>-14.701640897806982</v>
      </c>
      <c r="CD19" s="1157" t="s">
        <v>50</v>
      </c>
    </row>
    <row r="20" spans="2:82">
      <c r="B20" s="1039" t="s">
        <v>29</v>
      </c>
      <c r="C20" s="1145" t="s">
        <v>63</v>
      </c>
      <c r="D20" s="1145" t="s">
        <v>63</v>
      </c>
      <c r="E20" s="1145" t="s">
        <v>63</v>
      </c>
      <c r="F20" s="1145" t="s">
        <v>63</v>
      </c>
      <c r="G20" s="1145" t="s">
        <v>63</v>
      </c>
      <c r="H20" s="1145" t="s">
        <v>63</v>
      </c>
      <c r="I20" s="1145" t="s">
        <v>63</v>
      </c>
      <c r="J20" s="1145" t="s">
        <v>63</v>
      </c>
      <c r="K20" s="1145" t="s">
        <v>63</v>
      </c>
      <c r="L20" s="1146">
        <v>901</v>
      </c>
      <c r="M20" s="1028">
        <v>1151</v>
      </c>
      <c r="N20" s="1146">
        <v>1442</v>
      </c>
      <c r="O20" s="1028">
        <v>1764</v>
      </c>
      <c r="P20" s="1028">
        <v>1990</v>
      </c>
      <c r="Q20" s="1028">
        <v>1645</v>
      </c>
      <c r="R20" s="1028">
        <v>1894</v>
      </c>
      <c r="S20" s="1029">
        <v>1440</v>
      </c>
      <c r="T20" s="1029">
        <v>1940</v>
      </c>
      <c r="U20" s="1030">
        <v>2012</v>
      </c>
      <c r="V20" s="1200">
        <v>1.7395626242544733</v>
      </c>
      <c r="W20" s="1147" t="s">
        <v>63</v>
      </c>
      <c r="X20" s="1147" t="s">
        <v>63</v>
      </c>
      <c r="Y20" s="1147" t="s">
        <v>63</v>
      </c>
      <c r="Z20" s="1147" t="s">
        <v>63</v>
      </c>
      <c r="AA20" s="1147" t="s">
        <v>63</v>
      </c>
      <c r="AB20" s="1147" t="s">
        <v>63</v>
      </c>
      <c r="AC20" s="1147" t="s">
        <v>63</v>
      </c>
      <c r="AD20" s="1147" t="s">
        <v>63</v>
      </c>
      <c r="AE20" s="1148" t="s">
        <v>63</v>
      </c>
      <c r="AF20" s="910">
        <f t="shared" si="21"/>
        <v>65</v>
      </c>
      <c r="AG20" s="910">
        <f t="shared" si="23"/>
        <v>25</v>
      </c>
      <c r="AH20" s="910">
        <f t="shared" si="23"/>
        <v>47</v>
      </c>
      <c r="AI20" s="910">
        <f t="shared" si="23"/>
        <v>70</v>
      </c>
      <c r="AJ20" s="910">
        <f t="shared" si="23"/>
        <v>103</v>
      </c>
      <c r="AK20" s="910">
        <f t="shared" si="23"/>
        <v>121</v>
      </c>
      <c r="AL20" s="910">
        <f t="shared" si="23"/>
        <v>120</v>
      </c>
      <c r="AM20" s="910">
        <f t="shared" si="23"/>
        <v>85</v>
      </c>
      <c r="AN20" s="910">
        <f t="shared" si="22"/>
        <v>83</v>
      </c>
      <c r="AO20" s="912">
        <f t="shared" si="8"/>
        <v>94</v>
      </c>
      <c r="AP20" s="1147">
        <v>52</v>
      </c>
      <c r="AQ20" s="921">
        <v>20</v>
      </c>
      <c r="AR20" s="921">
        <v>36</v>
      </c>
      <c r="AS20" s="921">
        <v>58</v>
      </c>
      <c r="AT20" s="921">
        <v>74</v>
      </c>
      <c r="AU20" s="921">
        <v>112</v>
      </c>
      <c r="AV20" s="921">
        <v>108</v>
      </c>
      <c r="AW20" s="921">
        <v>73</v>
      </c>
      <c r="AX20" s="921">
        <v>58</v>
      </c>
      <c r="AY20" s="922">
        <v>83</v>
      </c>
      <c r="AZ20" s="910">
        <v>13</v>
      </c>
      <c r="BA20" s="910">
        <v>5</v>
      </c>
      <c r="BB20" s="910">
        <v>11</v>
      </c>
      <c r="BC20" s="910">
        <v>12</v>
      </c>
      <c r="BD20" s="910">
        <v>29</v>
      </c>
      <c r="BE20" s="910">
        <v>9</v>
      </c>
      <c r="BF20" s="910">
        <v>12</v>
      </c>
      <c r="BG20" s="910">
        <v>12</v>
      </c>
      <c r="BH20" s="910">
        <v>25</v>
      </c>
      <c r="BI20" s="912">
        <v>11</v>
      </c>
      <c r="BJ20" s="910">
        <v>3479</v>
      </c>
      <c r="BK20" s="910">
        <v>3233</v>
      </c>
      <c r="BL20" s="910">
        <v>3697</v>
      </c>
      <c r="BM20" s="910">
        <v>4578</v>
      </c>
      <c r="BN20" s="910">
        <v>5228</v>
      </c>
      <c r="BO20" s="910">
        <v>3397</v>
      </c>
      <c r="BP20" s="910">
        <v>3584</v>
      </c>
      <c r="BQ20" s="910">
        <v>2596</v>
      </c>
      <c r="BR20" s="1136">
        <v>1395</v>
      </c>
      <c r="BS20" s="910">
        <f t="shared" si="9"/>
        <v>966</v>
      </c>
      <c r="BT20" s="910">
        <f t="shared" si="10"/>
        <v>1176</v>
      </c>
      <c r="BU20" s="910">
        <f t="shared" si="11"/>
        <v>1489</v>
      </c>
      <c r="BV20" s="910">
        <f t="shared" si="12"/>
        <v>1834</v>
      </c>
      <c r="BW20" s="910">
        <f t="shared" si="13"/>
        <v>2093</v>
      </c>
      <c r="BX20" s="910">
        <f t="shared" si="14"/>
        <v>1766</v>
      </c>
      <c r="BY20" s="910">
        <f t="shared" si="15"/>
        <v>2014</v>
      </c>
      <c r="BZ20" s="910">
        <f t="shared" si="16"/>
        <v>1525</v>
      </c>
      <c r="CA20" s="910">
        <f t="shared" si="17"/>
        <v>2023</v>
      </c>
      <c r="CB20" s="912">
        <f t="shared" si="18"/>
        <v>2106</v>
      </c>
      <c r="CC20" s="1208">
        <f t="shared" si="6"/>
        <v>4.1028175976272934</v>
      </c>
      <c r="CD20" s="1127" t="s">
        <v>29</v>
      </c>
    </row>
    <row r="21" spans="2:82">
      <c r="B21" s="1149" t="s">
        <v>33</v>
      </c>
      <c r="C21" s="1150">
        <v>1404</v>
      </c>
      <c r="D21" s="1150">
        <v>1728</v>
      </c>
      <c r="E21" s="1151">
        <v>2508</v>
      </c>
      <c r="F21" s="1151">
        <v>3458</v>
      </c>
      <c r="G21" s="1151">
        <v>2041</v>
      </c>
      <c r="H21" s="1151">
        <v>520</v>
      </c>
      <c r="I21" s="1151">
        <v>571</v>
      </c>
      <c r="J21" s="1151">
        <v>1755</v>
      </c>
      <c r="K21" s="1152">
        <v>2236</v>
      </c>
      <c r="L21" s="1151">
        <v>5708</v>
      </c>
      <c r="M21" s="1151">
        <v>2618</v>
      </c>
      <c r="N21" s="1151">
        <v>2415</v>
      </c>
      <c r="O21" s="1151">
        <v>2282</v>
      </c>
      <c r="P21" s="1151">
        <v>2299</v>
      </c>
      <c r="Q21" s="1035">
        <v>2439</v>
      </c>
      <c r="R21" s="1035">
        <v>2744</v>
      </c>
      <c r="S21" s="1130">
        <v>2164</v>
      </c>
      <c r="T21" s="1130">
        <v>2604</v>
      </c>
      <c r="U21" s="1032">
        <v>2405</v>
      </c>
      <c r="V21" s="1201">
        <v>1.3721413721413722</v>
      </c>
      <c r="W21" s="1040">
        <v>886</v>
      </c>
      <c r="X21" s="1040">
        <v>1309</v>
      </c>
      <c r="Y21" s="1040">
        <v>2147</v>
      </c>
      <c r="Z21" s="1040">
        <v>3261</v>
      </c>
      <c r="AA21" s="1040">
        <v>1990</v>
      </c>
      <c r="AB21" s="1040">
        <v>300</v>
      </c>
      <c r="AC21" s="1040">
        <v>469</v>
      </c>
      <c r="AD21" s="1040">
        <v>1390</v>
      </c>
      <c r="AE21" s="1155">
        <v>1509</v>
      </c>
      <c r="AF21" s="1040">
        <f t="shared" si="21"/>
        <v>5507</v>
      </c>
      <c r="AG21" s="1040">
        <f t="shared" si="23"/>
        <v>1077</v>
      </c>
      <c r="AH21" s="1040">
        <f t="shared" si="23"/>
        <v>1479</v>
      </c>
      <c r="AI21" s="1040">
        <f t="shared" si="23"/>
        <v>1848</v>
      </c>
      <c r="AJ21" s="1040">
        <f t="shared" si="23"/>
        <v>1803</v>
      </c>
      <c r="AK21" s="1040">
        <f t="shared" si="23"/>
        <v>1905</v>
      </c>
      <c r="AL21" s="1040">
        <f t="shared" si="23"/>
        <v>1346</v>
      </c>
      <c r="AM21" s="1040">
        <f t="shared" si="23"/>
        <v>778</v>
      </c>
      <c r="AN21" s="1040">
        <f t="shared" si="22"/>
        <v>1500</v>
      </c>
      <c r="AO21" s="1156">
        <f t="shared" si="8"/>
        <v>1673</v>
      </c>
      <c r="AP21" s="1040">
        <v>3491</v>
      </c>
      <c r="AQ21" s="1040">
        <v>349</v>
      </c>
      <c r="AR21" s="1040">
        <v>222</v>
      </c>
      <c r="AS21" s="1040">
        <v>284</v>
      </c>
      <c r="AT21" s="1040">
        <v>326</v>
      </c>
      <c r="AU21" s="1040">
        <v>393</v>
      </c>
      <c r="AV21" s="1040">
        <v>389</v>
      </c>
      <c r="AW21" s="1040">
        <v>268</v>
      </c>
      <c r="AX21" s="1040">
        <v>362</v>
      </c>
      <c r="AY21" s="1156">
        <v>346</v>
      </c>
      <c r="AZ21" s="1040">
        <v>2016</v>
      </c>
      <c r="BA21" s="1040">
        <v>728</v>
      </c>
      <c r="BB21" s="1040">
        <v>1257</v>
      </c>
      <c r="BC21" s="1040">
        <v>1564</v>
      </c>
      <c r="BD21" s="1040">
        <v>1477</v>
      </c>
      <c r="BE21" s="1040">
        <v>1512</v>
      </c>
      <c r="BF21" s="1040">
        <v>957</v>
      </c>
      <c r="BG21" s="1040">
        <v>510</v>
      </c>
      <c r="BH21" s="1040">
        <v>1138</v>
      </c>
      <c r="BI21" s="1156">
        <v>1327</v>
      </c>
      <c r="BJ21" s="1040">
        <f t="shared" ref="BJ21:BR24" si="25">C21+W21</f>
        <v>2290</v>
      </c>
      <c r="BK21" s="1040">
        <f t="shared" si="25"/>
        <v>3037</v>
      </c>
      <c r="BL21" s="1040">
        <f t="shared" si="25"/>
        <v>4655</v>
      </c>
      <c r="BM21" s="1040">
        <f t="shared" si="25"/>
        <v>6719</v>
      </c>
      <c r="BN21" s="1040">
        <f t="shared" si="25"/>
        <v>4031</v>
      </c>
      <c r="BO21" s="1040">
        <f t="shared" si="25"/>
        <v>820</v>
      </c>
      <c r="BP21" s="1040">
        <f t="shared" si="25"/>
        <v>1040</v>
      </c>
      <c r="BQ21" s="1040">
        <f t="shared" si="25"/>
        <v>3145</v>
      </c>
      <c r="BR21" s="1155">
        <f t="shared" si="25"/>
        <v>3745</v>
      </c>
      <c r="BS21" s="1040">
        <f t="shared" si="9"/>
        <v>11215</v>
      </c>
      <c r="BT21" s="1040">
        <f t="shared" si="10"/>
        <v>3695</v>
      </c>
      <c r="BU21" s="1040">
        <f t="shared" si="11"/>
        <v>3894</v>
      </c>
      <c r="BV21" s="1040">
        <f t="shared" si="12"/>
        <v>4130</v>
      </c>
      <c r="BW21" s="1040">
        <f t="shared" si="13"/>
        <v>4102</v>
      </c>
      <c r="BX21" s="1040">
        <f t="shared" si="14"/>
        <v>4344</v>
      </c>
      <c r="BY21" s="1040">
        <f t="shared" si="15"/>
        <v>4090</v>
      </c>
      <c r="BZ21" s="1040">
        <f t="shared" si="16"/>
        <v>2942</v>
      </c>
      <c r="CA21" s="1040">
        <f t="shared" si="17"/>
        <v>4104</v>
      </c>
      <c r="CB21" s="1156">
        <f t="shared" si="18"/>
        <v>4078</v>
      </c>
      <c r="CC21" s="1210">
        <f t="shared" si="6"/>
        <v>-0.63352826510720206</v>
      </c>
      <c r="CD21" s="1157" t="s">
        <v>33</v>
      </c>
    </row>
    <row r="22" spans="2:82">
      <c r="B22" s="1039" t="s">
        <v>34</v>
      </c>
      <c r="C22" s="1123">
        <v>2064</v>
      </c>
      <c r="D22" s="1123">
        <v>3303</v>
      </c>
      <c r="E22" s="1028">
        <v>4107</v>
      </c>
      <c r="F22" s="1028">
        <v>4251</v>
      </c>
      <c r="G22" s="1028">
        <v>3000</v>
      </c>
      <c r="H22" s="1028">
        <v>776</v>
      </c>
      <c r="I22" s="1028">
        <v>936</v>
      </c>
      <c r="J22" s="1028">
        <v>1824</v>
      </c>
      <c r="K22" s="1028">
        <v>1600</v>
      </c>
      <c r="L22" s="1028">
        <v>1823</v>
      </c>
      <c r="M22" s="1146">
        <v>1991</v>
      </c>
      <c r="N22" s="1028">
        <v>2367</v>
      </c>
      <c r="O22" s="1028">
        <v>2793</v>
      </c>
      <c r="P22" s="1028">
        <v>3000</v>
      </c>
      <c r="Q22" s="1028">
        <v>3577</v>
      </c>
      <c r="R22" s="1028">
        <v>4228</v>
      </c>
      <c r="S22" s="1158">
        <v>2239</v>
      </c>
      <c r="T22" s="1029">
        <v>3139</v>
      </c>
      <c r="U22" s="1030">
        <v>3029</v>
      </c>
      <c r="V22" s="1200">
        <v>1.7497523935292174</v>
      </c>
      <c r="W22" s="910">
        <v>1658</v>
      </c>
      <c r="X22" s="910">
        <v>2365</v>
      </c>
      <c r="Y22" s="910">
        <v>3124</v>
      </c>
      <c r="Z22" s="910">
        <v>5006</v>
      </c>
      <c r="AA22" s="910">
        <v>3474</v>
      </c>
      <c r="AB22" s="910">
        <v>514</v>
      </c>
      <c r="AC22" s="910">
        <v>1369</v>
      </c>
      <c r="AD22" s="910">
        <v>2762</v>
      </c>
      <c r="AE22" s="1136">
        <v>2759</v>
      </c>
      <c r="AF22" s="910">
        <f t="shared" si="21"/>
        <v>3761</v>
      </c>
      <c r="AG22" s="910">
        <f t="shared" si="23"/>
        <v>2306</v>
      </c>
      <c r="AH22" s="910">
        <f t="shared" si="23"/>
        <v>3476</v>
      </c>
      <c r="AI22" s="910">
        <f t="shared" si="23"/>
        <v>5895</v>
      </c>
      <c r="AJ22" s="910">
        <f t="shared" si="23"/>
        <v>6495</v>
      </c>
      <c r="AK22" s="910">
        <f t="shared" si="23"/>
        <v>8292</v>
      </c>
      <c r="AL22" s="910">
        <f t="shared" si="23"/>
        <v>7386</v>
      </c>
      <c r="AM22" s="910">
        <f t="shared" si="23"/>
        <v>4597</v>
      </c>
      <c r="AN22" s="910">
        <f t="shared" si="22"/>
        <v>7806</v>
      </c>
      <c r="AO22" s="912">
        <f t="shared" si="8"/>
        <v>9698</v>
      </c>
      <c r="AP22" s="910">
        <v>519</v>
      </c>
      <c r="AQ22" s="910">
        <v>369</v>
      </c>
      <c r="AR22" s="910">
        <v>480</v>
      </c>
      <c r="AS22" s="910">
        <v>641</v>
      </c>
      <c r="AT22" s="910">
        <v>710</v>
      </c>
      <c r="AU22" s="910">
        <v>924</v>
      </c>
      <c r="AV22" s="910">
        <v>827</v>
      </c>
      <c r="AW22" s="910">
        <v>937</v>
      </c>
      <c r="AX22" s="910">
        <v>501</v>
      </c>
      <c r="AY22" s="912">
        <v>629</v>
      </c>
      <c r="AZ22" s="910">
        <v>3242</v>
      </c>
      <c r="BA22" s="910">
        <v>1937</v>
      </c>
      <c r="BB22" s="910">
        <v>2996</v>
      </c>
      <c r="BC22" s="910">
        <v>5254</v>
      </c>
      <c r="BD22" s="910">
        <v>5785</v>
      </c>
      <c r="BE22" s="910">
        <v>7368</v>
      </c>
      <c r="BF22" s="910">
        <v>6559</v>
      </c>
      <c r="BG22" s="910">
        <v>3660</v>
      </c>
      <c r="BH22" s="910">
        <v>7305</v>
      </c>
      <c r="BI22" s="912">
        <v>9069</v>
      </c>
      <c r="BJ22" s="910">
        <f t="shared" si="25"/>
        <v>3722</v>
      </c>
      <c r="BK22" s="910">
        <f t="shared" si="25"/>
        <v>5668</v>
      </c>
      <c r="BL22" s="910">
        <f t="shared" si="25"/>
        <v>7231</v>
      </c>
      <c r="BM22" s="910">
        <f t="shared" si="25"/>
        <v>9257</v>
      </c>
      <c r="BN22" s="910">
        <f t="shared" si="25"/>
        <v>6474</v>
      </c>
      <c r="BO22" s="910">
        <f t="shared" si="25"/>
        <v>1290</v>
      </c>
      <c r="BP22" s="910">
        <f t="shared" si="25"/>
        <v>2305</v>
      </c>
      <c r="BQ22" s="910">
        <f t="shared" si="25"/>
        <v>4586</v>
      </c>
      <c r="BR22" s="1136">
        <f t="shared" si="25"/>
        <v>4359</v>
      </c>
      <c r="BS22" s="910">
        <f t="shared" si="9"/>
        <v>5584</v>
      </c>
      <c r="BT22" s="910">
        <f t="shared" si="10"/>
        <v>4297</v>
      </c>
      <c r="BU22" s="910">
        <f t="shared" si="11"/>
        <v>5843</v>
      </c>
      <c r="BV22" s="910">
        <f t="shared" si="12"/>
        <v>8688</v>
      </c>
      <c r="BW22" s="910">
        <f t="shared" si="13"/>
        <v>9495</v>
      </c>
      <c r="BX22" s="910">
        <f t="shared" si="14"/>
        <v>11869</v>
      </c>
      <c r="BY22" s="910">
        <f t="shared" si="15"/>
        <v>11614</v>
      </c>
      <c r="BZ22" s="910">
        <f t="shared" si="16"/>
        <v>6836</v>
      </c>
      <c r="CA22" s="910">
        <f t="shared" si="17"/>
        <v>10945</v>
      </c>
      <c r="CB22" s="912">
        <f t="shared" si="18"/>
        <v>12727</v>
      </c>
      <c r="CC22" s="1208">
        <f t="shared" si="6"/>
        <v>16.281407035175889</v>
      </c>
      <c r="CD22" s="1127" t="s">
        <v>34</v>
      </c>
    </row>
    <row r="23" spans="2:82">
      <c r="B23" s="1149" t="s">
        <v>51</v>
      </c>
      <c r="C23" s="1150">
        <v>2670</v>
      </c>
      <c r="D23" s="1150">
        <v>3025</v>
      </c>
      <c r="E23" s="1151">
        <v>3083</v>
      </c>
      <c r="F23" s="1151">
        <v>3492</v>
      </c>
      <c r="G23" s="1151">
        <v>4028</v>
      </c>
      <c r="H23" s="1151">
        <v>3063</v>
      </c>
      <c r="I23" s="1151">
        <v>3246</v>
      </c>
      <c r="J23" s="1151">
        <v>3592</v>
      </c>
      <c r="K23" s="1152">
        <v>3424</v>
      </c>
      <c r="L23" s="1151">
        <v>3142</v>
      </c>
      <c r="M23" s="1151">
        <v>3357</v>
      </c>
      <c r="N23" s="1151">
        <v>3807</v>
      </c>
      <c r="O23" s="1151">
        <v>4376</v>
      </c>
      <c r="P23" s="1151">
        <v>4754</v>
      </c>
      <c r="Q23" s="1035">
        <v>4855</v>
      </c>
      <c r="R23" s="1035">
        <v>5005</v>
      </c>
      <c r="S23" s="1130">
        <v>4420</v>
      </c>
      <c r="T23" s="1130">
        <v>4560</v>
      </c>
      <c r="U23" s="1032">
        <v>4004</v>
      </c>
      <c r="V23" s="1201">
        <v>4.3706293706293708</v>
      </c>
      <c r="W23" s="1040">
        <v>1038</v>
      </c>
      <c r="X23" s="1040">
        <v>1580</v>
      </c>
      <c r="Y23" s="1040">
        <v>1424</v>
      </c>
      <c r="Z23" s="1040">
        <v>1647</v>
      </c>
      <c r="AA23" s="1040">
        <v>1793</v>
      </c>
      <c r="AB23" s="1040">
        <v>925</v>
      </c>
      <c r="AC23" s="1040">
        <v>847</v>
      </c>
      <c r="AD23" s="1040">
        <v>1346</v>
      </c>
      <c r="AE23" s="1155">
        <v>1068</v>
      </c>
      <c r="AF23" s="1040">
        <f t="shared" si="21"/>
        <v>949</v>
      </c>
      <c r="AG23" s="1040">
        <f t="shared" si="23"/>
        <v>1013</v>
      </c>
      <c r="AH23" s="1040">
        <f t="shared" si="23"/>
        <v>1076</v>
      </c>
      <c r="AI23" s="1040">
        <f t="shared" si="23"/>
        <v>1227</v>
      </c>
      <c r="AJ23" s="1040">
        <f t="shared" si="23"/>
        <v>1138</v>
      </c>
      <c r="AK23" s="1040">
        <f t="shared" si="23"/>
        <v>1042</v>
      </c>
      <c r="AL23" s="1040">
        <f t="shared" si="23"/>
        <v>1202</v>
      </c>
      <c r="AM23" s="1040">
        <f t="shared" si="23"/>
        <v>991</v>
      </c>
      <c r="AN23" s="1040">
        <f t="shared" si="22"/>
        <v>1054</v>
      </c>
      <c r="AO23" s="1156">
        <f t="shared" si="8"/>
        <v>1088</v>
      </c>
      <c r="AP23" s="1040">
        <v>378</v>
      </c>
      <c r="AQ23" s="1040">
        <v>380</v>
      </c>
      <c r="AR23" s="1040">
        <v>342</v>
      </c>
      <c r="AS23" s="1040">
        <v>463</v>
      </c>
      <c r="AT23" s="1040">
        <v>341</v>
      </c>
      <c r="AU23" s="1040">
        <v>196</v>
      </c>
      <c r="AV23" s="1040">
        <v>295</v>
      </c>
      <c r="AW23" s="1040">
        <v>422</v>
      </c>
      <c r="AX23" s="1040">
        <v>400</v>
      </c>
      <c r="AY23" s="1156">
        <v>343</v>
      </c>
      <c r="AZ23" s="1040">
        <v>571</v>
      </c>
      <c r="BA23" s="1040">
        <v>633</v>
      </c>
      <c r="BB23" s="1040">
        <v>734</v>
      </c>
      <c r="BC23" s="1040">
        <v>764</v>
      </c>
      <c r="BD23" s="1040">
        <v>797</v>
      </c>
      <c r="BE23" s="1040">
        <v>846</v>
      </c>
      <c r="BF23" s="1040">
        <v>907</v>
      </c>
      <c r="BG23" s="1040">
        <v>569</v>
      </c>
      <c r="BH23" s="1040">
        <v>654</v>
      </c>
      <c r="BI23" s="1156">
        <v>745</v>
      </c>
      <c r="BJ23" s="1040">
        <f t="shared" si="25"/>
        <v>3708</v>
      </c>
      <c r="BK23" s="1040">
        <f t="shared" si="25"/>
        <v>4605</v>
      </c>
      <c r="BL23" s="1040">
        <f t="shared" si="25"/>
        <v>4507</v>
      </c>
      <c r="BM23" s="1040">
        <f t="shared" si="25"/>
        <v>5139</v>
      </c>
      <c r="BN23" s="1040">
        <f t="shared" si="25"/>
        <v>5821</v>
      </c>
      <c r="BO23" s="1040">
        <f t="shared" si="25"/>
        <v>3988</v>
      </c>
      <c r="BP23" s="1040">
        <f t="shared" si="25"/>
        <v>4093</v>
      </c>
      <c r="BQ23" s="1040">
        <f t="shared" si="25"/>
        <v>4938</v>
      </c>
      <c r="BR23" s="1155">
        <f t="shared" si="25"/>
        <v>4492</v>
      </c>
      <c r="BS23" s="1040">
        <f t="shared" si="9"/>
        <v>4091</v>
      </c>
      <c r="BT23" s="1040">
        <f t="shared" si="10"/>
        <v>4370</v>
      </c>
      <c r="BU23" s="1040">
        <f t="shared" si="11"/>
        <v>4883</v>
      </c>
      <c r="BV23" s="1040">
        <f t="shared" si="12"/>
        <v>5603</v>
      </c>
      <c r="BW23" s="1040">
        <f t="shared" si="13"/>
        <v>5892</v>
      </c>
      <c r="BX23" s="1040">
        <f t="shared" si="14"/>
        <v>5897</v>
      </c>
      <c r="BY23" s="1040">
        <f t="shared" si="15"/>
        <v>6207</v>
      </c>
      <c r="BZ23" s="1040">
        <f t="shared" si="16"/>
        <v>5411</v>
      </c>
      <c r="CA23" s="1040">
        <f t="shared" si="17"/>
        <v>5614</v>
      </c>
      <c r="CB23" s="1156">
        <f t="shared" si="18"/>
        <v>5092</v>
      </c>
      <c r="CC23" s="1210">
        <f t="shared" si="6"/>
        <v>-9.2981831136444697</v>
      </c>
      <c r="CD23" s="1157" t="s">
        <v>51</v>
      </c>
    </row>
    <row r="24" spans="2:82">
      <c r="B24" s="1039" t="s">
        <v>32</v>
      </c>
      <c r="C24" s="1123">
        <v>29641</v>
      </c>
      <c r="D24" s="1123">
        <v>35500</v>
      </c>
      <c r="E24" s="1028">
        <v>21604</v>
      </c>
      <c r="F24" s="1028">
        <v>21920</v>
      </c>
      <c r="G24" s="1028">
        <v>21559</v>
      </c>
      <c r="H24" s="1028">
        <v>10619</v>
      </c>
      <c r="I24" s="1028">
        <v>9187</v>
      </c>
      <c r="J24" s="1028">
        <v>11446</v>
      </c>
      <c r="K24" s="1135">
        <v>10952</v>
      </c>
      <c r="L24" s="1028">
        <v>11376</v>
      </c>
      <c r="M24" s="1028">
        <v>15804</v>
      </c>
      <c r="N24" s="1028">
        <v>17467</v>
      </c>
      <c r="O24" s="1028">
        <v>21242</v>
      </c>
      <c r="P24" s="1028">
        <v>19483</v>
      </c>
      <c r="Q24" s="1028">
        <v>22710</v>
      </c>
      <c r="R24" s="1028">
        <v>26129</v>
      </c>
      <c r="S24" s="1029">
        <v>21972</v>
      </c>
      <c r="T24" s="1029">
        <v>22932</v>
      </c>
      <c r="U24" s="1030">
        <v>17548</v>
      </c>
      <c r="V24" s="1200">
        <v>3.214041486209255</v>
      </c>
      <c r="W24" s="910" t="s">
        <v>63</v>
      </c>
      <c r="X24" s="910" t="s">
        <v>63</v>
      </c>
      <c r="Y24" s="910" t="s">
        <v>63</v>
      </c>
      <c r="Z24" s="910" t="s">
        <v>63</v>
      </c>
      <c r="AA24" s="910" t="s">
        <v>63</v>
      </c>
      <c r="AB24" s="910" t="s">
        <v>63</v>
      </c>
      <c r="AC24" s="910">
        <v>2278</v>
      </c>
      <c r="AD24" s="910">
        <v>4301</v>
      </c>
      <c r="AE24" s="1136">
        <v>4320</v>
      </c>
      <c r="AF24" s="910">
        <f t="shared" si="21"/>
        <v>6452</v>
      </c>
      <c r="AG24" s="910">
        <f t="shared" si="23"/>
        <v>7683</v>
      </c>
      <c r="AH24" s="910">
        <f t="shared" si="23"/>
        <v>7520</v>
      </c>
      <c r="AI24" s="910">
        <f t="shared" si="23"/>
        <v>7064</v>
      </c>
      <c r="AJ24" s="910">
        <f t="shared" si="23"/>
        <v>7823</v>
      </c>
      <c r="AK24" s="910">
        <f t="shared" si="23"/>
        <v>8167</v>
      </c>
      <c r="AL24" s="910">
        <f t="shared" si="23"/>
        <v>7176</v>
      </c>
      <c r="AM24" s="910">
        <f t="shared" si="23"/>
        <v>5419</v>
      </c>
      <c r="AN24" s="910">
        <f t="shared" si="22"/>
        <v>7059</v>
      </c>
      <c r="AO24" s="912">
        <f t="shared" si="8"/>
        <v>9616</v>
      </c>
      <c r="AP24" s="910">
        <v>703</v>
      </c>
      <c r="AQ24" s="910">
        <v>711</v>
      </c>
      <c r="AR24" s="910">
        <v>1098</v>
      </c>
      <c r="AS24" s="910">
        <v>932</v>
      </c>
      <c r="AT24" s="910">
        <v>1382</v>
      </c>
      <c r="AU24" s="910">
        <v>1526</v>
      </c>
      <c r="AV24" s="910">
        <v>1554</v>
      </c>
      <c r="AW24" s="910">
        <v>764</v>
      </c>
      <c r="AX24" s="910">
        <v>967</v>
      </c>
      <c r="AY24" s="912">
        <v>893</v>
      </c>
      <c r="AZ24" s="910">
        <v>5749</v>
      </c>
      <c r="BA24" s="910">
        <v>6972</v>
      </c>
      <c r="BB24" s="910">
        <v>6422</v>
      </c>
      <c r="BC24" s="910">
        <v>6132</v>
      </c>
      <c r="BD24" s="910">
        <v>6441</v>
      </c>
      <c r="BE24" s="910">
        <v>6641</v>
      </c>
      <c r="BF24" s="910">
        <v>5622</v>
      </c>
      <c r="BG24" s="910">
        <v>4655</v>
      </c>
      <c r="BH24" s="910">
        <v>6092</v>
      </c>
      <c r="BI24" s="912">
        <v>8723</v>
      </c>
      <c r="BJ24" s="910">
        <f t="shared" si="25"/>
        <v>29640</v>
      </c>
      <c r="BK24" s="910">
        <f t="shared" si="25"/>
        <v>35499</v>
      </c>
      <c r="BL24" s="910">
        <f t="shared" si="25"/>
        <v>21603</v>
      </c>
      <c r="BM24" s="910">
        <f t="shared" si="25"/>
        <v>21919</v>
      </c>
      <c r="BN24" s="910">
        <f t="shared" si="25"/>
        <v>21558</v>
      </c>
      <c r="BO24" s="910">
        <f t="shared" si="25"/>
        <v>10618</v>
      </c>
      <c r="BP24" s="910">
        <f t="shared" si="25"/>
        <v>11465</v>
      </c>
      <c r="BQ24" s="910">
        <f t="shared" si="25"/>
        <v>15747</v>
      </c>
      <c r="BR24" s="1136">
        <f t="shared" si="25"/>
        <v>15272</v>
      </c>
      <c r="BS24" s="910">
        <f t="shared" si="9"/>
        <v>17828</v>
      </c>
      <c r="BT24" s="910">
        <f t="shared" si="10"/>
        <v>23487</v>
      </c>
      <c r="BU24" s="910">
        <f t="shared" si="11"/>
        <v>24987</v>
      </c>
      <c r="BV24" s="910">
        <f t="shared" si="12"/>
        <v>28306</v>
      </c>
      <c r="BW24" s="910">
        <f t="shared" si="13"/>
        <v>27306</v>
      </c>
      <c r="BX24" s="910">
        <f t="shared" si="14"/>
        <v>30877</v>
      </c>
      <c r="BY24" s="910">
        <f t="shared" si="15"/>
        <v>33305</v>
      </c>
      <c r="BZ24" s="910">
        <f t="shared" si="16"/>
        <v>27391</v>
      </c>
      <c r="CA24" s="910">
        <f t="shared" si="17"/>
        <v>29991</v>
      </c>
      <c r="CB24" s="912">
        <f t="shared" si="18"/>
        <v>27164</v>
      </c>
      <c r="CC24" s="1208">
        <f t="shared" si="6"/>
        <v>-9.4261611816878457</v>
      </c>
      <c r="CD24" s="1127" t="s">
        <v>32</v>
      </c>
    </row>
    <row r="25" spans="2:82">
      <c r="B25" s="1159" t="s">
        <v>35</v>
      </c>
      <c r="C25" s="1160" t="s">
        <v>63</v>
      </c>
      <c r="D25" s="1160" t="s">
        <v>63</v>
      </c>
      <c r="E25" s="1160" t="s">
        <v>63</v>
      </c>
      <c r="F25" s="1160" t="s">
        <v>63</v>
      </c>
      <c r="G25" s="1160" t="s">
        <v>63</v>
      </c>
      <c r="H25" s="1160" t="s">
        <v>63</v>
      </c>
      <c r="I25" s="1160" t="s">
        <v>63</v>
      </c>
      <c r="J25" s="1160" t="s">
        <v>63</v>
      </c>
      <c r="K25" s="1160" t="s">
        <v>63</v>
      </c>
      <c r="L25" s="1222">
        <f>BS25-AF25</f>
        <v>214</v>
      </c>
      <c r="M25" s="1222">
        <f>BT25-AG25</f>
        <v>219</v>
      </c>
      <c r="N25" s="1153">
        <v>543</v>
      </c>
      <c r="O25" s="1151">
        <v>671</v>
      </c>
      <c r="P25" s="1151">
        <v>669</v>
      </c>
      <c r="Q25" s="1151">
        <v>827</v>
      </c>
      <c r="R25" s="1151">
        <v>713</v>
      </c>
      <c r="S25" s="1161">
        <v>557</v>
      </c>
      <c r="T25" s="1161">
        <v>604</v>
      </c>
      <c r="U25" s="1162">
        <v>726</v>
      </c>
      <c r="V25" s="1202">
        <v>4.2699724517906334</v>
      </c>
      <c r="W25" s="914" t="s">
        <v>63</v>
      </c>
      <c r="X25" s="914" t="s">
        <v>63</v>
      </c>
      <c r="Y25" s="914" t="s">
        <v>63</v>
      </c>
      <c r="Z25" s="914" t="s">
        <v>63</v>
      </c>
      <c r="AA25" s="914" t="s">
        <v>63</v>
      </c>
      <c r="AB25" s="914" t="s">
        <v>63</v>
      </c>
      <c r="AC25" s="914" t="s">
        <v>63</v>
      </c>
      <c r="AD25" s="914" t="s">
        <v>63</v>
      </c>
      <c r="AE25" s="914" t="s">
        <v>63</v>
      </c>
      <c r="AF25" s="914">
        <f t="shared" si="21"/>
        <v>322</v>
      </c>
      <c r="AG25" s="914">
        <f t="shared" si="23"/>
        <v>317</v>
      </c>
      <c r="AH25" s="914">
        <f t="shared" ref="AH25:AM29" si="26">AR25+BB25</f>
        <v>59</v>
      </c>
      <c r="AI25" s="914">
        <f t="shared" si="26"/>
        <v>80</v>
      </c>
      <c r="AJ25" s="914">
        <f t="shared" si="26"/>
        <v>80</v>
      </c>
      <c r="AK25" s="914">
        <f t="shared" si="26"/>
        <v>85</v>
      </c>
      <c r="AL25" s="914">
        <f t="shared" si="26"/>
        <v>72</v>
      </c>
      <c r="AM25" s="914">
        <f t="shared" si="26"/>
        <v>79</v>
      </c>
      <c r="AN25" s="914">
        <f t="shared" si="22"/>
        <v>13</v>
      </c>
      <c r="AO25" s="915">
        <f t="shared" si="8"/>
        <v>47</v>
      </c>
      <c r="AP25" s="914">
        <v>264</v>
      </c>
      <c r="AQ25" s="914">
        <v>250</v>
      </c>
      <c r="AR25" s="914">
        <v>51</v>
      </c>
      <c r="AS25" s="914">
        <v>71</v>
      </c>
      <c r="AT25" s="914">
        <v>69</v>
      </c>
      <c r="AU25" s="914">
        <v>78</v>
      </c>
      <c r="AV25" s="914">
        <v>66</v>
      </c>
      <c r="AW25" s="914">
        <v>73</v>
      </c>
      <c r="AX25" s="914">
        <v>12</v>
      </c>
      <c r="AY25" s="915">
        <v>32</v>
      </c>
      <c r="AZ25" s="914">
        <v>58</v>
      </c>
      <c r="BA25" s="914">
        <v>67</v>
      </c>
      <c r="BB25" s="914">
        <v>8</v>
      </c>
      <c r="BC25" s="914">
        <v>9</v>
      </c>
      <c r="BD25" s="914">
        <v>11</v>
      </c>
      <c r="BE25" s="914">
        <v>7</v>
      </c>
      <c r="BF25" s="914">
        <v>6</v>
      </c>
      <c r="BG25" s="914">
        <v>6</v>
      </c>
      <c r="BH25" s="914">
        <v>1</v>
      </c>
      <c r="BI25" s="915">
        <v>15</v>
      </c>
      <c r="BJ25" s="914">
        <v>375</v>
      </c>
      <c r="BK25" s="914">
        <v>652</v>
      </c>
      <c r="BL25" s="914">
        <v>564</v>
      </c>
      <c r="BM25" s="914">
        <v>865</v>
      </c>
      <c r="BN25" s="914">
        <v>783</v>
      </c>
      <c r="BO25" s="914">
        <v>471</v>
      </c>
      <c r="BP25" s="914">
        <v>924</v>
      </c>
      <c r="BQ25" s="914">
        <v>1392</v>
      </c>
      <c r="BR25" s="914">
        <v>552</v>
      </c>
      <c r="BS25" s="914">
        <v>536</v>
      </c>
      <c r="BT25" s="914">
        <v>536</v>
      </c>
      <c r="BU25" s="1040">
        <f t="shared" si="11"/>
        <v>602</v>
      </c>
      <c r="BV25" s="914">
        <f t="shared" ref="BV25:BV38" si="27">O25+AI25</f>
        <v>751</v>
      </c>
      <c r="BW25" s="914">
        <f t="shared" ref="BW25:BW38" si="28">P25+AJ25</f>
        <v>749</v>
      </c>
      <c r="BX25" s="914">
        <f t="shared" ref="BX25:BX38" si="29">Q25+AK25</f>
        <v>912</v>
      </c>
      <c r="BY25" s="914">
        <f t="shared" ref="BY25:BY38" si="30">R25+AL25</f>
        <v>785</v>
      </c>
      <c r="BZ25" s="914">
        <f t="shared" ref="BZ25:BZ38" si="31">S25+AM25</f>
        <v>636</v>
      </c>
      <c r="CA25" s="914">
        <f t="shared" ref="CA25:CA38" si="32">T25+AN25</f>
        <v>617</v>
      </c>
      <c r="CB25" s="915">
        <f t="shared" ref="CB25:CB38" si="33">U25+AO25</f>
        <v>773</v>
      </c>
      <c r="CC25" s="1210">
        <f t="shared" si="6"/>
        <v>25.283630470016206</v>
      </c>
      <c r="CD25" s="1157" t="s">
        <v>35</v>
      </c>
    </row>
    <row r="26" spans="2:82">
      <c r="B26" s="1039" t="s">
        <v>43</v>
      </c>
      <c r="C26" s="1123">
        <v>86126</v>
      </c>
      <c r="D26" s="1123">
        <v>65224</v>
      </c>
      <c r="E26" s="1028">
        <v>63913</v>
      </c>
      <c r="F26" s="1028">
        <v>80830</v>
      </c>
      <c r="G26" s="1028">
        <v>84654</v>
      </c>
      <c r="H26" s="1028">
        <v>51281</v>
      </c>
      <c r="I26" s="1028">
        <v>49564</v>
      </c>
      <c r="J26" s="1028">
        <v>58653</v>
      </c>
      <c r="K26" s="1135">
        <v>56543</v>
      </c>
      <c r="L26" s="1028">
        <v>50568</v>
      </c>
      <c r="M26" s="1028">
        <v>51761</v>
      </c>
      <c r="N26" s="1028">
        <v>57696</v>
      </c>
      <c r="O26" s="1028">
        <v>70429</v>
      </c>
      <c r="P26" s="1028">
        <v>73469</v>
      </c>
      <c r="Q26" s="1028">
        <v>79173</v>
      </c>
      <c r="R26" s="1028">
        <v>76251</v>
      </c>
      <c r="S26" s="1029">
        <v>60395</v>
      </c>
      <c r="T26" s="1029">
        <v>68405</v>
      </c>
      <c r="U26" s="1030">
        <v>59173</v>
      </c>
      <c r="V26" s="1200">
        <v>7.9529515150490937</v>
      </c>
      <c r="W26" s="910">
        <v>14387</v>
      </c>
      <c r="X26" s="910">
        <v>15545</v>
      </c>
      <c r="Y26" s="910">
        <v>20004</v>
      </c>
      <c r="Z26" s="910">
        <v>15284</v>
      </c>
      <c r="AA26" s="910">
        <v>18274</v>
      </c>
      <c r="AB26" s="910">
        <v>11757</v>
      </c>
      <c r="AC26" s="910">
        <v>10648</v>
      </c>
      <c r="AD26" s="910">
        <v>12925</v>
      </c>
      <c r="AE26" s="1136">
        <v>12347</v>
      </c>
      <c r="AF26" s="910">
        <f t="shared" si="21"/>
        <v>12423</v>
      </c>
      <c r="AG26" s="910">
        <f>AQ26+BA26</f>
        <v>9732</v>
      </c>
      <c r="AH26" s="910">
        <f t="shared" si="26"/>
        <v>12997</v>
      </c>
      <c r="AI26" s="910">
        <f t="shared" si="26"/>
        <v>14254</v>
      </c>
      <c r="AJ26" s="910">
        <f t="shared" si="26"/>
        <v>13503</v>
      </c>
      <c r="AK26" s="910">
        <f t="shared" si="26"/>
        <v>14660</v>
      </c>
      <c r="AL26" s="910">
        <f t="shared" si="26"/>
        <v>13922</v>
      </c>
      <c r="AM26" s="910">
        <f t="shared" si="26"/>
        <v>9402</v>
      </c>
      <c r="AN26" s="910">
        <f t="shared" si="22"/>
        <v>10700</v>
      </c>
      <c r="AO26" s="912">
        <f t="shared" si="8"/>
        <v>12271</v>
      </c>
      <c r="AP26" s="910">
        <v>3561</v>
      </c>
      <c r="AQ26" s="910">
        <v>2722</v>
      </c>
      <c r="AR26" s="910">
        <v>3558</v>
      </c>
      <c r="AS26" s="910">
        <v>4156</v>
      </c>
      <c r="AT26" s="910">
        <v>4159</v>
      </c>
      <c r="AU26" s="910">
        <v>4609</v>
      </c>
      <c r="AV26" s="910">
        <v>4680</v>
      </c>
      <c r="AW26" s="910">
        <v>3456</v>
      </c>
      <c r="AX26" s="910">
        <v>3363</v>
      </c>
      <c r="AY26" s="912">
        <v>3388</v>
      </c>
      <c r="AZ26" s="910">
        <v>8862</v>
      </c>
      <c r="BA26" s="910">
        <v>7010</v>
      </c>
      <c r="BB26" s="910">
        <v>9439</v>
      </c>
      <c r="BC26" s="910">
        <v>10098</v>
      </c>
      <c r="BD26" s="910">
        <v>9344</v>
      </c>
      <c r="BE26" s="910">
        <v>10051</v>
      </c>
      <c r="BF26" s="910">
        <v>9242</v>
      </c>
      <c r="BG26" s="910">
        <v>5946</v>
      </c>
      <c r="BH26" s="910">
        <v>7337</v>
      </c>
      <c r="BI26" s="912">
        <v>8883</v>
      </c>
      <c r="BJ26" s="910">
        <f t="shared" ref="BJ26:BU28" si="34">C26+W26</f>
        <v>100513</v>
      </c>
      <c r="BK26" s="910">
        <f t="shared" si="34"/>
        <v>80769</v>
      </c>
      <c r="BL26" s="910">
        <f t="shared" si="34"/>
        <v>83917</v>
      </c>
      <c r="BM26" s="910">
        <f t="shared" si="34"/>
        <v>96114</v>
      </c>
      <c r="BN26" s="910">
        <f t="shared" si="34"/>
        <v>102928</v>
      </c>
      <c r="BO26" s="910">
        <f t="shared" si="34"/>
        <v>63038</v>
      </c>
      <c r="BP26" s="910">
        <f t="shared" si="34"/>
        <v>60212</v>
      </c>
      <c r="BQ26" s="910">
        <f t="shared" si="34"/>
        <v>71578</v>
      </c>
      <c r="BR26" s="1136">
        <f t="shared" si="34"/>
        <v>68890</v>
      </c>
      <c r="BS26" s="910">
        <f t="shared" si="34"/>
        <v>62991</v>
      </c>
      <c r="BT26" s="910">
        <f t="shared" si="34"/>
        <v>61493</v>
      </c>
      <c r="BU26" s="910">
        <f t="shared" si="34"/>
        <v>70693</v>
      </c>
      <c r="BV26" s="910">
        <f t="shared" si="27"/>
        <v>84683</v>
      </c>
      <c r="BW26" s="910">
        <f t="shared" si="28"/>
        <v>86972</v>
      </c>
      <c r="BX26" s="910">
        <f t="shared" si="29"/>
        <v>93833</v>
      </c>
      <c r="BY26" s="910">
        <f t="shared" si="30"/>
        <v>90173</v>
      </c>
      <c r="BZ26" s="910">
        <f t="shared" si="31"/>
        <v>69797</v>
      </c>
      <c r="CA26" s="910">
        <f t="shared" si="32"/>
        <v>79105</v>
      </c>
      <c r="CB26" s="912">
        <f t="shared" si="33"/>
        <v>71444</v>
      </c>
      <c r="CC26" s="1208">
        <f t="shared" si="6"/>
        <v>-9.68459642247646</v>
      </c>
      <c r="CD26" s="1127" t="s">
        <v>43</v>
      </c>
    </row>
    <row r="27" spans="2:82">
      <c r="B27" s="1149" t="s">
        <v>52</v>
      </c>
      <c r="C27" s="1150">
        <v>28888</v>
      </c>
      <c r="D27" s="1150">
        <v>28752</v>
      </c>
      <c r="E27" s="1151">
        <v>30357</v>
      </c>
      <c r="F27" s="1151">
        <v>32322</v>
      </c>
      <c r="G27" s="1151">
        <v>32763</v>
      </c>
      <c r="H27" s="1151">
        <v>25582</v>
      </c>
      <c r="I27" s="1151">
        <v>27992</v>
      </c>
      <c r="J27" s="1151">
        <v>32563</v>
      </c>
      <c r="K27" s="1152">
        <v>31505</v>
      </c>
      <c r="L27" s="1151">
        <v>30701</v>
      </c>
      <c r="M27" s="1151">
        <v>31168</v>
      </c>
      <c r="N27" s="1151">
        <v>32862</v>
      </c>
      <c r="O27" s="1151">
        <v>35919</v>
      </c>
      <c r="P27" s="1151">
        <v>40174</v>
      </c>
      <c r="Q27" s="1151">
        <v>43641</v>
      </c>
      <c r="R27" s="1151">
        <v>43425</v>
      </c>
      <c r="S27" s="1161">
        <v>36545</v>
      </c>
      <c r="T27" s="1161">
        <v>58806</v>
      </c>
      <c r="U27" s="1162">
        <v>22069</v>
      </c>
      <c r="V27" s="1202">
        <v>9.3660791155013818</v>
      </c>
      <c r="W27" s="1040">
        <v>9690</v>
      </c>
      <c r="X27" s="1040">
        <v>8926</v>
      </c>
      <c r="Y27" s="1040">
        <v>7609</v>
      </c>
      <c r="Z27" s="1040">
        <v>8417</v>
      </c>
      <c r="AA27" s="1040">
        <v>8590</v>
      </c>
      <c r="AB27" s="1040">
        <v>4790</v>
      </c>
      <c r="AC27" s="1040">
        <v>5185</v>
      </c>
      <c r="AD27" s="1040">
        <v>7345</v>
      </c>
      <c r="AE27" s="1155">
        <v>6654</v>
      </c>
      <c r="AF27" s="1040">
        <f t="shared" si="21"/>
        <v>7443</v>
      </c>
      <c r="AG27" s="1040">
        <f>AQ27+BA27</f>
        <v>6829</v>
      </c>
      <c r="AH27" s="1040">
        <f t="shared" si="26"/>
        <v>7281</v>
      </c>
      <c r="AI27" s="1040">
        <f t="shared" si="26"/>
        <v>7979</v>
      </c>
      <c r="AJ27" s="1040">
        <f t="shared" si="26"/>
        <v>8186</v>
      </c>
      <c r="AK27" s="1040">
        <f t="shared" si="26"/>
        <v>8204</v>
      </c>
      <c r="AL27" s="1040">
        <f t="shared" si="26"/>
        <v>8082</v>
      </c>
      <c r="AM27" s="1040">
        <f t="shared" si="26"/>
        <v>5676</v>
      </c>
      <c r="AN27" s="1040">
        <f t="shared" si="22"/>
        <v>6680</v>
      </c>
      <c r="AO27" s="1156">
        <f t="shared" si="8"/>
        <v>6363</v>
      </c>
      <c r="AP27" s="1040">
        <v>3470</v>
      </c>
      <c r="AQ27" s="1040">
        <v>3601</v>
      </c>
      <c r="AR27" s="1040">
        <v>3511</v>
      </c>
      <c r="AS27" s="1040">
        <v>4039</v>
      </c>
      <c r="AT27" s="1040">
        <v>3953</v>
      </c>
      <c r="AU27" s="1040">
        <v>4306</v>
      </c>
      <c r="AV27" s="1040">
        <v>4617</v>
      </c>
      <c r="AW27" s="1040">
        <v>3497</v>
      </c>
      <c r="AX27" s="1040">
        <v>3755</v>
      </c>
      <c r="AY27" s="1156">
        <v>3131</v>
      </c>
      <c r="AZ27" s="1040">
        <v>3973</v>
      </c>
      <c r="BA27" s="1040">
        <v>3228</v>
      </c>
      <c r="BB27" s="1040">
        <v>3770</v>
      </c>
      <c r="BC27" s="1040">
        <v>3940</v>
      </c>
      <c r="BD27" s="1040">
        <v>4233</v>
      </c>
      <c r="BE27" s="1040">
        <v>3898</v>
      </c>
      <c r="BF27" s="1040">
        <v>3465</v>
      </c>
      <c r="BG27" s="1040">
        <v>2179</v>
      </c>
      <c r="BH27" s="1040">
        <v>2925</v>
      </c>
      <c r="BI27" s="1156">
        <v>3232</v>
      </c>
      <c r="BJ27" s="1040">
        <f t="shared" si="34"/>
        <v>38578</v>
      </c>
      <c r="BK27" s="1040">
        <f t="shared" si="34"/>
        <v>37678</v>
      </c>
      <c r="BL27" s="1040">
        <f t="shared" si="34"/>
        <v>37966</v>
      </c>
      <c r="BM27" s="1040">
        <f t="shared" si="34"/>
        <v>40739</v>
      </c>
      <c r="BN27" s="1040">
        <f t="shared" si="34"/>
        <v>41353</v>
      </c>
      <c r="BO27" s="1040">
        <f t="shared" si="34"/>
        <v>30372</v>
      </c>
      <c r="BP27" s="1040">
        <f t="shared" si="34"/>
        <v>33177</v>
      </c>
      <c r="BQ27" s="1040">
        <f t="shared" si="34"/>
        <v>39908</v>
      </c>
      <c r="BR27" s="1155">
        <f t="shared" si="34"/>
        <v>38159</v>
      </c>
      <c r="BS27" s="1040">
        <f t="shared" si="34"/>
        <v>38144</v>
      </c>
      <c r="BT27" s="1040">
        <f t="shared" si="34"/>
        <v>37997</v>
      </c>
      <c r="BU27" s="1040">
        <f t="shared" si="34"/>
        <v>40143</v>
      </c>
      <c r="BV27" s="1040">
        <f t="shared" si="27"/>
        <v>43898</v>
      </c>
      <c r="BW27" s="1040">
        <f t="shared" si="28"/>
        <v>48360</v>
      </c>
      <c r="BX27" s="1040">
        <f t="shared" si="29"/>
        <v>51845</v>
      </c>
      <c r="BY27" s="1040">
        <f t="shared" si="30"/>
        <v>51507</v>
      </c>
      <c r="BZ27" s="1040">
        <f t="shared" si="31"/>
        <v>42221</v>
      </c>
      <c r="CA27" s="1040">
        <f t="shared" si="32"/>
        <v>65486</v>
      </c>
      <c r="CB27" s="1156">
        <f t="shared" si="33"/>
        <v>28432</v>
      </c>
      <c r="CC27" s="1210">
        <f t="shared" si="6"/>
        <v>-56.583086461228355</v>
      </c>
      <c r="CD27" s="1157" t="s">
        <v>52</v>
      </c>
    </row>
    <row r="28" spans="2:82">
      <c r="B28" s="1039" t="s">
        <v>36</v>
      </c>
      <c r="C28" s="1123">
        <v>34508</v>
      </c>
      <c r="D28" s="1123">
        <v>35270</v>
      </c>
      <c r="E28" s="1028">
        <v>38618</v>
      </c>
      <c r="F28" s="1028">
        <v>52048</v>
      </c>
      <c r="G28" s="1028">
        <v>55896</v>
      </c>
      <c r="H28" s="1028">
        <v>40232</v>
      </c>
      <c r="I28" s="1028">
        <v>38647</v>
      </c>
      <c r="J28" s="1028">
        <v>45511</v>
      </c>
      <c r="K28" s="1135">
        <v>38425</v>
      </c>
      <c r="L28" s="1028">
        <v>88659</v>
      </c>
      <c r="M28" s="1028">
        <v>123299</v>
      </c>
      <c r="N28" s="1028">
        <v>110106</v>
      </c>
      <c r="O28" s="1028">
        <v>124065</v>
      </c>
      <c r="P28" s="1028">
        <v>116627</v>
      </c>
      <c r="Q28" s="1028">
        <v>68819</v>
      </c>
      <c r="R28" s="1028">
        <v>69872</v>
      </c>
      <c r="S28" s="1029">
        <v>59648</v>
      </c>
      <c r="T28" s="1029">
        <v>73926</v>
      </c>
      <c r="U28" s="1030">
        <v>59670</v>
      </c>
      <c r="V28" s="1203">
        <v>2.4601977543154017</v>
      </c>
      <c r="W28" s="910">
        <v>12541</v>
      </c>
      <c r="X28" s="910">
        <v>11794</v>
      </c>
      <c r="Y28" s="910">
        <v>15896</v>
      </c>
      <c r="Z28" s="910">
        <v>24573</v>
      </c>
      <c r="AA28" s="910">
        <v>22405</v>
      </c>
      <c r="AB28" s="910">
        <v>9885</v>
      </c>
      <c r="AC28" s="910">
        <v>13013</v>
      </c>
      <c r="AD28" s="910">
        <v>17105</v>
      </c>
      <c r="AE28" s="1136">
        <v>16638</v>
      </c>
      <c r="AF28" s="910">
        <f>AP28+AZ28</f>
        <v>45374</v>
      </c>
      <c r="AG28" s="910">
        <f t="shared" ref="AG28" si="35">AQ28+BA28</f>
        <v>44979</v>
      </c>
      <c r="AH28" s="910">
        <f t="shared" si="26"/>
        <v>52091</v>
      </c>
      <c r="AI28" s="910">
        <f t="shared" si="26"/>
        <v>57938</v>
      </c>
      <c r="AJ28" s="910">
        <f t="shared" si="26"/>
        <v>54681</v>
      </c>
      <c r="AK28" s="910">
        <f t="shared" si="26"/>
        <v>29540</v>
      </c>
      <c r="AL28" s="910">
        <f t="shared" si="26"/>
        <v>27350</v>
      </c>
      <c r="AM28" s="910">
        <f t="shared" si="26"/>
        <v>19435</v>
      </c>
      <c r="AN28" s="910">
        <f t="shared" si="22"/>
        <v>30909</v>
      </c>
      <c r="AO28" s="912">
        <f t="shared" si="8"/>
        <v>33383</v>
      </c>
      <c r="AP28" s="910">
        <v>18786</v>
      </c>
      <c r="AQ28" s="910">
        <v>18857</v>
      </c>
      <c r="AR28" s="910">
        <v>21148</v>
      </c>
      <c r="AS28" s="910">
        <v>21386</v>
      </c>
      <c r="AT28" s="910">
        <v>20126</v>
      </c>
      <c r="AU28" s="910">
        <v>6729</v>
      </c>
      <c r="AV28" s="910">
        <v>6791</v>
      </c>
      <c r="AW28" s="910">
        <v>4968</v>
      </c>
      <c r="AX28" s="910">
        <v>6665</v>
      </c>
      <c r="AY28" s="912">
        <v>7381</v>
      </c>
      <c r="AZ28" s="910">
        <v>26588</v>
      </c>
      <c r="BA28" s="910">
        <v>26122</v>
      </c>
      <c r="BB28" s="910">
        <v>30943</v>
      </c>
      <c r="BC28" s="910">
        <v>36552</v>
      </c>
      <c r="BD28" s="910">
        <v>34555</v>
      </c>
      <c r="BE28" s="910">
        <v>22811</v>
      </c>
      <c r="BF28" s="910">
        <v>20559</v>
      </c>
      <c r="BG28" s="910">
        <v>14467</v>
      </c>
      <c r="BH28" s="910">
        <v>24244</v>
      </c>
      <c r="BI28" s="912">
        <v>26002</v>
      </c>
      <c r="BJ28" s="910">
        <f t="shared" si="34"/>
        <v>47049</v>
      </c>
      <c r="BK28" s="910">
        <f t="shared" si="34"/>
        <v>47064</v>
      </c>
      <c r="BL28" s="910">
        <f t="shared" si="34"/>
        <v>54514</v>
      </c>
      <c r="BM28" s="910">
        <f t="shared" si="34"/>
        <v>76621</v>
      </c>
      <c r="BN28" s="910">
        <f t="shared" si="34"/>
        <v>78301</v>
      </c>
      <c r="BO28" s="910">
        <f t="shared" si="34"/>
        <v>50117</v>
      </c>
      <c r="BP28" s="910">
        <f t="shared" si="34"/>
        <v>51660</v>
      </c>
      <c r="BQ28" s="910">
        <f t="shared" si="34"/>
        <v>62616</v>
      </c>
      <c r="BR28" s="1136">
        <f t="shared" si="34"/>
        <v>55063</v>
      </c>
      <c r="BS28" s="910">
        <f t="shared" si="34"/>
        <v>134033</v>
      </c>
      <c r="BT28" s="910">
        <f t="shared" si="34"/>
        <v>168278</v>
      </c>
      <c r="BU28" s="910">
        <f t="shared" si="34"/>
        <v>162197</v>
      </c>
      <c r="BV28" s="910">
        <f t="shared" si="27"/>
        <v>182003</v>
      </c>
      <c r="BW28" s="910">
        <f t="shared" si="28"/>
        <v>171308</v>
      </c>
      <c r="BX28" s="910">
        <f t="shared" si="29"/>
        <v>98359</v>
      </c>
      <c r="BY28" s="910">
        <f t="shared" si="30"/>
        <v>97222</v>
      </c>
      <c r="BZ28" s="910">
        <f t="shared" si="31"/>
        <v>79083</v>
      </c>
      <c r="CA28" s="910">
        <f t="shared" si="32"/>
        <v>104835</v>
      </c>
      <c r="CB28" s="912">
        <f t="shared" si="33"/>
        <v>93053</v>
      </c>
      <c r="CC28" s="1208">
        <f t="shared" si="6"/>
        <v>-11.238613058615925</v>
      </c>
      <c r="CD28" s="1127" t="s">
        <v>36</v>
      </c>
    </row>
    <row r="29" spans="2:82">
      <c r="B29" s="1149" t="s">
        <v>53</v>
      </c>
      <c r="C29" s="1150">
        <v>70890</v>
      </c>
      <c r="D29" s="1150">
        <v>66632</v>
      </c>
      <c r="E29" s="1151">
        <v>64342</v>
      </c>
      <c r="F29" s="1151">
        <v>68418</v>
      </c>
      <c r="G29" s="1151">
        <v>55398</v>
      </c>
      <c r="H29" s="1151">
        <v>38905</v>
      </c>
      <c r="I29" s="1151">
        <v>45650</v>
      </c>
      <c r="J29" s="1151">
        <v>34877</v>
      </c>
      <c r="K29" s="1151">
        <v>16002</v>
      </c>
      <c r="L29" s="1152">
        <v>18202</v>
      </c>
      <c r="M29" s="1151">
        <v>25970</v>
      </c>
      <c r="N29" s="1151">
        <v>30276</v>
      </c>
      <c r="O29" s="1151">
        <v>33765</v>
      </c>
      <c r="P29" s="1151">
        <v>35332</v>
      </c>
      <c r="Q29" s="1151">
        <v>38172</v>
      </c>
      <c r="R29" s="1151">
        <v>37622</v>
      </c>
      <c r="S29" s="1161">
        <v>26993</v>
      </c>
      <c r="T29" s="1161">
        <v>28097</v>
      </c>
      <c r="U29" s="1162">
        <v>22811</v>
      </c>
      <c r="V29" s="1202">
        <v>4.4802945947130777</v>
      </c>
      <c r="W29" s="1040">
        <v>4687</v>
      </c>
      <c r="X29" s="1040">
        <v>5350</v>
      </c>
      <c r="Y29" s="1040">
        <v>5411</v>
      </c>
      <c r="Z29" s="1040">
        <v>5645</v>
      </c>
      <c r="AA29" s="1040">
        <v>5534</v>
      </c>
      <c r="AB29" s="1040">
        <v>3211</v>
      </c>
      <c r="AC29" s="1040">
        <v>3134</v>
      </c>
      <c r="AD29" s="1040">
        <v>2739</v>
      </c>
      <c r="AE29" s="1155">
        <v>1894</v>
      </c>
      <c r="AF29" s="1040">
        <v>2394</v>
      </c>
      <c r="AG29" s="1221">
        <f>AQ29+BA29</f>
        <v>5807</v>
      </c>
      <c r="AH29" s="1040">
        <f t="shared" si="26"/>
        <v>7163</v>
      </c>
      <c r="AI29" s="1040">
        <f t="shared" si="26"/>
        <v>7840</v>
      </c>
      <c r="AJ29" s="1040">
        <f t="shared" si="26"/>
        <v>5744</v>
      </c>
      <c r="AK29" s="1040">
        <f t="shared" si="26"/>
        <v>4955</v>
      </c>
      <c r="AL29" s="1040">
        <f t="shared" si="26"/>
        <v>5002</v>
      </c>
      <c r="AM29" s="1040">
        <f t="shared" si="26"/>
        <v>3931</v>
      </c>
      <c r="AN29" s="1040">
        <f t="shared" si="22"/>
        <v>4457</v>
      </c>
      <c r="AO29" s="1156">
        <f t="shared" si="8"/>
        <v>4461</v>
      </c>
      <c r="AP29" s="918" t="s">
        <v>168</v>
      </c>
      <c r="AQ29" s="1040">
        <v>1524</v>
      </c>
      <c r="AR29" s="1040">
        <v>1894</v>
      </c>
      <c r="AS29" s="1040">
        <v>2094</v>
      </c>
      <c r="AT29" s="1040">
        <v>1281</v>
      </c>
      <c r="AU29" s="1040">
        <v>1335</v>
      </c>
      <c r="AV29" s="1040">
        <v>1417</v>
      </c>
      <c r="AW29" s="1040">
        <v>1060</v>
      </c>
      <c r="AX29" s="1040">
        <v>1188</v>
      </c>
      <c r="AY29" s="1156">
        <v>1131</v>
      </c>
      <c r="AZ29" s="918" t="s">
        <v>168</v>
      </c>
      <c r="BA29" s="1040">
        <v>4283</v>
      </c>
      <c r="BB29" s="1040">
        <v>5269</v>
      </c>
      <c r="BC29" s="1040">
        <v>5746</v>
      </c>
      <c r="BD29" s="1040">
        <v>4463</v>
      </c>
      <c r="BE29" s="1040">
        <v>3620</v>
      </c>
      <c r="BF29" s="1040">
        <v>3585</v>
      </c>
      <c r="BG29" s="1040">
        <v>2871</v>
      </c>
      <c r="BH29" s="1040">
        <v>3269</v>
      </c>
      <c r="BI29" s="1156">
        <v>3330</v>
      </c>
      <c r="BJ29" s="1040">
        <f t="shared" ref="BJ29:BR29" si="36">C29+W29</f>
        <v>75577</v>
      </c>
      <c r="BK29" s="1040">
        <f t="shared" si="36"/>
        <v>71982</v>
      </c>
      <c r="BL29" s="1040">
        <f t="shared" si="36"/>
        <v>69753</v>
      </c>
      <c r="BM29" s="1040">
        <f t="shared" si="36"/>
        <v>74063</v>
      </c>
      <c r="BN29" s="1040">
        <f t="shared" si="36"/>
        <v>60932</v>
      </c>
      <c r="BO29" s="1040">
        <f t="shared" si="36"/>
        <v>42116</v>
      </c>
      <c r="BP29" s="1040">
        <f t="shared" si="36"/>
        <v>48784</v>
      </c>
      <c r="BQ29" s="1040">
        <f t="shared" si="36"/>
        <v>37616</v>
      </c>
      <c r="BR29" s="1155">
        <f t="shared" si="36"/>
        <v>17896</v>
      </c>
      <c r="BS29" s="1040">
        <f>L29+AF29</f>
        <v>20596</v>
      </c>
      <c r="BT29" s="1040">
        <f t="shared" ref="BT29:BT38" si="37">M29+AG29</f>
        <v>31777</v>
      </c>
      <c r="BU29" s="1040">
        <f t="shared" ref="BU29:BU38" si="38">N29+AH29</f>
        <v>37439</v>
      </c>
      <c r="BV29" s="1040">
        <f t="shared" si="27"/>
        <v>41605</v>
      </c>
      <c r="BW29" s="1040">
        <f t="shared" si="28"/>
        <v>41076</v>
      </c>
      <c r="BX29" s="1040">
        <f t="shared" si="29"/>
        <v>43127</v>
      </c>
      <c r="BY29" s="1040">
        <f t="shared" si="30"/>
        <v>42624</v>
      </c>
      <c r="BZ29" s="1040">
        <f t="shared" si="31"/>
        <v>30924</v>
      </c>
      <c r="CA29" s="1040">
        <f t="shared" si="32"/>
        <v>32554</v>
      </c>
      <c r="CB29" s="1156">
        <f t="shared" si="33"/>
        <v>27272</v>
      </c>
      <c r="CC29" s="1210">
        <f t="shared" si="6"/>
        <v>-16.225348651471407</v>
      </c>
      <c r="CD29" s="1157" t="s">
        <v>53</v>
      </c>
    </row>
    <row r="30" spans="2:82">
      <c r="B30" s="1039" t="s">
        <v>37</v>
      </c>
      <c r="C30" s="1140"/>
      <c r="D30" s="1123"/>
      <c r="E30" s="1028">
        <v>30508</v>
      </c>
      <c r="F30" s="1028">
        <v>33229</v>
      </c>
      <c r="G30" s="1028">
        <v>36414</v>
      </c>
      <c r="H30" s="1028">
        <v>14086</v>
      </c>
      <c r="I30" s="1028">
        <v>9238</v>
      </c>
      <c r="J30" s="1028">
        <v>10531</v>
      </c>
      <c r="K30" s="1135">
        <v>10741</v>
      </c>
      <c r="L30" s="1028">
        <v>8578</v>
      </c>
      <c r="M30" s="1028">
        <v>10252</v>
      </c>
      <c r="N30" s="1028">
        <v>11066</v>
      </c>
      <c r="O30" s="1028">
        <v>14127</v>
      </c>
      <c r="P30" s="1028">
        <v>15000</v>
      </c>
      <c r="Q30" s="1028">
        <v>17585</v>
      </c>
      <c r="R30" s="1028">
        <v>16985</v>
      </c>
      <c r="S30" s="1029">
        <v>13730</v>
      </c>
      <c r="T30" s="1029">
        <v>16168</v>
      </c>
      <c r="U30" s="1030">
        <v>13583</v>
      </c>
      <c r="V30" s="1195">
        <v>1.3546344695575352</v>
      </c>
      <c r="W30" s="1141"/>
      <c r="X30" s="910"/>
      <c r="Y30" s="910">
        <v>7782</v>
      </c>
      <c r="Z30" s="910">
        <v>14979</v>
      </c>
      <c r="AA30" s="910">
        <v>12506</v>
      </c>
      <c r="AB30" s="910">
        <v>2592</v>
      </c>
      <c r="AC30" s="910">
        <v>2906</v>
      </c>
      <c r="AD30" s="910">
        <v>2135</v>
      </c>
      <c r="AE30" s="910">
        <v>3478</v>
      </c>
      <c r="AF30" s="1141">
        <v>3331</v>
      </c>
      <c r="AG30" s="910">
        <v>4186</v>
      </c>
      <c r="AH30" s="910">
        <v>6125</v>
      </c>
      <c r="AI30" s="910">
        <v>8032</v>
      </c>
      <c r="AJ30" s="910">
        <v>6353</v>
      </c>
      <c r="AK30" s="910">
        <v>7255</v>
      </c>
      <c r="AL30" s="910">
        <v>6947</v>
      </c>
      <c r="AM30" s="910">
        <v>4504</v>
      </c>
      <c r="AN30" s="910">
        <v>6389</v>
      </c>
      <c r="AO30" s="912">
        <v>6870</v>
      </c>
      <c r="AP30" s="921" t="s">
        <v>168</v>
      </c>
      <c r="AQ30" s="921" t="s">
        <v>168</v>
      </c>
      <c r="AR30" s="921" t="s">
        <v>168</v>
      </c>
      <c r="AS30" s="921" t="s">
        <v>168</v>
      </c>
      <c r="AT30" s="921" t="s">
        <v>168</v>
      </c>
      <c r="AU30" s="921" t="s">
        <v>168</v>
      </c>
      <c r="AV30" s="921" t="s">
        <v>168</v>
      </c>
      <c r="AW30" s="921" t="s">
        <v>168</v>
      </c>
      <c r="AX30" s="921" t="s">
        <v>168</v>
      </c>
      <c r="AY30" s="922" t="s">
        <v>168</v>
      </c>
      <c r="AZ30" s="921" t="s">
        <v>168</v>
      </c>
      <c r="BA30" s="921" t="s">
        <v>168</v>
      </c>
      <c r="BB30" s="921" t="s">
        <v>168</v>
      </c>
      <c r="BC30" s="921" t="s">
        <v>168</v>
      </c>
      <c r="BD30" s="921" t="s">
        <v>168</v>
      </c>
      <c r="BE30" s="921" t="s">
        <v>168</v>
      </c>
      <c r="BF30" s="921" t="s">
        <v>168</v>
      </c>
      <c r="BG30" s="921" t="s">
        <v>168</v>
      </c>
      <c r="BH30" s="921" t="s">
        <v>168</v>
      </c>
      <c r="BI30" s="922" t="s">
        <v>168</v>
      </c>
      <c r="BJ30" s="910"/>
      <c r="BK30" s="910"/>
      <c r="BL30" s="910">
        <f t="shared" ref="BL30:BS35" si="39">E30+Y30</f>
        <v>38290</v>
      </c>
      <c r="BM30" s="910">
        <f t="shared" si="39"/>
        <v>48208</v>
      </c>
      <c r="BN30" s="910">
        <f t="shared" si="39"/>
        <v>48920</v>
      </c>
      <c r="BO30" s="910">
        <f t="shared" si="39"/>
        <v>16678</v>
      </c>
      <c r="BP30" s="910">
        <f t="shared" si="39"/>
        <v>12144</v>
      </c>
      <c r="BQ30" s="910">
        <f t="shared" si="39"/>
        <v>12666</v>
      </c>
      <c r="BR30" s="1136">
        <f t="shared" si="39"/>
        <v>14219</v>
      </c>
      <c r="BS30" s="910">
        <f t="shared" si="39"/>
        <v>11909</v>
      </c>
      <c r="BT30" s="910">
        <f t="shared" si="37"/>
        <v>14438</v>
      </c>
      <c r="BU30" s="910">
        <f t="shared" si="38"/>
        <v>17191</v>
      </c>
      <c r="BV30" s="910">
        <f t="shared" si="27"/>
        <v>22159</v>
      </c>
      <c r="BW30" s="910">
        <f t="shared" si="28"/>
        <v>21353</v>
      </c>
      <c r="BX30" s="910">
        <f t="shared" si="29"/>
        <v>24840</v>
      </c>
      <c r="BY30" s="910">
        <f t="shared" si="30"/>
        <v>23932</v>
      </c>
      <c r="BZ30" s="910">
        <f t="shared" si="31"/>
        <v>18234</v>
      </c>
      <c r="CA30" s="910">
        <f t="shared" si="32"/>
        <v>22557</v>
      </c>
      <c r="CB30" s="912">
        <f t="shared" si="33"/>
        <v>20453</v>
      </c>
      <c r="CC30" s="1208">
        <f t="shared" si="6"/>
        <v>-9.3274814913330601</v>
      </c>
      <c r="CD30" s="1127" t="s">
        <v>37</v>
      </c>
    </row>
    <row r="31" spans="2:82">
      <c r="B31" s="1149" t="s">
        <v>39</v>
      </c>
      <c r="C31" s="1165">
        <v>6998</v>
      </c>
      <c r="D31" s="1150">
        <v>6881</v>
      </c>
      <c r="E31" s="1151">
        <v>6048</v>
      </c>
      <c r="F31" s="1151">
        <v>6813</v>
      </c>
      <c r="G31" s="1151">
        <v>7282</v>
      </c>
      <c r="H31" s="1151">
        <v>4426</v>
      </c>
      <c r="I31" s="1151">
        <v>4703</v>
      </c>
      <c r="J31" s="1151">
        <v>5753</v>
      </c>
      <c r="K31" s="1152">
        <v>5760</v>
      </c>
      <c r="L31" s="1151">
        <v>6028</v>
      </c>
      <c r="M31" s="1151">
        <v>6318</v>
      </c>
      <c r="N31" s="1151">
        <v>7452</v>
      </c>
      <c r="O31" s="1151">
        <v>9959</v>
      </c>
      <c r="P31" s="1151">
        <v>10000</v>
      </c>
      <c r="Q31" s="1151">
        <v>12709</v>
      </c>
      <c r="R31" s="1151">
        <v>11161</v>
      </c>
      <c r="S31" s="1161">
        <v>8033</v>
      </c>
      <c r="T31" s="1161">
        <v>9688</v>
      </c>
      <c r="U31" s="1162">
        <v>7139</v>
      </c>
      <c r="V31" s="1197">
        <v>1.2746883316991175</v>
      </c>
      <c r="W31" s="1154">
        <v>1474</v>
      </c>
      <c r="X31" s="1040">
        <v>1651</v>
      </c>
      <c r="Y31" s="1040">
        <v>2062</v>
      </c>
      <c r="Z31" s="1040">
        <v>2717</v>
      </c>
      <c r="AA31" s="1040">
        <v>2576</v>
      </c>
      <c r="AB31" s="1040">
        <v>758</v>
      </c>
      <c r="AC31" s="1040">
        <v>883</v>
      </c>
      <c r="AD31" s="1040">
        <v>1382</v>
      </c>
      <c r="AE31" s="1040">
        <v>1097</v>
      </c>
      <c r="AF31" s="1154">
        <v>1195</v>
      </c>
      <c r="AG31" s="1040">
        <v>1492</v>
      </c>
      <c r="AH31" s="1040">
        <v>1907</v>
      </c>
      <c r="AI31" s="1040">
        <v>2392</v>
      </c>
      <c r="AJ31" s="1040">
        <v>2346</v>
      </c>
      <c r="AK31" s="1040">
        <v>2761</v>
      </c>
      <c r="AL31" s="1040">
        <v>2265</v>
      </c>
      <c r="AM31" s="1040">
        <v>1346</v>
      </c>
      <c r="AN31" s="1040">
        <v>1925</v>
      </c>
      <c r="AO31" s="1156">
        <v>2308</v>
      </c>
      <c r="AP31" s="918" t="s">
        <v>168</v>
      </c>
      <c r="AQ31" s="918" t="s">
        <v>168</v>
      </c>
      <c r="AR31" s="918" t="s">
        <v>168</v>
      </c>
      <c r="AS31" s="918" t="s">
        <v>168</v>
      </c>
      <c r="AT31" s="918" t="s">
        <v>168</v>
      </c>
      <c r="AU31" s="918" t="s">
        <v>168</v>
      </c>
      <c r="AV31" s="918" t="s">
        <v>168</v>
      </c>
      <c r="AW31" s="918" t="s">
        <v>168</v>
      </c>
      <c r="AX31" s="918" t="s">
        <v>168</v>
      </c>
      <c r="AY31" s="1207" t="s">
        <v>168</v>
      </c>
      <c r="AZ31" s="918" t="s">
        <v>168</v>
      </c>
      <c r="BA31" s="918" t="s">
        <v>168</v>
      </c>
      <c r="BB31" s="918" t="s">
        <v>168</v>
      </c>
      <c r="BC31" s="918" t="s">
        <v>168</v>
      </c>
      <c r="BD31" s="918" t="s">
        <v>168</v>
      </c>
      <c r="BE31" s="918" t="s">
        <v>168</v>
      </c>
      <c r="BF31" s="918" t="s">
        <v>168</v>
      </c>
      <c r="BG31" s="918" t="s">
        <v>168</v>
      </c>
      <c r="BH31" s="918" t="s">
        <v>168</v>
      </c>
      <c r="BI31" s="1207" t="s">
        <v>168</v>
      </c>
      <c r="BJ31" s="1040">
        <f t="shared" ref="BJ31:BK35" si="40">C31+W31</f>
        <v>8472</v>
      </c>
      <c r="BK31" s="1040">
        <f t="shared" si="40"/>
        <v>8532</v>
      </c>
      <c r="BL31" s="1040">
        <f t="shared" si="39"/>
        <v>8110</v>
      </c>
      <c r="BM31" s="1040">
        <f t="shared" si="39"/>
        <v>9530</v>
      </c>
      <c r="BN31" s="1040">
        <f t="shared" si="39"/>
        <v>9858</v>
      </c>
      <c r="BO31" s="1040">
        <f t="shared" si="39"/>
        <v>5184</v>
      </c>
      <c r="BP31" s="1040">
        <f t="shared" si="39"/>
        <v>5586</v>
      </c>
      <c r="BQ31" s="1040">
        <f t="shared" si="39"/>
        <v>7135</v>
      </c>
      <c r="BR31" s="1155">
        <f t="shared" si="39"/>
        <v>6857</v>
      </c>
      <c r="BS31" s="1040">
        <f t="shared" si="39"/>
        <v>7223</v>
      </c>
      <c r="BT31" s="1040">
        <f t="shared" si="37"/>
        <v>7810</v>
      </c>
      <c r="BU31" s="1040">
        <f t="shared" si="38"/>
        <v>9359</v>
      </c>
      <c r="BV31" s="1040">
        <f t="shared" si="27"/>
        <v>12351</v>
      </c>
      <c r="BW31" s="1040">
        <f t="shared" si="28"/>
        <v>12346</v>
      </c>
      <c r="BX31" s="1040">
        <f t="shared" si="29"/>
        <v>15470</v>
      </c>
      <c r="BY31" s="1040">
        <f t="shared" si="30"/>
        <v>13426</v>
      </c>
      <c r="BZ31" s="1040">
        <f t="shared" si="31"/>
        <v>9379</v>
      </c>
      <c r="CA31" s="1040">
        <f t="shared" si="32"/>
        <v>11613</v>
      </c>
      <c r="CB31" s="1156">
        <f t="shared" si="33"/>
        <v>9447</v>
      </c>
      <c r="CC31" s="1210">
        <f t="shared" si="6"/>
        <v>-18.651511237406353</v>
      </c>
      <c r="CD31" s="1157" t="s">
        <v>39</v>
      </c>
    </row>
    <row r="32" spans="2:82">
      <c r="B32" s="1039" t="s">
        <v>38</v>
      </c>
      <c r="C32" s="1140">
        <v>10204</v>
      </c>
      <c r="D32" s="1123">
        <v>14425</v>
      </c>
      <c r="E32" s="1028">
        <v>19502</v>
      </c>
      <c r="F32" s="1028">
        <v>23618</v>
      </c>
      <c r="G32" s="1028">
        <v>26900</v>
      </c>
      <c r="H32" s="1028">
        <v>15709</v>
      </c>
      <c r="I32" s="1028">
        <v>6952</v>
      </c>
      <c r="J32" s="1028">
        <v>5716</v>
      </c>
      <c r="K32" s="1028">
        <v>5165</v>
      </c>
      <c r="L32" s="1028">
        <v>5076</v>
      </c>
      <c r="M32" s="1028">
        <v>5628</v>
      </c>
      <c r="N32" s="1028">
        <v>7297</v>
      </c>
      <c r="O32" s="1028">
        <v>7459</v>
      </c>
      <c r="P32" s="1028">
        <v>7500</v>
      </c>
      <c r="Q32" s="1028">
        <v>9126</v>
      </c>
      <c r="R32" s="1028">
        <v>8508</v>
      </c>
      <c r="S32" s="1029">
        <v>6371</v>
      </c>
      <c r="T32" s="1029">
        <v>8252</v>
      </c>
      <c r="U32" s="1030">
        <v>7679</v>
      </c>
      <c r="V32" s="1195">
        <v>1.5106133611147285</v>
      </c>
      <c r="W32" s="1141">
        <v>2849</v>
      </c>
      <c r="X32" s="910">
        <v>3757</v>
      </c>
      <c r="Y32" s="910">
        <v>4413</v>
      </c>
      <c r="Z32" s="910">
        <v>5443</v>
      </c>
      <c r="AA32" s="910">
        <v>4842</v>
      </c>
      <c r="AB32" s="910">
        <v>1661</v>
      </c>
      <c r="AC32" s="910">
        <v>2451</v>
      </c>
      <c r="AD32" s="910">
        <v>3807</v>
      </c>
      <c r="AE32" s="910">
        <v>3533</v>
      </c>
      <c r="AF32" s="1141">
        <f>AP32+AZ32</f>
        <v>3681</v>
      </c>
      <c r="AG32" s="910">
        <f t="shared" ref="AG32:AO32" si="41">AQ32+BA32</f>
        <v>3484</v>
      </c>
      <c r="AH32" s="910">
        <f t="shared" si="41"/>
        <v>4088</v>
      </c>
      <c r="AI32" s="910">
        <f t="shared" si="41"/>
        <v>4373</v>
      </c>
      <c r="AJ32" s="910">
        <f t="shared" si="41"/>
        <v>3994</v>
      </c>
      <c r="AK32" s="910">
        <f t="shared" si="41"/>
        <v>3871</v>
      </c>
      <c r="AL32" s="910">
        <f t="shared" si="41"/>
        <v>4084</v>
      </c>
      <c r="AM32" s="910">
        <f t="shared" si="41"/>
        <v>1588</v>
      </c>
      <c r="AN32" s="910">
        <f t="shared" si="41"/>
        <v>2448</v>
      </c>
      <c r="AO32" s="912">
        <f t="shared" si="41"/>
        <v>2817</v>
      </c>
      <c r="AP32" s="921">
        <v>679</v>
      </c>
      <c r="AQ32" s="921">
        <v>657</v>
      </c>
      <c r="AR32" s="921">
        <v>590</v>
      </c>
      <c r="AS32" s="921">
        <v>833</v>
      </c>
      <c r="AT32" s="921">
        <v>818</v>
      </c>
      <c r="AU32" s="921">
        <v>799</v>
      </c>
      <c r="AV32" s="921">
        <v>597</v>
      </c>
      <c r="AW32" s="921">
        <v>310</v>
      </c>
      <c r="AX32" s="921">
        <v>456</v>
      </c>
      <c r="AY32" s="922">
        <v>430</v>
      </c>
      <c r="AZ32" s="910">
        <v>3002</v>
      </c>
      <c r="BA32" s="910">
        <v>2827</v>
      </c>
      <c r="BB32" s="910">
        <v>3498</v>
      </c>
      <c r="BC32" s="910">
        <v>3540</v>
      </c>
      <c r="BD32" s="910">
        <v>3176</v>
      </c>
      <c r="BE32" s="910">
        <v>3072</v>
      </c>
      <c r="BF32" s="910">
        <v>3487</v>
      </c>
      <c r="BG32" s="910">
        <v>1278</v>
      </c>
      <c r="BH32" s="910">
        <v>1992</v>
      </c>
      <c r="BI32" s="912">
        <v>2387</v>
      </c>
      <c r="BJ32" s="910">
        <f t="shared" si="40"/>
        <v>13053</v>
      </c>
      <c r="BK32" s="910">
        <f t="shared" si="40"/>
        <v>18182</v>
      </c>
      <c r="BL32" s="910">
        <f t="shared" si="39"/>
        <v>23915</v>
      </c>
      <c r="BM32" s="910">
        <f t="shared" si="39"/>
        <v>29061</v>
      </c>
      <c r="BN32" s="910">
        <f t="shared" si="39"/>
        <v>31742</v>
      </c>
      <c r="BO32" s="910">
        <f t="shared" si="39"/>
        <v>17370</v>
      </c>
      <c r="BP32" s="910">
        <f t="shared" si="39"/>
        <v>9403</v>
      </c>
      <c r="BQ32" s="910">
        <f t="shared" si="39"/>
        <v>9523</v>
      </c>
      <c r="BR32" s="910">
        <f t="shared" si="39"/>
        <v>8698</v>
      </c>
      <c r="BS32" s="1141">
        <f t="shared" si="39"/>
        <v>8757</v>
      </c>
      <c r="BT32" s="910">
        <f t="shared" si="37"/>
        <v>9112</v>
      </c>
      <c r="BU32" s="910">
        <f t="shared" si="38"/>
        <v>11385</v>
      </c>
      <c r="BV32" s="910">
        <f t="shared" si="27"/>
        <v>11832</v>
      </c>
      <c r="BW32" s="910">
        <f t="shared" si="28"/>
        <v>11494</v>
      </c>
      <c r="BX32" s="910">
        <f t="shared" si="29"/>
        <v>12997</v>
      </c>
      <c r="BY32" s="910">
        <f t="shared" si="30"/>
        <v>12592</v>
      </c>
      <c r="BZ32" s="910">
        <f t="shared" si="31"/>
        <v>7959</v>
      </c>
      <c r="CA32" s="910">
        <f t="shared" si="32"/>
        <v>10700</v>
      </c>
      <c r="CB32" s="912">
        <f t="shared" si="33"/>
        <v>10496</v>
      </c>
      <c r="CC32" s="1208">
        <f t="shared" si="6"/>
        <v>-1.9065420560747697</v>
      </c>
      <c r="CD32" s="1127" t="s">
        <v>38</v>
      </c>
    </row>
    <row r="33" spans="2:82">
      <c r="B33" s="1038" t="s">
        <v>54</v>
      </c>
      <c r="C33" s="1137">
        <v>17068</v>
      </c>
      <c r="D33" s="1138">
        <v>15353</v>
      </c>
      <c r="E33" s="1035">
        <v>16472</v>
      </c>
      <c r="F33" s="1035">
        <v>17507</v>
      </c>
      <c r="G33" s="1035">
        <v>16395</v>
      </c>
      <c r="H33" s="1035">
        <v>8693</v>
      </c>
      <c r="I33" s="1035">
        <v>10821</v>
      </c>
      <c r="J33" s="1035">
        <v>14346</v>
      </c>
      <c r="K33" s="1033">
        <v>11463</v>
      </c>
      <c r="L33" s="1035">
        <v>10405</v>
      </c>
      <c r="M33" s="1035">
        <v>10625</v>
      </c>
      <c r="N33" s="1035">
        <v>11431</v>
      </c>
      <c r="O33" s="1035">
        <v>13525</v>
      </c>
      <c r="P33" s="1035">
        <v>15525</v>
      </c>
      <c r="Q33" s="1035">
        <v>15515</v>
      </c>
      <c r="R33" s="1035">
        <v>14702</v>
      </c>
      <c r="S33" s="1130">
        <v>12842</v>
      </c>
      <c r="T33" s="1130">
        <v>12893</v>
      </c>
      <c r="U33" s="1032">
        <v>11193</v>
      </c>
      <c r="V33" s="1196">
        <v>6.1109622085231843</v>
      </c>
      <c r="W33" s="1166">
        <v>4519</v>
      </c>
      <c r="X33" s="913">
        <v>4602</v>
      </c>
      <c r="Y33" s="913">
        <v>4031</v>
      </c>
      <c r="Z33" s="913">
        <v>4174</v>
      </c>
      <c r="AA33" s="913">
        <v>4634</v>
      </c>
      <c r="AB33" s="913">
        <v>3169</v>
      </c>
      <c r="AC33" s="913">
        <v>2878</v>
      </c>
      <c r="AD33" s="919">
        <v>3430</v>
      </c>
      <c r="AE33" s="919">
        <v>3252</v>
      </c>
      <c r="AF33" s="1163">
        <f t="shared" ref="AF33:AN34" si="42">AP33+AZ33</f>
        <v>4019</v>
      </c>
      <c r="AG33" s="914">
        <f t="shared" si="42"/>
        <v>2893</v>
      </c>
      <c r="AH33" s="914">
        <f t="shared" si="42"/>
        <v>3030</v>
      </c>
      <c r="AI33" s="914">
        <f t="shared" si="42"/>
        <v>3795</v>
      </c>
      <c r="AJ33" s="914">
        <f t="shared" si="42"/>
        <v>4013</v>
      </c>
      <c r="AK33" s="914">
        <f t="shared" si="42"/>
        <v>4441</v>
      </c>
      <c r="AL33" s="914">
        <f t="shared" si="42"/>
        <v>4640</v>
      </c>
      <c r="AM33" s="914">
        <f t="shared" si="42"/>
        <v>3808</v>
      </c>
      <c r="AN33" s="914">
        <f t="shared" si="42"/>
        <v>3936</v>
      </c>
      <c r="AO33" s="915">
        <f t="shared" si="8"/>
        <v>3828</v>
      </c>
      <c r="AP33" s="913">
        <v>3508</v>
      </c>
      <c r="AQ33" s="913">
        <v>2560</v>
      </c>
      <c r="AR33" s="913">
        <v>2707</v>
      </c>
      <c r="AS33" s="913">
        <v>3330</v>
      </c>
      <c r="AT33" s="914">
        <v>3473</v>
      </c>
      <c r="AU33" s="914">
        <v>3898</v>
      </c>
      <c r="AV33" s="914">
        <v>4020</v>
      </c>
      <c r="AW33" s="914">
        <v>3430</v>
      </c>
      <c r="AX33" s="914">
        <v>3536</v>
      </c>
      <c r="AY33" s="915">
        <v>3341</v>
      </c>
      <c r="AZ33" s="919">
        <v>511</v>
      </c>
      <c r="BA33" s="919">
        <v>333</v>
      </c>
      <c r="BB33" s="919">
        <v>323</v>
      </c>
      <c r="BC33" s="919">
        <v>465</v>
      </c>
      <c r="BD33" s="914">
        <v>540</v>
      </c>
      <c r="BE33" s="914">
        <v>543</v>
      </c>
      <c r="BF33" s="914">
        <v>620</v>
      </c>
      <c r="BG33" s="914">
        <v>378</v>
      </c>
      <c r="BH33" s="914">
        <v>400</v>
      </c>
      <c r="BI33" s="914">
        <v>487</v>
      </c>
      <c r="BJ33" s="1166">
        <f t="shared" si="40"/>
        <v>21587</v>
      </c>
      <c r="BK33" s="913">
        <f t="shared" si="40"/>
        <v>19955</v>
      </c>
      <c r="BL33" s="913">
        <f t="shared" si="39"/>
        <v>20503</v>
      </c>
      <c r="BM33" s="913">
        <f t="shared" si="39"/>
        <v>21681</v>
      </c>
      <c r="BN33" s="913">
        <f t="shared" si="39"/>
        <v>21029</v>
      </c>
      <c r="BO33" s="913">
        <f t="shared" si="39"/>
        <v>11862</v>
      </c>
      <c r="BP33" s="913">
        <f t="shared" si="39"/>
        <v>13699</v>
      </c>
      <c r="BQ33" s="919">
        <f t="shared" si="39"/>
        <v>17776</v>
      </c>
      <c r="BR33" s="919">
        <f t="shared" si="39"/>
        <v>14715</v>
      </c>
      <c r="BS33" s="1218">
        <f t="shared" si="39"/>
        <v>14424</v>
      </c>
      <c r="BT33" s="919">
        <f t="shared" si="37"/>
        <v>13518</v>
      </c>
      <c r="BU33" s="919">
        <f t="shared" si="38"/>
        <v>14461</v>
      </c>
      <c r="BV33" s="919">
        <f t="shared" si="27"/>
        <v>17320</v>
      </c>
      <c r="BW33" s="914">
        <f t="shared" si="28"/>
        <v>19538</v>
      </c>
      <c r="BX33" s="914">
        <f t="shared" si="29"/>
        <v>19956</v>
      </c>
      <c r="BY33" s="914">
        <f t="shared" si="30"/>
        <v>19342</v>
      </c>
      <c r="BZ33" s="914">
        <f t="shared" si="31"/>
        <v>16650</v>
      </c>
      <c r="CA33" s="914">
        <f t="shared" si="32"/>
        <v>16829</v>
      </c>
      <c r="CB33" s="915">
        <f t="shared" si="33"/>
        <v>15021</v>
      </c>
      <c r="CC33" s="1209">
        <f t="shared" si="6"/>
        <v>-10.743359676748469</v>
      </c>
      <c r="CD33" s="1134" t="s">
        <v>54</v>
      </c>
    </row>
    <row r="34" spans="2:82">
      <c r="B34" s="1167" t="s">
        <v>55</v>
      </c>
      <c r="C34" s="1168">
        <v>31002</v>
      </c>
      <c r="D34" s="1169">
        <v>34789</v>
      </c>
      <c r="E34" s="1170">
        <v>39618</v>
      </c>
      <c r="F34" s="1170">
        <v>44222</v>
      </c>
      <c r="G34" s="1170">
        <v>39269</v>
      </c>
      <c r="H34" s="1170">
        <v>27432</v>
      </c>
      <c r="I34" s="1170">
        <v>37778</v>
      </c>
      <c r="J34" s="1170">
        <v>46280</v>
      </c>
      <c r="K34" s="1171">
        <v>39294</v>
      </c>
      <c r="L34" s="1170">
        <v>38491</v>
      </c>
      <c r="M34" s="1170">
        <v>42952</v>
      </c>
      <c r="N34" s="1170">
        <v>45829</v>
      </c>
      <c r="O34" s="1170">
        <v>53470</v>
      </c>
      <c r="P34" s="1170">
        <v>57231</v>
      </c>
      <c r="Q34" s="1170">
        <v>58574</v>
      </c>
      <c r="R34" s="1170">
        <v>55513</v>
      </c>
      <c r="S34" s="1172">
        <v>32540</v>
      </c>
      <c r="T34" s="1172">
        <v>37305</v>
      </c>
      <c r="U34" s="1173">
        <v>35681</v>
      </c>
      <c r="V34" s="1198">
        <v>14.055099352596621</v>
      </c>
      <c r="W34" s="1174">
        <v>5236</v>
      </c>
      <c r="X34" s="920">
        <v>7018</v>
      </c>
      <c r="Y34" s="920">
        <v>6228</v>
      </c>
      <c r="Z34" s="920">
        <v>6710</v>
      </c>
      <c r="AA34" s="920">
        <v>6998</v>
      </c>
      <c r="AB34" s="920">
        <v>5497</v>
      </c>
      <c r="AC34" s="920">
        <v>4835</v>
      </c>
      <c r="AD34" s="920">
        <v>5952</v>
      </c>
      <c r="AE34" s="920">
        <v>5564</v>
      </c>
      <c r="AF34" s="1174">
        <f t="shared" si="42"/>
        <v>5535</v>
      </c>
      <c r="AG34" s="920">
        <f t="shared" si="42"/>
        <v>5918</v>
      </c>
      <c r="AH34" s="920">
        <f t="shared" si="42"/>
        <v>6105</v>
      </c>
      <c r="AI34" s="920">
        <f t="shared" si="42"/>
        <v>7339</v>
      </c>
      <c r="AJ34" s="920">
        <f t="shared" si="42"/>
        <v>7491</v>
      </c>
      <c r="AK34" s="920">
        <f t="shared" si="42"/>
        <v>7436</v>
      </c>
      <c r="AL34" s="920">
        <f t="shared" si="42"/>
        <v>7841</v>
      </c>
      <c r="AM34" s="920">
        <f t="shared" si="42"/>
        <v>5576</v>
      </c>
      <c r="AN34" s="920">
        <f t="shared" si="42"/>
        <v>6020</v>
      </c>
      <c r="AO34" s="1175">
        <f t="shared" si="8"/>
        <v>6211</v>
      </c>
      <c r="AP34" s="920">
        <v>4657</v>
      </c>
      <c r="AQ34" s="920">
        <v>4853</v>
      </c>
      <c r="AR34" s="920">
        <v>5048</v>
      </c>
      <c r="AS34" s="920">
        <v>6105</v>
      </c>
      <c r="AT34" s="920">
        <v>6065</v>
      </c>
      <c r="AU34" s="920">
        <v>6152</v>
      </c>
      <c r="AV34" s="920">
        <v>6474</v>
      </c>
      <c r="AW34" s="920">
        <v>4890</v>
      </c>
      <c r="AX34" s="920">
        <v>5217</v>
      </c>
      <c r="AY34" s="1175">
        <v>5127</v>
      </c>
      <c r="AZ34" s="920">
        <v>878</v>
      </c>
      <c r="BA34" s="920">
        <v>1065</v>
      </c>
      <c r="BB34" s="920">
        <v>1057</v>
      </c>
      <c r="BC34" s="920">
        <v>1234</v>
      </c>
      <c r="BD34" s="920">
        <v>1426</v>
      </c>
      <c r="BE34" s="920">
        <v>1284</v>
      </c>
      <c r="BF34" s="920">
        <v>1367</v>
      </c>
      <c r="BG34" s="920">
        <v>686</v>
      </c>
      <c r="BH34" s="920">
        <v>803</v>
      </c>
      <c r="BI34" s="920">
        <v>1084</v>
      </c>
      <c r="BJ34" s="1174">
        <f t="shared" si="40"/>
        <v>36238</v>
      </c>
      <c r="BK34" s="920">
        <f t="shared" si="40"/>
        <v>41807</v>
      </c>
      <c r="BL34" s="920">
        <f t="shared" si="39"/>
        <v>45846</v>
      </c>
      <c r="BM34" s="920">
        <f t="shared" si="39"/>
        <v>50932</v>
      </c>
      <c r="BN34" s="920">
        <f t="shared" si="39"/>
        <v>46267</v>
      </c>
      <c r="BO34" s="920">
        <f t="shared" si="39"/>
        <v>32929</v>
      </c>
      <c r="BP34" s="920">
        <f t="shared" si="39"/>
        <v>42613</v>
      </c>
      <c r="BQ34" s="920">
        <f t="shared" si="39"/>
        <v>52232</v>
      </c>
      <c r="BR34" s="920">
        <f t="shared" si="39"/>
        <v>44858</v>
      </c>
      <c r="BS34" s="1174">
        <f t="shared" si="39"/>
        <v>44026</v>
      </c>
      <c r="BT34" s="920">
        <f t="shared" si="37"/>
        <v>48870</v>
      </c>
      <c r="BU34" s="920">
        <f t="shared" si="38"/>
        <v>51934</v>
      </c>
      <c r="BV34" s="920">
        <f t="shared" si="27"/>
        <v>60809</v>
      </c>
      <c r="BW34" s="920">
        <f t="shared" si="28"/>
        <v>64722</v>
      </c>
      <c r="BX34" s="920">
        <f t="shared" si="29"/>
        <v>66010</v>
      </c>
      <c r="BY34" s="920">
        <f t="shared" si="30"/>
        <v>63354</v>
      </c>
      <c r="BZ34" s="920">
        <f t="shared" si="31"/>
        <v>38116</v>
      </c>
      <c r="CA34" s="920">
        <f t="shared" si="32"/>
        <v>43325</v>
      </c>
      <c r="CB34" s="1175">
        <f t="shared" si="33"/>
        <v>41892</v>
      </c>
      <c r="CC34" s="1211">
        <f t="shared" si="6"/>
        <v>-3.3075591459896145</v>
      </c>
      <c r="CD34" s="1167" t="s">
        <v>55</v>
      </c>
    </row>
    <row r="35" spans="2:82">
      <c r="B35" s="1038" t="s">
        <v>26</v>
      </c>
      <c r="C35" s="1137">
        <v>1627</v>
      </c>
      <c r="D35" s="1138">
        <v>2172</v>
      </c>
      <c r="E35" s="1035">
        <v>2490</v>
      </c>
      <c r="F35" s="1035">
        <v>2782</v>
      </c>
      <c r="G35" s="1035">
        <v>1227</v>
      </c>
      <c r="H35" s="1035">
        <v>302</v>
      </c>
      <c r="I35" s="1035">
        <v>220</v>
      </c>
      <c r="J35" s="1035">
        <v>344</v>
      </c>
      <c r="K35" s="1035">
        <v>417</v>
      </c>
      <c r="L35" s="1176">
        <v>583</v>
      </c>
      <c r="M35" s="1035">
        <v>851</v>
      </c>
      <c r="N35" s="1035">
        <v>1355</v>
      </c>
      <c r="O35" s="1035">
        <v>1773</v>
      </c>
      <c r="P35" s="1177">
        <v>2860</v>
      </c>
      <c r="Q35" s="1035">
        <v>2453</v>
      </c>
      <c r="R35" s="1035">
        <v>1815</v>
      </c>
      <c r="S35" s="1130">
        <v>1001</v>
      </c>
      <c r="T35" s="1130">
        <v>1162</v>
      </c>
      <c r="U35" s="1032">
        <v>1577</v>
      </c>
      <c r="V35" s="1196">
        <v>15.66265060240964</v>
      </c>
      <c r="W35" s="1166">
        <v>300</v>
      </c>
      <c r="X35" s="913">
        <v>638</v>
      </c>
      <c r="Y35" s="913">
        <v>523</v>
      </c>
      <c r="Z35" s="913">
        <v>535</v>
      </c>
      <c r="AA35" s="913">
        <v>275</v>
      </c>
      <c r="AB35" s="913">
        <v>48</v>
      </c>
      <c r="AC35" s="913">
        <v>41</v>
      </c>
      <c r="AD35" s="919">
        <v>46</v>
      </c>
      <c r="AE35" s="1261">
        <v>86</v>
      </c>
      <c r="AF35" s="1214">
        <v>91</v>
      </c>
      <c r="AG35" s="1178">
        <v>138</v>
      </c>
      <c r="AH35" s="1178">
        <v>220</v>
      </c>
      <c r="AI35" s="1178">
        <v>308</v>
      </c>
      <c r="AJ35" s="914">
        <v>814</v>
      </c>
      <c r="AK35" s="914">
        <v>743</v>
      </c>
      <c r="AL35" s="914">
        <v>481</v>
      </c>
      <c r="AM35" s="914">
        <v>425</v>
      </c>
      <c r="AN35" s="914">
        <v>513</v>
      </c>
      <c r="AO35" s="915" t="s">
        <v>360</v>
      </c>
      <c r="AP35" s="918" t="s">
        <v>168</v>
      </c>
      <c r="AQ35" s="918" t="s">
        <v>168</v>
      </c>
      <c r="AR35" s="918" t="s">
        <v>168</v>
      </c>
      <c r="AS35" s="918" t="s">
        <v>168</v>
      </c>
      <c r="AT35" s="918" t="s">
        <v>168</v>
      </c>
      <c r="AU35" s="918" t="s">
        <v>168</v>
      </c>
      <c r="AV35" s="918" t="s">
        <v>168</v>
      </c>
      <c r="AW35" s="918" t="s">
        <v>168</v>
      </c>
      <c r="AX35" s="918" t="s">
        <v>168</v>
      </c>
      <c r="AY35" s="918" t="s">
        <v>168</v>
      </c>
      <c r="AZ35" s="918" t="s">
        <v>168</v>
      </c>
      <c r="BA35" s="918" t="s">
        <v>168</v>
      </c>
      <c r="BB35" s="918" t="s">
        <v>168</v>
      </c>
      <c r="BC35" s="918" t="s">
        <v>168</v>
      </c>
      <c r="BD35" s="918" t="s">
        <v>168</v>
      </c>
      <c r="BE35" s="918" t="s">
        <v>168</v>
      </c>
      <c r="BF35" s="918" t="s">
        <v>168</v>
      </c>
      <c r="BG35" s="918" t="s">
        <v>168</v>
      </c>
      <c r="BH35" s="918" t="s">
        <v>168</v>
      </c>
      <c r="BI35" s="918" t="s">
        <v>168</v>
      </c>
      <c r="BJ35" s="1166">
        <f t="shared" si="40"/>
        <v>1927</v>
      </c>
      <c r="BK35" s="913">
        <f t="shared" si="40"/>
        <v>2810</v>
      </c>
      <c r="BL35" s="913">
        <f t="shared" si="39"/>
        <v>3013</v>
      </c>
      <c r="BM35" s="913">
        <f t="shared" si="39"/>
        <v>3317</v>
      </c>
      <c r="BN35" s="913">
        <f t="shared" si="39"/>
        <v>1502</v>
      </c>
      <c r="BO35" s="913">
        <f t="shared" si="39"/>
        <v>350</v>
      </c>
      <c r="BP35" s="913">
        <f t="shared" si="39"/>
        <v>261</v>
      </c>
      <c r="BQ35" s="919">
        <f t="shared" si="39"/>
        <v>390</v>
      </c>
      <c r="BR35" s="919">
        <f t="shared" si="39"/>
        <v>503</v>
      </c>
      <c r="BS35" s="1214">
        <f t="shared" si="39"/>
        <v>674</v>
      </c>
      <c r="BT35" s="1178">
        <f t="shared" si="37"/>
        <v>989</v>
      </c>
      <c r="BU35" s="1178">
        <f t="shared" si="38"/>
        <v>1575</v>
      </c>
      <c r="BV35" s="1178">
        <f t="shared" si="27"/>
        <v>2081</v>
      </c>
      <c r="BW35" s="914">
        <f t="shared" si="28"/>
        <v>3674</v>
      </c>
      <c r="BX35" s="914">
        <f t="shared" si="29"/>
        <v>3196</v>
      </c>
      <c r="BY35" s="914">
        <f t="shared" si="30"/>
        <v>2296</v>
      </c>
      <c r="BZ35" s="914">
        <f t="shared" si="31"/>
        <v>1426</v>
      </c>
      <c r="CA35" s="914">
        <f t="shared" si="32"/>
        <v>1675</v>
      </c>
      <c r="CB35" s="915">
        <f t="shared" si="33"/>
        <v>2045</v>
      </c>
      <c r="CC35" s="1209">
        <f t="shared" si="6"/>
        <v>22.089552238805979</v>
      </c>
      <c r="CD35" s="1134" t="s">
        <v>26</v>
      </c>
    </row>
    <row r="36" spans="2:82">
      <c r="B36" s="1039" t="s">
        <v>65</v>
      </c>
      <c r="C36" s="1140"/>
      <c r="D36" s="1123"/>
      <c r="E36" s="1028"/>
      <c r="F36" s="1028"/>
      <c r="G36" s="1028"/>
      <c r="H36" s="1028"/>
      <c r="I36" s="1028"/>
      <c r="J36" s="1028"/>
      <c r="K36" s="1135"/>
      <c r="L36" s="1028">
        <v>167</v>
      </c>
      <c r="M36" s="1028">
        <v>208</v>
      </c>
      <c r="N36" s="1028">
        <v>243</v>
      </c>
      <c r="O36" s="1028">
        <v>211</v>
      </c>
      <c r="P36" s="1028">
        <v>204</v>
      </c>
      <c r="Q36" s="1028">
        <v>254</v>
      </c>
      <c r="R36" s="1028">
        <v>235</v>
      </c>
      <c r="S36" s="1029">
        <v>194</v>
      </c>
      <c r="T36" s="1029">
        <v>208</v>
      </c>
      <c r="U36" s="1030">
        <v>191</v>
      </c>
      <c r="V36" s="1195">
        <v>12.56544502617801</v>
      </c>
      <c r="W36" s="1179"/>
      <c r="X36" s="1180"/>
      <c r="Y36" s="1180"/>
      <c r="Z36" s="1180"/>
      <c r="AA36" s="1180"/>
      <c r="AB36" s="1180"/>
      <c r="AC36" s="1180"/>
      <c r="AD36" s="1180"/>
      <c r="AE36" s="1180"/>
      <c r="AF36" s="1215">
        <f>AP36+AZ36</f>
        <v>38</v>
      </c>
      <c r="AG36" s="1147">
        <f>AQ36+BA36</f>
        <v>30</v>
      </c>
      <c r="AH36" s="1147">
        <f>AR36+BB36</f>
        <v>61</v>
      </c>
      <c r="AI36" s="1147">
        <f>AS36+BC36</f>
        <v>69</v>
      </c>
      <c r="AJ36" s="1147">
        <f t="shared" ref="AJ36:AN38" si="43">AT36+BD36</f>
        <v>68</v>
      </c>
      <c r="AK36" s="1147">
        <f t="shared" si="43"/>
        <v>42</v>
      </c>
      <c r="AL36" s="1147">
        <f t="shared" si="43"/>
        <v>37</v>
      </c>
      <c r="AM36" s="1147">
        <f t="shared" si="43"/>
        <v>36</v>
      </c>
      <c r="AN36" s="1147">
        <f t="shared" si="43"/>
        <v>30</v>
      </c>
      <c r="AO36" s="1181">
        <f t="shared" si="8"/>
        <v>37</v>
      </c>
      <c r="AP36" s="1180">
        <v>20</v>
      </c>
      <c r="AQ36" s="1180">
        <v>15</v>
      </c>
      <c r="AR36" s="1180">
        <v>19</v>
      </c>
      <c r="AS36" s="1180">
        <v>20</v>
      </c>
      <c r="AT36" s="1147">
        <v>22</v>
      </c>
      <c r="AU36" s="1147">
        <v>12</v>
      </c>
      <c r="AV36" s="1147">
        <v>16</v>
      </c>
      <c r="AW36" s="1147">
        <v>15</v>
      </c>
      <c r="AX36" s="1147">
        <v>18</v>
      </c>
      <c r="AY36" s="1181">
        <v>17</v>
      </c>
      <c r="AZ36" s="1180">
        <v>18</v>
      </c>
      <c r="BA36" s="1180">
        <v>15</v>
      </c>
      <c r="BB36" s="1180">
        <v>42</v>
      </c>
      <c r="BC36" s="1180">
        <v>49</v>
      </c>
      <c r="BD36" s="1147">
        <v>46</v>
      </c>
      <c r="BE36" s="1147">
        <v>30</v>
      </c>
      <c r="BF36" s="1147">
        <v>21</v>
      </c>
      <c r="BG36" s="1147">
        <v>21</v>
      </c>
      <c r="BH36" s="1147">
        <v>12</v>
      </c>
      <c r="BI36" s="1147">
        <v>20</v>
      </c>
      <c r="BJ36" s="1179"/>
      <c r="BK36" s="1180"/>
      <c r="BL36" s="1180"/>
      <c r="BM36" s="1180"/>
      <c r="BN36" s="1180"/>
      <c r="BO36" s="1180"/>
      <c r="BP36" s="1180"/>
      <c r="BQ36" s="1180"/>
      <c r="BR36" s="1180"/>
      <c r="BS36" s="1179">
        <f>L36+AF36</f>
        <v>205</v>
      </c>
      <c r="BT36" s="1180">
        <f t="shared" si="37"/>
        <v>238</v>
      </c>
      <c r="BU36" s="1180">
        <f t="shared" si="38"/>
        <v>304</v>
      </c>
      <c r="BV36" s="1180">
        <f t="shared" si="27"/>
        <v>280</v>
      </c>
      <c r="BW36" s="1147">
        <f t="shared" si="28"/>
        <v>272</v>
      </c>
      <c r="BX36" s="1147">
        <f t="shared" si="29"/>
        <v>296</v>
      </c>
      <c r="BY36" s="1147">
        <f t="shared" si="30"/>
        <v>272</v>
      </c>
      <c r="BZ36" s="1147">
        <f t="shared" si="31"/>
        <v>230</v>
      </c>
      <c r="CA36" s="1147">
        <f t="shared" si="32"/>
        <v>238</v>
      </c>
      <c r="CB36" s="1181">
        <f t="shared" si="33"/>
        <v>228</v>
      </c>
      <c r="CC36" s="1208">
        <f t="shared" si="6"/>
        <v>-4.2016806722689068</v>
      </c>
      <c r="CD36" s="1127" t="s">
        <v>65</v>
      </c>
    </row>
    <row r="37" spans="2:82">
      <c r="B37" s="1149" t="s">
        <v>56</v>
      </c>
      <c r="C37" s="1165">
        <v>31114</v>
      </c>
      <c r="D37" s="1150">
        <v>35185</v>
      </c>
      <c r="E37" s="1151">
        <v>42611</v>
      </c>
      <c r="F37" s="1151">
        <v>45609</v>
      </c>
      <c r="G37" s="1151">
        <v>34870</v>
      </c>
      <c r="H37" s="1151">
        <v>23504</v>
      </c>
      <c r="I37" s="1151">
        <v>29040</v>
      </c>
      <c r="J37" s="1151">
        <v>35513</v>
      </c>
      <c r="K37" s="1152">
        <v>31848</v>
      </c>
      <c r="L37" s="1151">
        <v>28754</v>
      </c>
      <c r="M37" s="1151">
        <v>28012</v>
      </c>
      <c r="N37" s="1151">
        <v>31355</v>
      </c>
      <c r="O37" s="1151">
        <v>33929</v>
      </c>
      <c r="P37" s="1151">
        <v>34694</v>
      </c>
      <c r="Q37" s="1151">
        <v>34758</v>
      </c>
      <c r="R37" s="1151">
        <v>35521</v>
      </c>
      <c r="S37" s="1161">
        <v>30807</v>
      </c>
      <c r="T37" s="1161">
        <v>32723</v>
      </c>
      <c r="U37" s="1162">
        <v>28474</v>
      </c>
      <c r="V37" s="1197">
        <v>24.26072908618389</v>
      </c>
      <c r="W37" s="1154">
        <v>6357</v>
      </c>
      <c r="X37" s="1040">
        <v>7496</v>
      </c>
      <c r="Y37" s="1040">
        <v>5789</v>
      </c>
      <c r="Z37" s="1040">
        <v>6261</v>
      </c>
      <c r="AA37" s="1040">
        <v>6528</v>
      </c>
      <c r="AB37" s="1040">
        <v>4098</v>
      </c>
      <c r="AC37" s="1040">
        <v>4078</v>
      </c>
      <c r="AD37" s="1040">
        <v>5110</v>
      </c>
      <c r="AE37" s="1040">
        <v>5793</v>
      </c>
      <c r="AF37" s="1262">
        <f>4000+AZ37</f>
        <v>5282</v>
      </c>
      <c r="AG37" s="1182">
        <v>5443</v>
      </c>
      <c r="AH37" s="1182">
        <v>5215</v>
      </c>
      <c r="AI37" s="1040">
        <f>AS37+BC37</f>
        <v>5262</v>
      </c>
      <c r="AJ37" s="1040">
        <f t="shared" si="43"/>
        <v>5287</v>
      </c>
      <c r="AK37" s="1040">
        <f t="shared" si="43"/>
        <v>5704</v>
      </c>
      <c r="AL37" s="1040">
        <f t="shared" si="43"/>
        <v>6174</v>
      </c>
      <c r="AM37" s="1040">
        <f t="shared" si="43"/>
        <v>5919</v>
      </c>
      <c r="AN37" s="1040">
        <f t="shared" si="43"/>
        <v>5751</v>
      </c>
      <c r="AO37" s="1156">
        <f t="shared" si="8"/>
        <v>5509</v>
      </c>
      <c r="AP37" s="1040"/>
      <c r="AQ37" s="1040"/>
      <c r="AR37" s="1040"/>
      <c r="AS37" s="1040">
        <v>4005</v>
      </c>
      <c r="AT37" s="1040">
        <v>4029</v>
      </c>
      <c r="AU37" s="1040">
        <v>4156</v>
      </c>
      <c r="AV37" s="1040">
        <v>4630</v>
      </c>
      <c r="AW37" s="1040">
        <v>4815</v>
      </c>
      <c r="AX37" s="1040">
        <v>4457</v>
      </c>
      <c r="AY37" s="1156">
        <v>4300</v>
      </c>
      <c r="AZ37" s="1040">
        <v>1282</v>
      </c>
      <c r="BA37" s="1040">
        <v>1367</v>
      </c>
      <c r="BB37" s="1040">
        <v>1403</v>
      </c>
      <c r="BC37" s="1040">
        <v>1257</v>
      </c>
      <c r="BD37" s="1040">
        <v>1258</v>
      </c>
      <c r="BE37" s="1040">
        <v>1548</v>
      </c>
      <c r="BF37" s="1040">
        <v>1544</v>
      </c>
      <c r="BG37" s="1040">
        <v>1104</v>
      </c>
      <c r="BH37" s="1040">
        <v>1294</v>
      </c>
      <c r="BI37" s="1040">
        <v>1209</v>
      </c>
      <c r="BJ37" s="1154">
        <f t="shared" ref="BJ37:BR38" si="44">C37+W37</f>
        <v>37471</v>
      </c>
      <c r="BK37" s="1040">
        <f t="shared" si="44"/>
        <v>42681</v>
      </c>
      <c r="BL37" s="1040">
        <f t="shared" si="44"/>
        <v>48400</v>
      </c>
      <c r="BM37" s="1040">
        <f t="shared" si="44"/>
        <v>51870</v>
      </c>
      <c r="BN37" s="1040">
        <f t="shared" si="44"/>
        <v>41398</v>
      </c>
      <c r="BO37" s="1040">
        <f t="shared" si="44"/>
        <v>27602</v>
      </c>
      <c r="BP37" s="1040">
        <f t="shared" si="44"/>
        <v>33118</v>
      </c>
      <c r="BQ37" s="1040">
        <f t="shared" si="44"/>
        <v>40623</v>
      </c>
      <c r="BR37" s="1040">
        <f t="shared" si="44"/>
        <v>37641</v>
      </c>
      <c r="BS37" s="1154">
        <f>L37+AF37</f>
        <v>34036</v>
      </c>
      <c r="BT37" s="919">
        <f t="shared" si="37"/>
        <v>33455</v>
      </c>
      <c r="BU37" s="919">
        <f t="shared" si="38"/>
        <v>36570</v>
      </c>
      <c r="BV37" s="1040">
        <f t="shared" si="27"/>
        <v>39191</v>
      </c>
      <c r="BW37" s="1040">
        <f t="shared" si="28"/>
        <v>39981</v>
      </c>
      <c r="BX37" s="1040">
        <f t="shared" si="29"/>
        <v>40462</v>
      </c>
      <c r="BY37" s="1040">
        <f t="shared" si="30"/>
        <v>41695</v>
      </c>
      <c r="BZ37" s="1040">
        <f t="shared" si="31"/>
        <v>36726</v>
      </c>
      <c r="CA37" s="1040">
        <f t="shared" si="32"/>
        <v>38474</v>
      </c>
      <c r="CB37" s="1156">
        <f t="shared" si="33"/>
        <v>33983</v>
      </c>
      <c r="CC37" s="1210">
        <f t="shared" si="6"/>
        <v>-11.672818006965741</v>
      </c>
      <c r="CD37" s="1157" t="s">
        <v>56</v>
      </c>
    </row>
    <row r="38" spans="2:82" ht="12" customHeight="1">
      <c r="B38" s="1167" t="s">
        <v>27</v>
      </c>
      <c r="C38" s="1168">
        <v>20602</v>
      </c>
      <c r="D38" s="1169">
        <v>22254</v>
      </c>
      <c r="E38" s="1170">
        <v>23015</v>
      </c>
      <c r="F38" s="1170">
        <v>25386</v>
      </c>
      <c r="G38" s="1170">
        <v>26275</v>
      </c>
      <c r="H38" s="1170">
        <v>23110</v>
      </c>
      <c r="I38" s="1170">
        <v>25697</v>
      </c>
      <c r="J38" s="1170">
        <v>30387</v>
      </c>
      <c r="K38" s="1171">
        <v>32509</v>
      </c>
      <c r="L38" s="1170">
        <v>28931</v>
      </c>
      <c r="M38" s="1170">
        <v>28754</v>
      </c>
      <c r="N38" s="1170">
        <v>31006</v>
      </c>
      <c r="O38" s="1170">
        <v>30433</v>
      </c>
      <c r="P38" s="1170">
        <v>32699</v>
      </c>
      <c r="Q38" s="1170">
        <v>32877</v>
      </c>
      <c r="R38" s="1170">
        <v>35433</v>
      </c>
      <c r="S38" s="1172">
        <v>28486</v>
      </c>
      <c r="T38" s="1172">
        <v>29476</v>
      </c>
      <c r="U38" s="1173">
        <v>25145</v>
      </c>
      <c r="V38" s="1198">
        <v>9.3974945317160472</v>
      </c>
      <c r="W38" s="1183">
        <v>3629</v>
      </c>
      <c r="X38" s="1184">
        <v>4448</v>
      </c>
      <c r="Y38" s="1184">
        <v>4841</v>
      </c>
      <c r="Z38" s="1184">
        <v>4396</v>
      </c>
      <c r="AA38" s="1184">
        <v>5163</v>
      </c>
      <c r="AB38" s="1184">
        <v>4442</v>
      </c>
      <c r="AC38" s="1184">
        <v>3604</v>
      </c>
      <c r="AD38" s="1184">
        <v>4480</v>
      </c>
      <c r="AE38" s="1184">
        <v>4221</v>
      </c>
      <c r="AF38" s="1216">
        <f>AP38+AZ38</f>
        <v>3702</v>
      </c>
      <c r="AG38" s="1185">
        <f>AQ38+BA38</f>
        <v>4651</v>
      </c>
      <c r="AH38" s="1185">
        <f>AR38+BB38</f>
        <v>4284</v>
      </c>
      <c r="AI38" s="1185">
        <f>AS38+BC38</f>
        <v>4348</v>
      </c>
      <c r="AJ38" s="1185">
        <f t="shared" si="43"/>
        <v>4800</v>
      </c>
      <c r="AK38" s="1185">
        <f t="shared" si="43"/>
        <v>4594</v>
      </c>
      <c r="AL38" s="1185">
        <f t="shared" si="43"/>
        <v>4522</v>
      </c>
      <c r="AM38" s="1185">
        <f t="shared" si="43"/>
        <v>3924</v>
      </c>
      <c r="AN38" s="1185">
        <f t="shared" si="43"/>
        <v>3904</v>
      </c>
      <c r="AO38" s="1186">
        <f t="shared" si="8"/>
        <v>3797</v>
      </c>
      <c r="AP38" s="1184">
        <v>2776</v>
      </c>
      <c r="AQ38" s="1184">
        <v>3458</v>
      </c>
      <c r="AR38" s="1184">
        <v>3195</v>
      </c>
      <c r="AS38" s="1184">
        <v>3167</v>
      </c>
      <c r="AT38" s="1185">
        <v>3205</v>
      </c>
      <c r="AU38" s="1185">
        <v>3329</v>
      </c>
      <c r="AV38" s="1185">
        <v>3222</v>
      </c>
      <c r="AW38" s="1185">
        <v>2921</v>
      </c>
      <c r="AX38" s="1185">
        <v>2928</v>
      </c>
      <c r="AY38" s="1186">
        <v>2682</v>
      </c>
      <c r="AZ38" s="1184">
        <v>926</v>
      </c>
      <c r="BA38" s="1184">
        <v>1193</v>
      </c>
      <c r="BB38" s="1184">
        <v>1089</v>
      </c>
      <c r="BC38" s="1184">
        <v>1181</v>
      </c>
      <c r="BD38" s="1185">
        <v>1595</v>
      </c>
      <c r="BE38" s="1185">
        <v>1265</v>
      </c>
      <c r="BF38" s="1185">
        <v>1300</v>
      </c>
      <c r="BG38" s="1185">
        <v>1003</v>
      </c>
      <c r="BH38" s="1185">
        <v>976</v>
      </c>
      <c r="BI38" s="1185">
        <v>1115</v>
      </c>
      <c r="BJ38" s="1183">
        <f t="shared" si="44"/>
        <v>24231</v>
      </c>
      <c r="BK38" s="1184">
        <f t="shared" si="44"/>
        <v>26702</v>
      </c>
      <c r="BL38" s="1184">
        <f t="shared" si="44"/>
        <v>27856</v>
      </c>
      <c r="BM38" s="1184">
        <f t="shared" si="44"/>
        <v>29782</v>
      </c>
      <c r="BN38" s="1184">
        <f t="shared" si="44"/>
        <v>31438</v>
      </c>
      <c r="BO38" s="1184">
        <f t="shared" si="44"/>
        <v>27552</v>
      </c>
      <c r="BP38" s="1184">
        <f t="shared" si="44"/>
        <v>29301</v>
      </c>
      <c r="BQ38" s="1184">
        <f t="shared" si="44"/>
        <v>34867</v>
      </c>
      <c r="BR38" s="1184">
        <f t="shared" si="44"/>
        <v>36730</v>
      </c>
      <c r="BS38" s="1183">
        <f>L38+AF38</f>
        <v>32633</v>
      </c>
      <c r="BT38" s="1184">
        <f t="shared" si="37"/>
        <v>33405</v>
      </c>
      <c r="BU38" s="1184">
        <f t="shared" si="38"/>
        <v>35290</v>
      </c>
      <c r="BV38" s="1184">
        <f t="shared" si="27"/>
        <v>34781</v>
      </c>
      <c r="BW38" s="1185">
        <f t="shared" si="28"/>
        <v>37499</v>
      </c>
      <c r="BX38" s="1185">
        <f t="shared" si="29"/>
        <v>37471</v>
      </c>
      <c r="BY38" s="1185">
        <f t="shared" si="30"/>
        <v>39955</v>
      </c>
      <c r="BZ38" s="1185">
        <f t="shared" si="31"/>
        <v>32410</v>
      </c>
      <c r="CA38" s="1185">
        <f t="shared" si="32"/>
        <v>33380</v>
      </c>
      <c r="CB38" s="1186">
        <f t="shared" si="33"/>
        <v>28942</v>
      </c>
      <c r="CC38" s="1211">
        <f t="shared" si="6"/>
        <v>-13.295386458957452</v>
      </c>
      <c r="CD38" s="1187" t="s">
        <v>27</v>
      </c>
    </row>
    <row r="39" spans="2:82" ht="25.5" customHeight="1">
      <c r="B39" s="1323" t="s">
        <v>367</v>
      </c>
      <c r="C39" s="1323"/>
      <c r="D39" s="1323"/>
      <c r="E39" s="1323"/>
      <c r="F39" s="1323"/>
      <c r="G39" s="1323"/>
      <c r="H39" s="1323"/>
      <c r="I39" s="1323"/>
      <c r="J39" s="1323"/>
      <c r="K39" s="1323"/>
      <c r="L39" s="1323"/>
      <c r="M39" s="1323"/>
      <c r="N39" s="1323"/>
      <c r="O39" s="1323"/>
      <c r="P39" s="1323"/>
      <c r="Q39" s="1323"/>
      <c r="R39" s="1323"/>
      <c r="S39" s="1323"/>
      <c r="T39" s="1323"/>
      <c r="U39" s="1323"/>
      <c r="V39" s="1323"/>
      <c r="W39" s="1323"/>
      <c r="X39" s="1323"/>
      <c r="Y39" s="1323"/>
      <c r="Z39" s="1323"/>
      <c r="AA39" s="1323"/>
      <c r="AB39" s="1323"/>
      <c r="AC39" s="1323"/>
      <c r="AD39" s="1323"/>
      <c r="AE39" s="1323"/>
      <c r="AF39" s="1323"/>
      <c r="AG39" s="1323"/>
      <c r="AH39" s="1323"/>
      <c r="AI39" s="1323"/>
      <c r="AJ39" s="1323"/>
      <c r="AK39" s="1323"/>
      <c r="AL39" s="1323"/>
      <c r="AM39" s="1323"/>
      <c r="AN39" s="1323"/>
      <c r="AO39" s="1323"/>
      <c r="AP39" s="1323"/>
      <c r="AQ39" s="1323"/>
      <c r="AR39" s="1323"/>
      <c r="AS39" s="1323"/>
      <c r="AT39" s="1323"/>
      <c r="AU39" s="1323"/>
      <c r="AV39" s="1323"/>
      <c r="AW39" s="1323"/>
      <c r="AX39" s="1323"/>
      <c r="AY39" s="1323"/>
      <c r="AZ39" s="1323"/>
      <c r="BA39" s="1323"/>
      <c r="BB39" s="1323"/>
      <c r="BC39" s="1323"/>
      <c r="BD39" s="1323"/>
      <c r="BE39" s="1323"/>
      <c r="BF39" s="1323"/>
      <c r="BG39" s="1323"/>
      <c r="BH39" s="1323"/>
      <c r="BI39" s="1323"/>
      <c r="BJ39" s="1323"/>
      <c r="BK39" s="1323"/>
      <c r="BL39" s="1323"/>
      <c r="BM39" s="1323"/>
      <c r="BN39" s="1323"/>
      <c r="BO39" s="1323"/>
      <c r="BP39" s="1323"/>
      <c r="BQ39" s="1323"/>
      <c r="BR39" s="1323"/>
      <c r="BS39" s="1323"/>
      <c r="BT39" s="1323"/>
      <c r="BU39" s="1323"/>
      <c r="BV39" s="1323"/>
      <c r="BW39" s="1323"/>
      <c r="BX39" s="1323"/>
      <c r="BY39" s="1323"/>
      <c r="BZ39" s="1323"/>
    </row>
    <row r="40" spans="2:82">
      <c r="B40" s="1188" t="s">
        <v>290</v>
      </c>
      <c r="S40" s="1189"/>
    </row>
    <row r="41" spans="2:82">
      <c r="B41" s="534" t="s">
        <v>333</v>
      </c>
      <c r="BX41" s="1191"/>
      <c r="BY41" s="1191"/>
      <c r="BZ41" s="1191"/>
      <c r="CA41" s="1191"/>
      <c r="CB41" s="1191"/>
    </row>
    <row r="42" spans="2:82">
      <c r="B42" s="534" t="s">
        <v>334</v>
      </c>
      <c r="N42" s="1189"/>
    </row>
    <row r="43" spans="2:82" ht="15">
      <c r="B43" s="534" t="s">
        <v>335</v>
      </c>
      <c r="N43" s="1192"/>
      <c r="AQ43" s="1164"/>
    </row>
    <row r="44" spans="2:82" ht="15">
      <c r="N44" s="1192"/>
      <c r="O44" s="1192"/>
    </row>
    <row r="46" spans="2:82">
      <c r="Z46" s="546" t="s">
        <v>357</v>
      </c>
      <c r="AA46" s="546" t="s">
        <v>358</v>
      </c>
    </row>
    <row r="47" spans="2:82" ht="15">
      <c r="R47" s="1189"/>
      <c r="Z47" s="546" t="s">
        <v>361</v>
      </c>
      <c r="AA47" s="546" t="s">
        <v>362</v>
      </c>
      <c r="AG47" s="1192"/>
      <c r="AH47" s="1192"/>
      <c r="AI47" s="1192"/>
      <c r="AJ47" s="1192"/>
    </row>
    <row r="48" spans="2:82" ht="15">
      <c r="AG48" s="1192"/>
      <c r="AH48" s="1192"/>
      <c r="AI48" s="1192"/>
      <c r="AJ48" s="1192"/>
    </row>
    <row r="49" spans="33:36" ht="15">
      <c r="AG49" s="1192"/>
      <c r="AH49" s="1192"/>
      <c r="AI49" s="1192"/>
      <c r="AJ49" s="1192"/>
    </row>
  </sheetData>
  <mergeCells count="11">
    <mergeCell ref="B39:BZ39"/>
    <mergeCell ref="BJ4:CA4"/>
    <mergeCell ref="C4:U4"/>
    <mergeCell ref="B2:CC2"/>
    <mergeCell ref="B3:CC3"/>
    <mergeCell ref="CC4:CC6"/>
    <mergeCell ref="AP5:AX5"/>
    <mergeCell ref="AZ5:BH5"/>
    <mergeCell ref="C5:Q5"/>
    <mergeCell ref="W5:AO5"/>
    <mergeCell ref="AF4:AO4"/>
  </mergeCells>
  <pageMargins left="0.7" right="0.7" top="0.75" bottom="0.75" header="0.3" footer="0.3"/>
  <pageSetup paperSize="9" orientation="portrait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81"/>
  <dimension ref="B1:AE48"/>
  <sheetViews>
    <sheetView zoomScaleNormal="100" workbookViewId="0">
      <pane xSplit="2" topLeftCell="L1" activePane="topRight" state="frozen"/>
      <selection pane="topRight" activeCell="AI26" sqref="AI26"/>
    </sheetView>
  </sheetViews>
  <sheetFormatPr defaultRowHeight="12.75"/>
  <cols>
    <col min="2" max="2" width="4.7109375" customWidth="1"/>
    <col min="3" max="11" width="7.85546875" hidden="1" customWidth="1"/>
    <col min="12" max="18" width="7.85546875" customWidth="1"/>
    <col min="19" max="21" width="7.28515625" customWidth="1"/>
    <col min="22" max="22" width="8" style="5" customWidth="1"/>
    <col min="23" max="27" width="7.85546875" style="5" customWidth="1"/>
    <col min="28" max="29" width="7" style="5" customWidth="1"/>
    <col min="30" max="30" width="7.85546875" style="5" customWidth="1"/>
    <col min="31" max="31" width="7.85546875" customWidth="1"/>
  </cols>
  <sheetData>
    <row r="1" spans="2:31" ht="15.75">
      <c r="B1" s="799"/>
      <c r="AE1" s="27" t="s">
        <v>109</v>
      </c>
    </row>
    <row r="2" spans="2:31" s="800" customFormat="1" ht="15.75">
      <c r="B2" s="1341" t="s">
        <v>259</v>
      </c>
      <c r="C2" s="1341"/>
      <c r="D2" s="1341"/>
      <c r="E2" s="1341"/>
      <c r="F2" s="1341"/>
      <c r="G2" s="1341"/>
      <c r="H2" s="1341"/>
      <c r="I2" s="1341"/>
      <c r="J2" s="1341"/>
      <c r="K2" s="1341"/>
      <c r="L2" s="1341"/>
      <c r="M2" s="1341"/>
      <c r="N2" s="1341"/>
      <c r="O2" s="1341"/>
      <c r="P2" s="1341"/>
      <c r="Q2" s="1341"/>
      <c r="R2" s="1341"/>
      <c r="S2" s="1341"/>
      <c r="T2" s="1341"/>
      <c r="U2" s="1341"/>
      <c r="V2" s="1341"/>
      <c r="W2" s="1341"/>
      <c r="X2" s="1341"/>
      <c r="Y2" s="1341"/>
      <c r="Z2" s="1341"/>
      <c r="AA2" s="1341"/>
      <c r="AB2" s="1341"/>
      <c r="AC2" s="1341"/>
      <c r="AD2" s="1341"/>
      <c r="AE2" s="1341"/>
    </row>
    <row r="3" spans="2:31">
      <c r="B3" s="1342" t="s">
        <v>72</v>
      </c>
      <c r="C3" s="1342"/>
      <c r="D3" s="1342"/>
      <c r="E3" s="1342"/>
      <c r="F3" s="1342"/>
      <c r="G3" s="1342"/>
      <c r="H3" s="1342"/>
      <c r="I3" s="1342"/>
      <c r="J3" s="1342"/>
      <c r="K3" s="1342"/>
      <c r="L3" s="1342"/>
      <c r="M3" s="1342"/>
      <c r="N3" s="1342"/>
      <c r="O3" s="1342"/>
      <c r="P3" s="1342"/>
      <c r="Q3" s="1342"/>
      <c r="R3" s="1342"/>
      <c r="S3" s="1342"/>
      <c r="T3" s="1342"/>
      <c r="U3" s="1342"/>
      <c r="V3" s="1342"/>
      <c r="W3" s="1342"/>
      <c r="X3" s="1342"/>
      <c r="Y3" s="1342"/>
      <c r="Z3" s="1342"/>
      <c r="AA3" s="1342"/>
      <c r="AB3" s="1342"/>
      <c r="AC3" s="1342"/>
      <c r="AD3" s="1342"/>
      <c r="AE3" s="1342"/>
    </row>
    <row r="4" spans="2:31" ht="12.75" customHeight="1">
      <c r="B4" s="381"/>
      <c r="C4" s="1346" t="s">
        <v>332</v>
      </c>
      <c r="D4" s="1347"/>
      <c r="E4" s="1347"/>
      <c r="F4" s="1347"/>
      <c r="G4" s="1347"/>
      <c r="H4" s="1347"/>
      <c r="I4" s="1347"/>
      <c r="J4" s="1347"/>
      <c r="K4" s="1347"/>
      <c r="L4" s="1347"/>
      <c r="M4" s="1347"/>
      <c r="N4" s="1347"/>
      <c r="O4" s="1347"/>
      <c r="P4" s="1347"/>
      <c r="Q4" s="1347"/>
      <c r="R4" s="1347"/>
      <c r="S4" s="1347"/>
      <c r="T4" s="1347"/>
      <c r="U4" s="1348"/>
      <c r="V4" s="1349" t="s">
        <v>372</v>
      </c>
      <c r="W4" s="1349"/>
      <c r="X4" s="1349"/>
      <c r="Y4" s="1349"/>
      <c r="Z4" s="1349"/>
      <c r="AA4" s="1349"/>
      <c r="AB4" s="1349"/>
      <c r="AC4" s="901"/>
      <c r="AD4" s="1343" t="s">
        <v>368</v>
      </c>
      <c r="AE4" s="649"/>
    </row>
    <row r="5" spans="2:31" ht="39.75" customHeight="1">
      <c r="B5" s="381"/>
      <c r="C5" s="816"/>
      <c r="D5" s="816"/>
      <c r="E5" s="816"/>
      <c r="F5" s="816"/>
      <c r="G5" s="1351"/>
      <c r="H5" s="1351"/>
      <c r="I5" s="1351"/>
      <c r="J5" s="1351"/>
      <c r="K5" s="816"/>
      <c r="L5" s="975"/>
      <c r="M5" s="975"/>
      <c r="N5" s="975"/>
      <c r="O5" s="975"/>
      <c r="P5" s="975"/>
      <c r="Q5" s="975"/>
      <c r="R5" s="975"/>
      <c r="S5" s="975"/>
      <c r="T5" s="940"/>
      <c r="U5" s="140"/>
      <c r="V5" s="1350"/>
      <c r="W5" s="1350"/>
      <c r="X5" s="1350"/>
      <c r="Y5" s="1350"/>
      <c r="Z5" s="1350"/>
      <c r="AA5" s="1350"/>
      <c r="AB5" s="1350"/>
      <c r="AC5" s="902"/>
      <c r="AD5" s="1344"/>
      <c r="AE5" s="649"/>
    </row>
    <row r="6" spans="2:31" ht="22.5" customHeight="1">
      <c r="B6" s="598"/>
      <c r="C6" s="39">
        <v>2004</v>
      </c>
      <c r="D6" s="39">
        <v>2005</v>
      </c>
      <c r="E6" s="39">
        <v>2006</v>
      </c>
      <c r="F6" s="39">
        <v>2007</v>
      </c>
      <c r="G6" s="39">
        <v>2008</v>
      </c>
      <c r="H6" s="39">
        <v>2009</v>
      </c>
      <c r="I6" s="815">
        <v>2010</v>
      </c>
      <c r="J6" s="815">
        <v>2011</v>
      </c>
      <c r="K6" s="39">
        <v>2012</v>
      </c>
      <c r="L6" s="39">
        <v>2013</v>
      </c>
      <c r="M6" s="39">
        <v>2014</v>
      </c>
      <c r="N6" s="39">
        <v>2015</v>
      </c>
      <c r="O6" s="39">
        <v>2016</v>
      </c>
      <c r="P6" s="39">
        <v>2017</v>
      </c>
      <c r="Q6" s="39">
        <v>2018</v>
      </c>
      <c r="R6" s="39">
        <v>2019</v>
      </c>
      <c r="S6" s="39">
        <v>2020</v>
      </c>
      <c r="T6" s="39">
        <v>2021</v>
      </c>
      <c r="U6" s="40">
        <v>2022</v>
      </c>
      <c r="V6" s="39">
        <v>2015</v>
      </c>
      <c r="W6" s="39">
        <v>2016</v>
      </c>
      <c r="X6" s="39">
        <v>2017</v>
      </c>
      <c r="Y6" s="39">
        <v>2018</v>
      </c>
      <c r="Z6" s="39">
        <v>2019</v>
      </c>
      <c r="AA6" s="39">
        <v>2020</v>
      </c>
      <c r="AB6" s="39">
        <v>2021</v>
      </c>
      <c r="AC6" s="40">
        <v>2022</v>
      </c>
      <c r="AD6" s="1345"/>
      <c r="AE6" s="580"/>
    </row>
    <row r="7" spans="2:31" ht="12.75" customHeight="1">
      <c r="B7" s="345" t="s">
        <v>238</v>
      </c>
      <c r="C7" s="354"/>
      <c r="D7" s="354"/>
      <c r="E7" s="358">
        <f>SUM(E8:E34)</f>
        <v>38387</v>
      </c>
      <c r="F7" s="358">
        <f t="shared" ref="F7:K7" si="0">SUM(F8:F34)</f>
        <v>40156</v>
      </c>
      <c r="G7" s="358">
        <f t="shared" si="0"/>
        <v>41011</v>
      </c>
      <c r="H7" s="358">
        <f t="shared" si="0"/>
        <v>32761</v>
      </c>
      <c r="I7" s="358">
        <f t="shared" si="0"/>
        <v>29754</v>
      </c>
      <c r="J7" s="358">
        <f t="shared" si="0"/>
        <v>30116</v>
      </c>
      <c r="K7" s="847">
        <f t="shared" si="0"/>
        <v>25860</v>
      </c>
      <c r="L7" s="358">
        <f>SUM(L8:L34)</f>
        <v>31398</v>
      </c>
      <c r="M7" s="358">
        <f t="shared" ref="M7:T7" si="1">SUM(M8:M34)</f>
        <v>33903</v>
      </c>
      <c r="N7" s="358">
        <f t="shared" si="1"/>
        <v>38029</v>
      </c>
      <c r="O7" s="358">
        <f t="shared" si="1"/>
        <v>37386</v>
      </c>
      <c r="P7" s="358">
        <f t="shared" si="1"/>
        <v>38456</v>
      </c>
      <c r="Q7" s="358">
        <f t="shared" si="1"/>
        <v>37841</v>
      </c>
      <c r="R7" s="358">
        <f t="shared" si="1"/>
        <v>39645</v>
      </c>
      <c r="S7" s="358">
        <f t="shared" si="1"/>
        <v>30326</v>
      </c>
      <c r="T7" s="358">
        <f t="shared" si="1"/>
        <v>34439</v>
      </c>
      <c r="U7" s="992">
        <f>SUM(U8:U34)</f>
        <v>29538</v>
      </c>
      <c r="V7" s="817">
        <v>0.54405831055577247</v>
      </c>
      <c r="W7" s="817">
        <v>1.3497776836756299</v>
      </c>
      <c r="X7" s="817">
        <v>1.7520738041708659</v>
      </c>
      <c r="Y7" s="817">
        <v>1.8747589044618749</v>
      </c>
      <c r="Z7" s="817">
        <v>4.0262645212497299</v>
      </c>
      <c r="AA7" s="817">
        <v>5.5619533754551957</v>
      </c>
      <c r="AB7" s="817">
        <v>7.9555803637004612</v>
      </c>
      <c r="AC7" s="817">
        <v>12.607623879103999</v>
      </c>
      <c r="AD7" s="371">
        <f>U7/T7*100-100</f>
        <v>-14.230959087081501</v>
      </c>
      <c r="AE7" s="345" t="s">
        <v>238</v>
      </c>
    </row>
    <row r="8" spans="2:31" ht="12.75" customHeight="1">
      <c r="B8" s="585" t="s">
        <v>45</v>
      </c>
      <c r="C8" s="830">
        <v>1176</v>
      </c>
      <c r="D8" s="831">
        <v>1183</v>
      </c>
      <c r="E8" s="831">
        <v>1144</v>
      </c>
      <c r="F8" s="831">
        <v>1095</v>
      </c>
      <c r="G8" s="831">
        <v>1206</v>
      </c>
      <c r="H8" s="831">
        <v>979</v>
      </c>
      <c r="I8" s="831">
        <v>1015</v>
      </c>
      <c r="J8" s="846">
        <v>708</v>
      </c>
      <c r="K8" s="848">
        <v>690</v>
      </c>
      <c r="L8" s="831">
        <v>765</v>
      </c>
      <c r="M8" s="831">
        <v>1142</v>
      </c>
      <c r="N8" s="831">
        <v>925</v>
      </c>
      <c r="O8" s="831">
        <v>714</v>
      </c>
      <c r="P8" s="831">
        <v>871</v>
      </c>
      <c r="Q8" s="831">
        <v>1062</v>
      </c>
      <c r="R8" s="831">
        <v>1313</v>
      </c>
      <c r="S8" s="831">
        <v>792</v>
      </c>
      <c r="T8" s="831">
        <v>944</v>
      </c>
      <c r="U8" s="1255">
        <v>595</v>
      </c>
      <c r="V8" s="818">
        <v>0</v>
      </c>
      <c r="W8" s="818">
        <v>2.801120448179272</v>
      </c>
      <c r="X8" s="818">
        <v>13.432835820895523</v>
      </c>
      <c r="Y8" s="818">
        <v>1.977401129943503</v>
      </c>
      <c r="Z8" s="818">
        <v>2.817974105102818</v>
      </c>
      <c r="AA8" s="818">
        <v>1.5151515151515151</v>
      </c>
      <c r="AB8" s="865">
        <v>2.9661016949152543</v>
      </c>
      <c r="AC8" s="819">
        <v>7.1186440677966107</v>
      </c>
      <c r="AD8" s="640">
        <f t="shared" ref="AD8:AD38" si="2">U8/T8*100-100</f>
        <v>-36.970338983050844</v>
      </c>
      <c r="AE8" s="641" t="s">
        <v>45</v>
      </c>
    </row>
    <row r="9" spans="2:31" ht="12.75" customHeight="1">
      <c r="B9" s="43" t="s">
        <v>28</v>
      </c>
      <c r="C9" s="832"/>
      <c r="D9" s="833">
        <v>856</v>
      </c>
      <c r="E9" s="833">
        <v>788</v>
      </c>
      <c r="F9" s="833">
        <v>525</v>
      </c>
      <c r="G9" s="833">
        <v>1047</v>
      </c>
      <c r="H9" s="833">
        <v>424</v>
      </c>
      <c r="I9" s="833">
        <v>107</v>
      </c>
      <c r="J9" s="833">
        <v>57</v>
      </c>
      <c r="K9" s="836">
        <v>46</v>
      </c>
      <c r="L9" s="833">
        <v>286</v>
      </c>
      <c r="M9" s="833">
        <v>511</v>
      </c>
      <c r="N9" s="833">
        <v>379</v>
      </c>
      <c r="O9" s="833">
        <v>363</v>
      </c>
      <c r="P9" s="833">
        <v>363</v>
      </c>
      <c r="Q9" s="834">
        <v>416</v>
      </c>
      <c r="R9" s="834">
        <v>362</v>
      </c>
      <c r="S9" s="833">
        <v>181</v>
      </c>
      <c r="T9" s="833">
        <v>270</v>
      </c>
      <c r="U9" s="833">
        <v>211</v>
      </c>
      <c r="V9" s="820">
        <v>0</v>
      </c>
      <c r="W9" s="821">
        <v>0.27548209366391185</v>
      </c>
      <c r="X9" s="821">
        <v>0</v>
      </c>
      <c r="Y9" s="821">
        <v>0</v>
      </c>
      <c r="Z9" s="821">
        <v>6.3535911602209953</v>
      </c>
      <c r="AA9" s="864">
        <v>0</v>
      </c>
      <c r="AB9" s="864">
        <v>11.111111111111111</v>
      </c>
      <c r="AC9" s="822">
        <v>2.358490566037736</v>
      </c>
      <c r="AD9" s="449">
        <f t="shared" si="2"/>
        <v>-21.851851851851862</v>
      </c>
      <c r="AE9" s="52" t="s">
        <v>28</v>
      </c>
    </row>
    <row r="10" spans="2:31" ht="12.75" customHeight="1">
      <c r="B10" s="585" t="s">
        <v>30</v>
      </c>
      <c r="C10" s="830">
        <v>924</v>
      </c>
      <c r="D10" s="831">
        <v>876</v>
      </c>
      <c r="E10" s="831">
        <v>966</v>
      </c>
      <c r="F10" s="831">
        <v>969</v>
      </c>
      <c r="G10" s="831">
        <v>1224</v>
      </c>
      <c r="H10" s="831">
        <v>946</v>
      </c>
      <c r="I10" s="831">
        <v>665</v>
      </c>
      <c r="J10" s="831">
        <v>719</v>
      </c>
      <c r="K10" s="835">
        <v>588</v>
      </c>
      <c r="L10" s="831">
        <v>1207</v>
      </c>
      <c r="M10" s="831">
        <v>1452</v>
      </c>
      <c r="N10" s="831">
        <v>1428</v>
      </c>
      <c r="O10" s="831">
        <v>1070</v>
      </c>
      <c r="P10" s="831">
        <v>828</v>
      </c>
      <c r="Q10" s="831">
        <v>318</v>
      </c>
      <c r="R10" s="831">
        <v>1301</v>
      </c>
      <c r="S10" s="831">
        <v>1383</v>
      </c>
      <c r="T10" s="831">
        <v>1253</v>
      </c>
      <c r="U10" s="831">
        <v>1161</v>
      </c>
      <c r="V10" s="823">
        <v>0.21008403361344538</v>
      </c>
      <c r="W10" s="470">
        <v>0.28037383177570091</v>
      </c>
      <c r="X10" s="470">
        <v>2.6570048309178742</v>
      </c>
      <c r="Y10" s="470">
        <v>15.723270440251572</v>
      </c>
      <c r="Z10" s="470">
        <v>0.84550345887778633</v>
      </c>
      <c r="AA10" s="865">
        <v>0.86767895878524948</v>
      </c>
      <c r="AB10" s="865">
        <v>0.15961691939345571</v>
      </c>
      <c r="AC10" s="819">
        <v>3.4393809114359417</v>
      </c>
      <c r="AD10" s="640">
        <f t="shared" si="2"/>
        <v>-7.3423782920989566</v>
      </c>
      <c r="AE10" s="641" t="s">
        <v>30</v>
      </c>
    </row>
    <row r="11" spans="2:31" ht="12.75" customHeight="1">
      <c r="B11" s="43" t="s">
        <v>41</v>
      </c>
      <c r="C11" s="832">
        <v>1757</v>
      </c>
      <c r="D11" s="833">
        <v>2443</v>
      </c>
      <c r="E11" s="833">
        <v>3188</v>
      </c>
      <c r="F11" s="833">
        <v>3912</v>
      </c>
      <c r="G11" s="833">
        <v>1191</v>
      </c>
      <c r="H11" s="833">
        <v>1112</v>
      </c>
      <c r="I11" s="833">
        <v>1004</v>
      </c>
      <c r="J11" s="833">
        <v>802</v>
      </c>
      <c r="K11" s="836">
        <v>764</v>
      </c>
      <c r="L11" s="833">
        <v>616</v>
      </c>
      <c r="M11" s="833">
        <v>798</v>
      </c>
      <c r="N11" s="833">
        <v>835</v>
      </c>
      <c r="O11" s="833">
        <v>1039</v>
      </c>
      <c r="P11" s="833">
        <v>1293</v>
      </c>
      <c r="Q11" s="833">
        <v>762</v>
      </c>
      <c r="R11" s="833">
        <v>884</v>
      </c>
      <c r="S11" s="833">
        <v>440</v>
      </c>
      <c r="T11" s="833">
        <v>746</v>
      </c>
      <c r="U11" s="833">
        <v>714</v>
      </c>
      <c r="V11" s="820">
        <v>0</v>
      </c>
      <c r="W11" s="821">
        <v>0.28873917228103946</v>
      </c>
      <c r="X11" s="821">
        <v>0</v>
      </c>
      <c r="Y11" s="821">
        <v>0.26246719160104987</v>
      </c>
      <c r="Z11" s="821">
        <v>11.312217194570136</v>
      </c>
      <c r="AA11" s="864">
        <v>0.68181818181818177</v>
      </c>
      <c r="AB11" s="864">
        <v>30.02680965147453</v>
      </c>
      <c r="AC11" s="822">
        <v>56.30252100840336</v>
      </c>
      <c r="AD11" s="449">
        <f t="shared" si="2"/>
        <v>-4.2895442359249358</v>
      </c>
      <c r="AE11" s="52" t="s">
        <v>41</v>
      </c>
    </row>
    <row r="12" spans="2:31" ht="12.75" customHeight="1">
      <c r="B12" s="585" t="s">
        <v>46</v>
      </c>
      <c r="C12" s="830">
        <v>5397</v>
      </c>
      <c r="D12" s="831">
        <v>5426</v>
      </c>
      <c r="E12" s="831">
        <v>5710</v>
      </c>
      <c r="F12" s="831">
        <v>5471</v>
      </c>
      <c r="G12" s="831">
        <v>5885</v>
      </c>
      <c r="H12" s="831">
        <v>5612</v>
      </c>
      <c r="I12" s="831">
        <v>5219</v>
      </c>
      <c r="J12" s="831">
        <v>5042</v>
      </c>
      <c r="K12" s="835">
        <v>5139</v>
      </c>
      <c r="L12" s="831">
        <v>5824</v>
      </c>
      <c r="M12" s="831">
        <v>5651</v>
      </c>
      <c r="N12" s="831">
        <v>6137</v>
      </c>
      <c r="O12" s="831">
        <v>6683</v>
      </c>
      <c r="P12" s="831">
        <v>6697</v>
      </c>
      <c r="Q12" s="831">
        <v>6687</v>
      </c>
      <c r="R12" s="831">
        <v>6437</v>
      </c>
      <c r="S12" s="831">
        <v>6460</v>
      </c>
      <c r="T12" s="831">
        <v>6474</v>
      </c>
      <c r="U12" s="831">
        <v>4883</v>
      </c>
      <c r="V12" s="823">
        <v>0.34218673619032097</v>
      </c>
      <c r="W12" s="470">
        <v>1.0623971270387551</v>
      </c>
      <c r="X12" s="470">
        <v>0.55248618784530379</v>
      </c>
      <c r="Y12" s="470">
        <v>1.4206669657544488</v>
      </c>
      <c r="Z12" s="470">
        <v>3.0759670654031379</v>
      </c>
      <c r="AA12" s="865">
        <v>7.6160990712074303</v>
      </c>
      <c r="AB12" s="865">
        <v>9.0824837812789614</v>
      </c>
      <c r="AC12" s="819">
        <v>12.090163934426229</v>
      </c>
      <c r="AD12" s="640">
        <f t="shared" si="2"/>
        <v>-24.575223972814328</v>
      </c>
      <c r="AE12" s="641" t="s">
        <v>46</v>
      </c>
    </row>
    <row r="13" spans="2:31" ht="12.75" customHeight="1">
      <c r="B13" s="43" t="s">
        <v>31</v>
      </c>
      <c r="C13" s="832">
        <v>57</v>
      </c>
      <c r="D13" s="833">
        <v>96</v>
      </c>
      <c r="E13" s="833">
        <v>161</v>
      </c>
      <c r="F13" s="833">
        <v>240</v>
      </c>
      <c r="G13" s="833">
        <v>144</v>
      </c>
      <c r="H13" s="833">
        <v>112</v>
      </c>
      <c r="I13" s="833">
        <v>168</v>
      </c>
      <c r="J13" s="833">
        <v>95</v>
      </c>
      <c r="K13" s="836">
        <v>156</v>
      </c>
      <c r="L13" s="833">
        <v>232</v>
      </c>
      <c r="M13" s="833">
        <v>187</v>
      </c>
      <c r="N13" s="833">
        <v>232</v>
      </c>
      <c r="O13" s="833">
        <v>171</v>
      </c>
      <c r="P13" s="833">
        <v>212</v>
      </c>
      <c r="Q13" s="833">
        <v>142</v>
      </c>
      <c r="R13" s="833">
        <v>201</v>
      </c>
      <c r="S13" s="833">
        <v>223</v>
      </c>
      <c r="T13" s="833">
        <v>269</v>
      </c>
      <c r="U13" s="833">
        <v>304</v>
      </c>
      <c r="V13" s="820">
        <v>0</v>
      </c>
      <c r="W13" s="821">
        <v>1.1695906432748537</v>
      </c>
      <c r="X13" s="821">
        <v>10.377358490566039</v>
      </c>
      <c r="Y13" s="821">
        <v>0</v>
      </c>
      <c r="Z13" s="821">
        <v>0</v>
      </c>
      <c r="AA13" s="864">
        <v>0</v>
      </c>
      <c r="AB13" s="864">
        <v>0</v>
      </c>
      <c r="AC13" s="822">
        <v>0</v>
      </c>
      <c r="AD13" s="449">
        <f t="shared" si="2"/>
        <v>13.011152416356879</v>
      </c>
      <c r="AE13" s="52" t="s">
        <v>31</v>
      </c>
    </row>
    <row r="14" spans="2:31" ht="12.75" customHeight="1">
      <c r="B14" s="585" t="s">
        <v>49</v>
      </c>
      <c r="C14" s="830">
        <v>829</v>
      </c>
      <c r="D14" s="831">
        <v>865</v>
      </c>
      <c r="E14" s="831">
        <v>948</v>
      </c>
      <c r="F14" s="831">
        <v>1063</v>
      </c>
      <c r="G14" s="831">
        <v>1152</v>
      </c>
      <c r="H14" s="831">
        <v>367</v>
      </c>
      <c r="I14" s="831">
        <v>172</v>
      </c>
      <c r="J14" s="831">
        <v>182</v>
      </c>
      <c r="K14" s="835">
        <v>319</v>
      </c>
      <c r="L14" s="831">
        <v>238</v>
      </c>
      <c r="M14" s="831">
        <v>286</v>
      </c>
      <c r="N14" s="831">
        <v>417</v>
      </c>
      <c r="O14" s="831">
        <v>555</v>
      </c>
      <c r="P14" s="831">
        <v>468</v>
      </c>
      <c r="Q14" s="831">
        <v>599</v>
      </c>
      <c r="R14" s="831">
        <v>574</v>
      </c>
      <c r="S14" s="831">
        <v>267</v>
      </c>
      <c r="T14" s="831">
        <v>513</v>
      </c>
      <c r="U14" s="831">
        <v>417</v>
      </c>
      <c r="V14" s="823">
        <v>0</v>
      </c>
      <c r="W14" s="470">
        <v>0</v>
      </c>
      <c r="X14" s="470">
        <v>0</v>
      </c>
      <c r="Y14" s="470">
        <v>0</v>
      </c>
      <c r="Z14" s="470">
        <v>0.17421602787456447</v>
      </c>
      <c r="AA14" s="470">
        <v>1.1235955056179776</v>
      </c>
      <c r="AB14" s="865">
        <v>0.38986354775828458</v>
      </c>
      <c r="AC14" s="819">
        <v>6.968641114982578</v>
      </c>
      <c r="AD14" s="640">
        <f t="shared" si="2"/>
        <v>-18.713450292397653</v>
      </c>
      <c r="AE14" s="641" t="s">
        <v>49</v>
      </c>
    </row>
    <row r="15" spans="2:31" ht="12.75" customHeight="1">
      <c r="B15" s="43" t="s">
        <v>42</v>
      </c>
      <c r="C15" s="832">
        <v>1509</v>
      </c>
      <c r="D15" s="833">
        <v>660</v>
      </c>
      <c r="E15" s="833">
        <v>474</v>
      </c>
      <c r="F15" s="833">
        <v>626</v>
      </c>
      <c r="G15" s="833">
        <v>575</v>
      </c>
      <c r="H15" s="833">
        <v>1012</v>
      </c>
      <c r="I15" s="833">
        <v>403</v>
      </c>
      <c r="J15" s="833">
        <v>98</v>
      </c>
      <c r="K15" s="836">
        <v>118</v>
      </c>
      <c r="L15" s="833">
        <v>97</v>
      </c>
      <c r="M15" s="833">
        <v>168</v>
      </c>
      <c r="N15" s="833">
        <v>123</v>
      </c>
      <c r="O15" s="833">
        <v>191</v>
      </c>
      <c r="P15" s="833">
        <v>176</v>
      </c>
      <c r="Q15" s="833">
        <v>238</v>
      </c>
      <c r="R15" s="833">
        <v>361</v>
      </c>
      <c r="S15" s="833">
        <v>289</v>
      </c>
      <c r="T15" s="833">
        <v>446</v>
      </c>
      <c r="U15" s="833">
        <v>261</v>
      </c>
      <c r="V15" s="820">
        <v>0</v>
      </c>
      <c r="W15" s="821">
        <v>0</v>
      </c>
      <c r="X15" s="821">
        <v>0</v>
      </c>
      <c r="Y15" s="821">
        <v>0</v>
      </c>
      <c r="Z15" s="821">
        <v>0</v>
      </c>
      <c r="AA15" s="821">
        <v>0</v>
      </c>
      <c r="AB15" s="864">
        <v>0</v>
      </c>
      <c r="AC15" s="822">
        <v>0.38314176245210724</v>
      </c>
      <c r="AD15" s="449">
        <f t="shared" si="2"/>
        <v>-41.479820627802688</v>
      </c>
      <c r="AE15" s="52" t="s">
        <v>42</v>
      </c>
    </row>
    <row r="16" spans="2:31" ht="12.75" customHeight="1">
      <c r="B16" s="585" t="s">
        <v>47</v>
      </c>
      <c r="C16" s="830">
        <v>3361</v>
      </c>
      <c r="D16" s="831">
        <v>3850</v>
      </c>
      <c r="E16" s="831">
        <v>3632</v>
      </c>
      <c r="F16" s="831">
        <v>3803</v>
      </c>
      <c r="G16" s="831">
        <v>3471</v>
      </c>
      <c r="H16" s="831">
        <v>2644</v>
      </c>
      <c r="I16" s="831">
        <v>2410</v>
      </c>
      <c r="J16" s="831">
        <v>2673</v>
      </c>
      <c r="K16" s="835">
        <v>1984</v>
      </c>
      <c r="L16" s="831">
        <v>1742</v>
      </c>
      <c r="M16" s="831">
        <v>2115</v>
      </c>
      <c r="N16" s="831">
        <v>2890</v>
      </c>
      <c r="O16" s="831">
        <v>3567</v>
      </c>
      <c r="P16" s="831">
        <v>3834</v>
      </c>
      <c r="Q16" s="831">
        <v>3704</v>
      </c>
      <c r="R16" s="831">
        <v>3535</v>
      </c>
      <c r="S16" s="831">
        <v>2172</v>
      </c>
      <c r="T16" s="831">
        <v>1952</v>
      </c>
      <c r="U16" s="831">
        <v>2435</v>
      </c>
      <c r="V16" s="823">
        <v>0.65743944636678198</v>
      </c>
      <c r="W16" s="470">
        <v>1.2626262626262625</v>
      </c>
      <c r="X16" s="470">
        <v>1.0172143974960877</v>
      </c>
      <c r="Y16" s="470">
        <v>1.7543859649122806</v>
      </c>
      <c r="Z16" s="470">
        <v>2.2946175637393771</v>
      </c>
      <c r="AA16" s="470">
        <v>2.904564315352697</v>
      </c>
      <c r="AB16" s="865">
        <v>6.1506919528446957</v>
      </c>
      <c r="AC16" s="819">
        <v>11.006825938566553</v>
      </c>
      <c r="AD16" s="640">
        <f t="shared" si="2"/>
        <v>24.743852459016409</v>
      </c>
      <c r="AE16" s="641" t="s">
        <v>47</v>
      </c>
    </row>
    <row r="17" spans="2:31" ht="12.75" customHeight="1">
      <c r="B17" s="43" t="s">
        <v>48</v>
      </c>
      <c r="C17" s="832">
        <v>4859</v>
      </c>
      <c r="D17" s="833">
        <v>5442</v>
      </c>
      <c r="E17" s="833">
        <v>5850</v>
      </c>
      <c r="F17" s="833">
        <v>6171</v>
      </c>
      <c r="G17" s="833">
        <v>6624</v>
      </c>
      <c r="H17" s="833">
        <v>7434</v>
      </c>
      <c r="I17" s="833">
        <v>5907</v>
      </c>
      <c r="J17" s="833">
        <v>6806</v>
      </c>
      <c r="K17" s="836">
        <v>6062</v>
      </c>
      <c r="L17" s="833">
        <v>6952</v>
      </c>
      <c r="M17" s="833">
        <v>5896</v>
      </c>
      <c r="N17" s="833">
        <v>7344</v>
      </c>
      <c r="O17" s="833">
        <v>6594</v>
      </c>
      <c r="P17" s="833">
        <v>6579</v>
      </c>
      <c r="Q17" s="833">
        <v>6471</v>
      </c>
      <c r="R17" s="833">
        <v>7045</v>
      </c>
      <c r="S17" s="833">
        <v>6399</v>
      </c>
      <c r="T17" s="833">
        <v>7207</v>
      </c>
      <c r="U17" s="833">
        <v>6192</v>
      </c>
      <c r="V17" s="820">
        <v>0.69444444444444442</v>
      </c>
      <c r="W17" s="821">
        <v>1.2132241431604489</v>
      </c>
      <c r="X17" s="821">
        <v>1.6251183338592614</v>
      </c>
      <c r="Y17" s="821">
        <v>1.4771997430956969</v>
      </c>
      <c r="Z17" s="821">
        <v>4.2297417631344612</v>
      </c>
      <c r="AA17" s="821">
        <v>2.887487553932957</v>
      </c>
      <c r="AB17" s="864">
        <v>9.1509988249118681</v>
      </c>
      <c r="AC17" s="822">
        <v>13.360530341662416</v>
      </c>
      <c r="AD17" s="449">
        <f t="shared" si="2"/>
        <v>-14.083529901484667</v>
      </c>
      <c r="AE17" s="52" t="s">
        <v>48</v>
      </c>
    </row>
    <row r="18" spans="2:31" ht="12.75" customHeight="1">
      <c r="B18" s="585" t="s">
        <v>59</v>
      </c>
      <c r="C18" s="830">
        <v>288</v>
      </c>
      <c r="D18" s="831">
        <v>381</v>
      </c>
      <c r="E18" s="831">
        <v>376</v>
      </c>
      <c r="F18" s="831">
        <v>433</v>
      </c>
      <c r="G18" s="831">
        <v>391</v>
      </c>
      <c r="H18" s="831">
        <v>484</v>
      </c>
      <c r="I18" s="831">
        <v>195</v>
      </c>
      <c r="J18" s="831">
        <v>173</v>
      </c>
      <c r="K18" s="835">
        <v>217</v>
      </c>
      <c r="L18" s="831">
        <v>353</v>
      </c>
      <c r="M18" s="831">
        <v>474</v>
      </c>
      <c r="N18" s="831">
        <v>482</v>
      </c>
      <c r="O18" s="831">
        <v>568</v>
      </c>
      <c r="P18" s="831">
        <v>488</v>
      </c>
      <c r="Q18" s="831">
        <v>584</v>
      </c>
      <c r="R18" s="831">
        <v>736</v>
      </c>
      <c r="S18" s="831">
        <v>230</v>
      </c>
      <c r="T18" s="831">
        <v>76</v>
      </c>
      <c r="U18" s="831">
        <v>221</v>
      </c>
      <c r="V18" s="823">
        <v>0.41493775933609961</v>
      </c>
      <c r="W18" s="470">
        <v>0.17605633802816903</v>
      </c>
      <c r="X18" s="470">
        <v>1.8442622950819672</v>
      </c>
      <c r="Y18" s="470">
        <v>0</v>
      </c>
      <c r="Z18" s="470">
        <v>0</v>
      </c>
      <c r="AA18" s="470">
        <v>0</v>
      </c>
      <c r="AB18" s="865">
        <v>2.6315789473684208</v>
      </c>
      <c r="AC18" s="819">
        <v>1.2269938650306749</v>
      </c>
      <c r="AD18" s="640">
        <f t="shared" si="2"/>
        <v>190.78947368421052</v>
      </c>
      <c r="AE18" s="641" t="s">
        <v>59</v>
      </c>
    </row>
    <row r="19" spans="2:31" ht="12.75" customHeight="1">
      <c r="B19" s="119" t="s">
        <v>50</v>
      </c>
      <c r="C19" s="832">
        <v>4863</v>
      </c>
      <c r="D19" s="833">
        <v>5042</v>
      </c>
      <c r="E19" s="833">
        <v>4822</v>
      </c>
      <c r="F19" s="833">
        <v>4473</v>
      </c>
      <c r="G19" s="833">
        <v>4743</v>
      </c>
      <c r="H19" s="833">
        <v>3269</v>
      </c>
      <c r="I19" s="833">
        <v>4302</v>
      </c>
      <c r="J19" s="833">
        <v>5908</v>
      </c>
      <c r="K19" s="836">
        <v>2293</v>
      </c>
      <c r="L19" s="833">
        <v>2414</v>
      </c>
      <c r="M19" s="833">
        <v>2493</v>
      </c>
      <c r="N19" s="833">
        <v>2479</v>
      </c>
      <c r="O19" s="833">
        <v>2586</v>
      </c>
      <c r="P19" s="833">
        <v>3405</v>
      </c>
      <c r="Q19" s="833">
        <v>4451</v>
      </c>
      <c r="R19" s="833">
        <v>4312</v>
      </c>
      <c r="S19" s="833">
        <v>2961</v>
      </c>
      <c r="T19" s="833">
        <v>4091</v>
      </c>
      <c r="U19" s="833">
        <v>3689</v>
      </c>
      <c r="V19" s="824">
        <v>0.24203307785397335</v>
      </c>
      <c r="W19" s="825">
        <v>0.88940448569218877</v>
      </c>
      <c r="X19" s="825">
        <v>0.85168869309838469</v>
      </c>
      <c r="Y19" s="825">
        <v>1.3480116827679174</v>
      </c>
      <c r="Z19" s="825">
        <v>1.5074211502782933</v>
      </c>
      <c r="AA19" s="825">
        <v>1.6548463356973995</v>
      </c>
      <c r="AB19" s="909">
        <v>2.0532877047176727</v>
      </c>
      <c r="AC19" s="826">
        <v>3.778801843317972</v>
      </c>
      <c r="AD19" s="525">
        <f t="shared" si="2"/>
        <v>-9.8264483011488579</v>
      </c>
      <c r="AE19" s="209" t="s">
        <v>50</v>
      </c>
    </row>
    <row r="20" spans="2:31" ht="12.75" customHeight="1">
      <c r="B20" s="585" t="s">
        <v>29</v>
      </c>
      <c r="C20" s="830">
        <v>59</v>
      </c>
      <c r="D20" s="831">
        <v>66</v>
      </c>
      <c r="E20" s="831">
        <v>47</v>
      </c>
      <c r="F20" s="831">
        <v>61</v>
      </c>
      <c r="G20" s="831">
        <v>64</v>
      </c>
      <c r="H20" s="831">
        <v>41</v>
      </c>
      <c r="I20" s="831">
        <v>248</v>
      </c>
      <c r="J20" s="831">
        <v>44</v>
      </c>
      <c r="K20" s="835">
        <v>45</v>
      </c>
      <c r="L20" s="831">
        <v>15</v>
      </c>
      <c r="M20" s="831">
        <v>10</v>
      </c>
      <c r="N20" s="831">
        <v>37</v>
      </c>
      <c r="O20" s="831">
        <v>55</v>
      </c>
      <c r="P20" s="831">
        <v>47</v>
      </c>
      <c r="Q20" s="831">
        <v>45</v>
      </c>
      <c r="R20" s="831">
        <v>19</v>
      </c>
      <c r="S20" s="831">
        <v>246</v>
      </c>
      <c r="T20" s="831">
        <v>20</v>
      </c>
      <c r="U20" s="831">
        <v>58</v>
      </c>
      <c r="V20" s="823">
        <v>0</v>
      </c>
      <c r="W20" s="470">
        <v>0</v>
      </c>
      <c r="X20" s="470">
        <v>0</v>
      </c>
      <c r="Y20" s="470">
        <v>0</v>
      </c>
      <c r="Z20" s="470">
        <v>0</v>
      </c>
      <c r="AA20" s="470">
        <v>0</v>
      </c>
      <c r="AB20" s="865">
        <v>0</v>
      </c>
      <c r="AC20" s="819">
        <v>0</v>
      </c>
      <c r="AD20" s="448">
        <f t="shared" si="2"/>
        <v>190</v>
      </c>
      <c r="AE20" s="54" t="s">
        <v>29</v>
      </c>
    </row>
    <row r="21" spans="2:31" ht="12.75" customHeight="1">
      <c r="B21" s="119" t="s">
        <v>33</v>
      </c>
      <c r="C21" s="832">
        <v>242</v>
      </c>
      <c r="D21" s="833">
        <v>164</v>
      </c>
      <c r="E21" s="833">
        <v>206</v>
      </c>
      <c r="F21" s="833">
        <v>200</v>
      </c>
      <c r="G21" s="833">
        <v>223</v>
      </c>
      <c r="H21" s="833">
        <v>57</v>
      </c>
      <c r="I21" s="833">
        <v>129</v>
      </c>
      <c r="J21" s="833">
        <v>187</v>
      </c>
      <c r="K21" s="836">
        <v>87</v>
      </c>
      <c r="L21" s="833">
        <v>242</v>
      </c>
      <c r="M21" s="833">
        <v>212</v>
      </c>
      <c r="N21" s="833">
        <v>281</v>
      </c>
      <c r="O21" s="833">
        <v>222</v>
      </c>
      <c r="P21" s="833">
        <v>287</v>
      </c>
      <c r="Q21" s="833">
        <v>178</v>
      </c>
      <c r="R21" s="833">
        <v>130</v>
      </c>
      <c r="S21" s="833">
        <v>164</v>
      </c>
      <c r="T21" s="833">
        <v>258</v>
      </c>
      <c r="U21" s="833">
        <v>278</v>
      </c>
      <c r="V21" s="824">
        <v>0</v>
      </c>
      <c r="W21" s="825">
        <v>0</v>
      </c>
      <c r="X21" s="825">
        <v>0.34843205574912894</v>
      </c>
      <c r="Y21" s="825">
        <v>3.3707865168539324</v>
      </c>
      <c r="Z21" s="825">
        <v>1.5384615384615385</v>
      </c>
      <c r="AA21" s="825">
        <v>12.804878048780488</v>
      </c>
      <c r="AB21" s="909">
        <v>8.9147286821705425</v>
      </c>
      <c r="AC21" s="826">
        <v>8.6330935251798557</v>
      </c>
      <c r="AD21" s="525">
        <f t="shared" si="2"/>
        <v>7.7519379844961094</v>
      </c>
      <c r="AE21" s="209" t="s">
        <v>33</v>
      </c>
    </row>
    <row r="22" spans="2:31" ht="12.75" customHeight="1">
      <c r="B22" s="585" t="s">
        <v>34</v>
      </c>
      <c r="C22" s="830">
        <v>339</v>
      </c>
      <c r="D22" s="831">
        <v>432</v>
      </c>
      <c r="E22" s="831">
        <v>279</v>
      </c>
      <c r="F22" s="831">
        <v>227</v>
      </c>
      <c r="G22" s="831">
        <v>194</v>
      </c>
      <c r="H22" s="831">
        <v>113</v>
      </c>
      <c r="I22" s="831">
        <v>94</v>
      </c>
      <c r="J22" s="831">
        <v>109</v>
      </c>
      <c r="K22" s="835">
        <v>145</v>
      </c>
      <c r="L22" s="831">
        <v>180</v>
      </c>
      <c r="M22" s="831">
        <v>272</v>
      </c>
      <c r="N22" s="831">
        <v>200</v>
      </c>
      <c r="O22" s="831">
        <v>250</v>
      </c>
      <c r="P22" s="831">
        <v>373</v>
      </c>
      <c r="Q22" s="831">
        <v>668</v>
      </c>
      <c r="R22" s="831">
        <v>374</v>
      </c>
      <c r="S22" s="831">
        <v>316</v>
      </c>
      <c r="T22" s="831">
        <v>146</v>
      </c>
      <c r="U22" s="831">
        <v>112</v>
      </c>
      <c r="V22" s="823">
        <v>0</v>
      </c>
      <c r="W22" s="470">
        <v>1.0752688172043012</v>
      </c>
      <c r="X22" s="470">
        <v>0.46783625730994155</v>
      </c>
      <c r="Y22" s="470">
        <v>0.47619047619047622</v>
      </c>
      <c r="Z22" s="470">
        <v>5.5389221556886223</v>
      </c>
      <c r="AA22" s="470">
        <v>0.949367088607595</v>
      </c>
      <c r="AB22" s="865">
        <v>2.054794520547945</v>
      </c>
      <c r="AC22" s="819">
        <v>37.5</v>
      </c>
      <c r="AD22" s="640">
        <f t="shared" si="2"/>
        <v>-23.287671232876718</v>
      </c>
      <c r="AE22" s="641" t="s">
        <v>34</v>
      </c>
    </row>
    <row r="23" spans="2:31" ht="12.75" customHeight="1">
      <c r="B23" s="119" t="s">
        <v>51</v>
      </c>
      <c r="C23" s="832">
        <v>126</v>
      </c>
      <c r="D23" s="833">
        <v>158</v>
      </c>
      <c r="E23" s="833">
        <v>168</v>
      </c>
      <c r="F23" s="833">
        <v>176</v>
      </c>
      <c r="G23" s="833">
        <v>225</v>
      </c>
      <c r="H23" s="833">
        <v>209</v>
      </c>
      <c r="I23" s="833">
        <v>174</v>
      </c>
      <c r="J23" s="833">
        <v>188</v>
      </c>
      <c r="K23" s="836">
        <v>159</v>
      </c>
      <c r="L23" s="833">
        <v>171</v>
      </c>
      <c r="M23" s="833">
        <v>159</v>
      </c>
      <c r="N23" s="833">
        <v>251</v>
      </c>
      <c r="O23" s="833">
        <v>205</v>
      </c>
      <c r="P23" s="833">
        <v>239</v>
      </c>
      <c r="Q23" s="833">
        <v>218</v>
      </c>
      <c r="R23" s="833">
        <v>273</v>
      </c>
      <c r="S23" s="833">
        <v>214</v>
      </c>
      <c r="T23" s="833">
        <v>167</v>
      </c>
      <c r="U23" s="833">
        <v>301</v>
      </c>
      <c r="V23" s="824">
        <v>0</v>
      </c>
      <c r="W23" s="825">
        <v>0.48780487804878048</v>
      </c>
      <c r="X23" s="825">
        <v>3.3472803347280333</v>
      </c>
      <c r="Y23" s="825">
        <v>8.2568807339449553</v>
      </c>
      <c r="Z23" s="825">
        <v>22.614840989399294</v>
      </c>
      <c r="AA23" s="825">
        <v>10.747663551401869</v>
      </c>
      <c r="AB23" s="909">
        <v>17.365269461077844</v>
      </c>
      <c r="AC23" s="826">
        <v>51.245551601423486</v>
      </c>
      <c r="AD23" s="525">
        <f t="shared" si="2"/>
        <v>80.23952095808383</v>
      </c>
      <c r="AE23" s="209" t="s">
        <v>51</v>
      </c>
    </row>
    <row r="24" spans="2:31">
      <c r="B24" s="585" t="s">
        <v>32</v>
      </c>
      <c r="C24" s="830"/>
      <c r="D24" s="831">
        <v>600</v>
      </c>
      <c r="E24" s="831">
        <v>814</v>
      </c>
      <c r="F24" s="831">
        <v>734</v>
      </c>
      <c r="G24" s="831">
        <v>0</v>
      </c>
      <c r="H24" s="831">
        <v>0</v>
      </c>
      <c r="I24" s="831">
        <v>280</v>
      </c>
      <c r="J24" s="831">
        <v>152</v>
      </c>
      <c r="K24" s="835">
        <v>50</v>
      </c>
      <c r="L24" s="831">
        <v>485</v>
      </c>
      <c r="M24" s="831">
        <v>524</v>
      </c>
      <c r="N24" s="831">
        <v>625</v>
      </c>
      <c r="O24" s="831">
        <v>488</v>
      </c>
      <c r="P24" s="831">
        <v>713</v>
      </c>
      <c r="Q24" s="831">
        <v>761</v>
      </c>
      <c r="R24" s="831">
        <v>789</v>
      </c>
      <c r="S24" s="831">
        <v>700</v>
      </c>
      <c r="T24" s="831">
        <v>1086</v>
      </c>
      <c r="U24" s="831">
        <v>768</v>
      </c>
      <c r="V24" s="823">
        <v>3.2</v>
      </c>
      <c r="W24" s="470">
        <v>6.7622950819672134</v>
      </c>
      <c r="X24" s="470">
        <v>1.6830294530154277</v>
      </c>
      <c r="Y24" s="470">
        <v>0.13140604467805519</v>
      </c>
      <c r="Z24" s="470">
        <v>0</v>
      </c>
      <c r="AA24" s="470">
        <v>1.4285714285714286</v>
      </c>
      <c r="AB24" s="865">
        <v>4.3278084714548806</v>
      </c>
      <c r="AC24" s="819">
        <v>6.3675832127351661</v>
      </c>
      <c r="AD24" s="640">
        <f t="shared" si="2"/>
        <v>-29.281767955801115</v>
      </c>
      <c r="AE24" s="641" t="s">
        <v>32</v>
      </c>
    </row>
    <row r="25" spans="2:31" ht="12.75" customHeight="1">
      <c r="B25" s="119" t="s">
        <v>35</v>
      </c>
      <c r="C25" s="837">
        <v>21</v>
      </c>
      <c r="D25" s="838">
        <v>23</v>
      </c>
      <c r="E25" s="838">
        <v>10</v>
      </c>
      <c r="F25" s="838">
        <v>13</v>
      </c>
      <c r="G25" s="838">
        <v>22</v>
      </c>
      <c r="H25" s="838">
        <v>30</v>
      </c>
      <c r="I25" s="838">
        <v>23</v>
      </c>
      <c r="J25" s="838">
        <v>210</v>
      </c>
      <c r="K25" s="839">
        <v>19</v>
      </c>
      <c r="L25" s="838">
        <v>58</v>
      </c>
      <c r="M25" s="838">
        <v>122</v>
      </c>
      <c r="N25" s="854">
        <v>182</v>
      </c>
      <c r="O25" s="838">
        <v>65</v>
      </c>
      <c r="P25" s="833">
        <v>49</v>
      </c>
      <c r="Q25" s="833">
        <v>22</v>
      </c>
      <c r="R25" s="833">
        <v>75</v>
      </c>
      <c r="S25" s="833">
        <v>148</v>
      </c>
      <c r="T25" s="833">
        <v>87</v>
      </c>
      <c r="U25" s="833">
        <v>95</v>
      </c>
      <c r="V25" s="824">
        <v>0</v>
      </c>
      <c r="W25" s="825">
        <v>0</v>
      </c>
      <c r="X25" s="825">
        <v>0</v>
      </c>
      <c r="Y25" s="825">
        <v>0</v>
      </c>
      <c r="Z25" s="825">
        <v>0</v>
      </c>
      <c r="AA25" s="825">
        <v>0</v>
      </c>
      <c r="AB25" s="909">
        <v>6.8965517241379306</v>
      </c>
      <c r="AC25" s="826">
        <v>14.736842105263156</v>
      </c>
      <c r="AD25" s="525">
        <f t="shared" si="2"/>
        <v>9.1954022988505812</v>
      </c>
      <c r="AE25" s="209" t="s">
        <v>35</v>
      </c>
    </row>
    <row r="26" spans="2:31" ht="12.75" customHeight="1">
      <c r="B26" s="585" t="s">
        <v>43</v>
      </c>
      <c r="C26" s="830">
        <v>940</v>
      </c>
      <c r="D26" s="831">
        <v>1144</v>
      </c>
      <c r="E26" s="831">
        <v>796</v>
      </c>
      <c r="F26" s="831">
        <v>1158</v>
      </c>
      <c r="G26" s="831">
        <v>1211</v>
      </c>
      <c r="H26" s="831">
        <v>1162</v>
      </c>
      <c r="I26" s="831">
        <v>572</v>
      </c>
      <c r="J26" s="831">
        <v>229</v>
      </c>
      <c r="K26" s="835">
        <v>784</v>
      </c>
      <c r="L26" s="831">
        <v>596</v>
      </c>
      <c r="M26" s="831">
        <v>669</v>
      </c>
      <c r="N26" s="831">
        <v>344</v>
      </c>
      <c r="O26" s="831">
        <v>840</v>
      </c>
      <c r="P26" s="831">
        <v>887</v>
      </c>
      <c r="Q26" s="831">
        <v>562</v>
      </c>
      <c r="R26" s="831">
        <v>935</v>
      </c>
      <c r="S26" s="831">
        <v>643</v>
      </c>
      <c r="T26" s="831">
        <v>338</v>
      </c>
      <c r="U26" s="831">
        <v>237</v>
      </c>
      <c r="V26" s="823">
        <v>1.7441860465116279</v>
      </c>
      <c r="W26" s="470">
        <v>15.119047619047619</v>
      </c>
      <c r="X26" s="470">
        <v>11.950394588500563</v>
      </c>
      <c r="Y26" s="470">
        <v>27.758007117437721</v>
      </c>
      <c r="Z26" s="470">
        <v>40.106951871657756</v>
      </c>
      <c r="AA26" s="470">
        <v>69.362363919129081</v>
      </c>
      <c r="AB26" s="865">
        <v>54.73372781065089</v>
      </c>
      <c r="AC26" s="819">
        <v>45.991561181434598</v>
      </c>
      <c r="AD26" s="640">
        <f t="shared" si="2"/>
        <v>-29.881656804733723</v>
      </c>
      <c r="AE26" s="641" t="s">
        <v>43</v>
      </c>
    </row>
    <row r="27" spans="2:31" ht="12.75" customHeight="1">
      <c r="B27" s="119" t="s">
        <v>52</v>
      </c>
      <c r="C27" s="832">
        <v>929</v>
      </c>
      <c r="D27" s="833">
        <v>658</v>
      </c>
      <c r="E27" s="833">
        <v>827</v>
      </c>
      <c r="F27" s="833">
        <v>770</v>
      </c>
      <c r="G27" s="833">
        <v>950</v>
      </c>
      <c r="H27" s="833">
        <v>644</v>
      </c>
      <c r="I27" s="833">
        <v>709</v>
      </c>
      <c r="J27" s="833">
        <v>602</v>
      </c>
      <c r="K27" s="836">
        <v>732</v>
      </c>
      <c r="L27" s="833">
        <v>713</v>
      </c>
      <c r="M27" s="833">
        <v>900</v>
      </c>
      <c r="N27" s="833">
        <v>899</v>
      </c>
      <c r="O27" s="833">
        <v>1043</v>
      </c>
      <c r="P27" s="833">
        <v>1244</v>
      </c>
      <c r="Q27" s="833">
        <v>1125</v>
      </c>
      <c r="R27" s="833">
        <v>1163</v>
      </c>
      <c r="S27" s="833">
        <v>872</v>
      </c>
      <c r="T27" s="833">
        <v>887</v>
      </c>
      <c r="U27" s="833">
        <v>934</v>
      </c>
      <c r="V27" s="824">
        <v>1.3348164627363739</v>
      </c>
      <c r="W27" s="825">
        <v>2.109300095877277</v>
      </c>
      <c r="X27" s="825">
        <v>0.2411575562700965</v>
      </c>
      <c r="Y27" s="825">
        <v>1.5111111111111111</v>
      </c>
      <c r="Z27" s="825">
        <v>1.8916595012897677</v>
      </c>
      <c r="AA27" s="825">
        <v>1.6055045871559634</v>
      </c>
      <c r="AB27" s="909">
        <v>1.2401352874859075</v>
      </c>
      <c r="AC27" s="826">
        <v>2.7837259100642395</v>
      </c>
      <c r="AD27" s="525">
        <f t="shared" si="2"/>
        <v>5.2987598647125083</v>
      </c>
      <c r="AE27" s="209" t="s">
        <v>52</v>
      </c>
    </row>
    <row r="28" spans="2:31" ht="12.75" customHeight="1">
      <c r="B28" s="585" t="s">
        <v>36</v>
      </c>
      <c r="C28" s="830">
        <v>1840</v>
      </c>
      <c r="D28" s="831">
        <v>1504</v>
      </c>
      <c r="E28" s="831">
        <v>1500</v>
      </c>
      <c r="F28" s="831">
        <v>2351</v>
      </c>
      <c r="G28" s="831">
        <v>2890</v>
      </c>
      <c r="H28" s="831">
        <v>1818</v>
      </c>
      <c r="I28" s="831">
        <v>1897</v>
      </c>
      <c r="J28" s="831">
        <v>1554</v>
      </c>
      <c r="K28" s="835">
        <v>2065</v>
      </c>
      <c r="L28" s="831">
        <v>4937</v>
      </c>
      <c r="M28" s="831">
        <v>5319</v>
      </c>
      <c r="N28" s="831">
        <v>5886</v>
      </c>
      <c r="O28" s="831">
        <v>5562</v>
      </c>
      <c r="P28" s="831">
        <v>5438</v>
      </c>
      <c r="Q28" s="831">
        <v>4847</v>
      </c>
      <c r="R28" s="831">
        <v>3598</v>
      </c>
      <c r="S28" s="831">
        <v>1599</v>
      </c>
      <c r="T28" s="831">
        <v>4058</v>
      </c>
      <c r="U28" s="831">
        <v>1065</v>
      </c>
      <c r="V28" s="823">
        <v>0.96839959225280325</v>
      </c>
      <c r="W28" s="470">
        <v>0.4135203164329378</v>
      </c>
      <c r="X28" s="470">
        <v>2.5744759102611257</v>
      </c>
      <c r="Y28" s="470">
        <v>0.74769605286037211</v>
      </c>
      <c r="Z28" s="470">
        <v>1.1737089201877933</v>
      </c>
      <c r="AA28" s="470">
        <v>5.3202752779248286</v>
      </c>
      <c r="AB28" s="865">
        <v>5.3967471660916706</v>
      </c>
      <c r="AC28" s="819">
        <v>14.013840830449828</v>
      </c>
      <c r="AD28" s="640">
        <f t="shared" si="2"/>
        <v>-73.755544603252829</v>
      </c>
      <c r="AE28" s="641" t="s">
        <v>36</v>
      </c>
    </row>
    <row r="29" spans="2:31" ht="12.75" customHeight="1">
      <c r="B29" s="119" t="s">
        <v>53</v>
      </c>
      <c r="C29" s="832">
        <v>1034</v>
      </c>
      <c r="D29" s="833">
        <v>1026</v>
      </c>
      <c r="E29" s="833">
        <v>719</v>
      </c>
      <c r="F29" s="833">
        <v>727</v>
      </c>
      <c r="G29" s="833">
        <v>796</v>
      </c>
      <c r="H29" s="833">
        <v>629</v>
      </c>
      <c r="I29" s="833">
        <v>492</v>
      </c>
      <c r="J29" s="833">
        <v>338</v>
      </c>
      <c r="K29" s="836">
        <v>227</v>
      </c>
      <c r="L29" s="833">
        <v>234</v>
      </c>
      <c r="M29" s="833">
        <v>630</v>
      </c>
      <c r="N29" s="833">
        <v>690</v>
      </c>
      <c r="O29" s="833">
        <v>905</v>
      </c>
      <c r="P29" s="833">
        <v>459</v>
      </c>
      <c r="Q29" s="833">
        <v>643</v>
      </c>
      <c r="R29" s="833">
        <v>712</v>
      </c>
      <c r="S29" s="833">
        <v>464</v>
      </c>
      <c r="T29" s="833">
        <v>669</v>
      </c>
      <c r="U29" s="833">
        <v>1509</v>
      </c>
      <c r="V29" s="824">
        <v>0</v>
      </c>
      <c r="W29" s="825">
        <v>0</v>
      </c>
      <c r="X29" s="825">
        <v>0</v>
      </c>
      <c r="Y29" s="825">
        <v>0.62208398133748055</v>
      </c>
      <c r="Z29" s="825">
        <v>4.7752808988764039</v>
      </c>
      <c r="AA29" s="825">
        <v>5.1724137931034484</v>
      </c>
      <c r="AB29" s="909">
        <v>5.9790732436472345</v>
      </c>
      <c r="AC29" s="826">
        <v>0.21352313167259787</v>
      </c>
      <c r="AD29" s="525">
        <f t="shared" si="2"/>
        <v>125.56053811659194</v>
      </c>
      <c r="AE29" s="209" t="s">
        <v>53</v>
      </c>
    </row>
    <row r="30" spans="2:31" ht="12.75" customHeight="1">
      <c r="B30" s="585" t="s">
        <v>37</v>
      </c>
      <c r="C30" s="830"/>
      <c r="D30" s="831"/>
      <c r="E30" s="831">
        <v>2508</v>
      </c>
      <c r="F30" s="831">
        <v>2989</v>
      </c>
      <c r="G30" s="831">
        <v>4176</v>
      </c>
      <c r="H30" s="831">
        <v>1089</v>
      </c>
      <c r="I30" s="831">
        <v>822</v>
      </c>
      <c r="J30" s="831">
        <v>782</v>
      </c>
      <c r="K30" s="835">
        <v>741</v>
      </c>
      <c r="L30" s="831">
        <v>882</v>
      </c>
      <c r="M30" s="831">
        <v>1177</v>
      </c>
      <c r="N30" s="831">
        <v>2468</v>
      </c>
      <c r="O30" s="831">
        <v>1116</v>
      </c>
      <c r="P30" s="831">
        <v>1027</v>
      </c>
      <c r="Q30" s="831">
        <v>1323</v>
      </c>
      <c r="R30" s="831">
        <v>1953</v>
      </c>
      <c r="S30" s="831">
        <v>819</v>
      </c>
      <c r="T30" s="831">
        <v>717</v>
      </c>
      <c r="U30" s="831">
        <v>860</v>
      </c>
      <c r="V30" s="823">
        <v>8.1037277147487846E-2</v>
      </c>
      <c r="W30" s="470">
        <v>0.4480286738351254</v>
      </c>
      <c r="X30" s="470">
        <v>0.19474196689386564</v>
      </c>
      <c r="Y30" s="470">
        <v>1.8896447467876041</v>
      </c>
      <c r="Z30" s="470">
        <v>2.6113671274961598</v>
      </c>
      <c r="AA30" s="470">
        <v>4.8840048840048844</v>
      </c>
      <c r="AB30" s="865">
        <v>9.6234309623430967</v>
      </c>
      <c r="AC30" s="819">
        <v>51.567944250871079</v>
      </c>
      <c r="AD30" s="640">
        <f t="shared" si="2"/>
        <v>19.944211994421195</v>
      </c>
      <c r="AE30" s="641" t="s">
        <v>37</v>
      </c>
    </row>
    <row r="31" spans="2:31" ht="12.75" customHeight="1">
      <c r="B31" s="119" t="s">
        <v>39</v>
      </c>
      <c r="C31" s="832">
        <v>129</v>
      </c>
      <c r="D31" s="833">
        <v>114</v>
      </c>
      <c r="E31" s="833">
        <v>148</v>
      </c>
      <c r="F31" s="833">
        <v>149</v>
      </c>
      <c r="G31" s="833">
        <v>198</v>
      </c>
      <c r="H31" s="833">
        <v>135</v>
      </c>
      <c r="I31" s="833">
        <v>143</v>
      </c>
      <c r="J31" s="833">
        <v>123</v>
      </c>
      <c r="K31" s="836">
        <v>94</v>
      </c>
      <c r="L31" s="833">
        <v>154</v>
      </c>
      <c r="M31" s="833">
        <v>178</v>
      </c>
      <c r="N31" s="833">
        <v>171</v>
      </c>
      <c r="O31" s="833">
        <v>198</v>
      </c>
      <c r="P31" s="833">
        <v>191</v>
      </c>
      <c r="Q31" s="833">
        <v>181</v>
      </c>
      <c r="R31" s="833">
        <v>195</v>
      </c>
      <c r="S31" s="833">
        <v>64</v>
      </c>
      <c r="T31" s="833">
        <v>99</v>
      </c>
      <c r="U31" s="833">
        <v>149</v>
      </c>
      <c r="V31" s="824">
        <v>0</v>
      </c>
      <c r="W31" s="825">
        <v>0</v>
      </c>
      <c r="X31" s="825">
        <v>0</v>
      </c>
      <c r="Y31" s="825">
        <v>1.1049723756906076</v>
      </c>
      <c r="Z31" s="825">
        <v>2.5641025641025639</v>
      </c>
      <c r="AA31" s="825">
        <v>4.6875</v>
      </c>
      <c r="AB31" s="909">
        <v>0</v>
      </c>
      <c r="AC31" s="826">
        <v>2.0134228187919461</v>
      </c>
      <c r="AD31" s="525">
        <f t="shared" si="2"/>
        <v>50.505050505050491</v>
      </c>
      <c r="AE31" s="209" t="s">
        <v>39</v>
      </c>
    </row>
    <row r="32" spans="2:31" ht="12.75" customHeight="1">
      <c r="B32" s="585" t="s">
        <v>38</v>
      </c>
      <c r="C32" s="830">
        <v>256</v>
      </c>
      <c r="D32" s="831">
        <v>277</v>
      </c>
      <c r="E32" s="831">
        <v>520</v>
      </c>
      <c r="F32" s="831">
        <v>333</v>
      </c>
      <c r="G32" s="831">
        <v>596</v>
      </c>
      <c r="H32" s="831">
        <v>674</v>
      </c>
      <c r="I32" s="831">
        <v>428</v>
      </c>
      <c r="J32" s="831">
        <v>304</v>
      </c>
      <c r="K32" s="835">
        <v>279</v>
      </c>
      <c r="L32" s="831">
        <v>294</v>
      </c>
      <c r="M32" s="831">
        <v>453</v>
      </c>
      <c r="N32" s="831">
        <v>375</v>
      </c>
      <c r="O32" s="831">
        <v>368</v>
      </c>
      <c r="P32" s="831">
        <v>401</v>
      </c>
      <c r="Q32" s="831">
        <v>356</v>
      </c>
      <c r="R32" s="831">
        <v>308</v>
      </c>
      <c r="S32" s="831">
        <v>297</v>
      </c>
      <c r="T32" s="831">
        <v>533</v>
      </c>
      <c r="U32" s="831">
        <v>406</v>
      </c>
      <c r="V32" s="823">
        <v>0</v>
      </c>
      <c r="W32" s="470">
        <v>2.4456521739130435</v>
      </c>
      <c r="X32" s="470">
        <v>1.4962593516209477</v>
      </c>
      <c r="Y32" s="470">
        <v>5.0561797752808983</v>
      </c>
      <c r="Z32" s="470">
        <v>0</v>
      </c>
      <c r="AA32" s="470">
        <v>0.33670033670033667</v>
      </c>
      <c r="AB32" s="865">
        <v>0.18761726078799248</v>
      </c>
      <c r="AC32" s="819">
        <v>0.24630541871921183</v>
      </c>
      <c r="AD32" s="640">
        <f t="shared" si="2"/>
        <v>-23.827392120075046</v>
      </c>
      <c r="AE32" s="641" t="s">
        <v>38</v>
      </c>
    </row>
    <row r="33" spans="2:31" ht="12.75" customHeight="1">
      <c r="B33" s="43" t="s">
        <v>54</v>
      </c>
      <c r="C33" s="832">
        <v>509</v>
      </c>
      <c r="D33" s="833">
        <v>413</v>
      </c>
      <c r="E33" s="833">
        <v>438</v>
      </c>
      <c r="F33" s="833">
        <v>496</v>
      </c>
      <c r="G33" s="833">
        <v>603</v>
      </c>
      <c r="H33" s="833">
        <v>589</v>
      </c>
      <c r="I33" s="833">
        <v>519</v>
      </c>
      <c r="J33" s="833">
        <v>401</v>
      </c>
      <c r="K33" s="836">
        <v>539</v>
      </c>
      <c r="L33" s="833">
        <v>388</v>
      </c>
      <c r="M33" s="833">
        <v>691</v>
      </c>
      <c r="N33" s="833">
        <v>526</v>
      </c>
      <c r="O33" s="833">
        <v>586</v>
      </c>
      <c r="P33" s="833">
        <v>514</v>
      </c>
      <c r="Q33" s="834">
        <v>475</v>
      </c>
      <c r="R33" s="834">
        <v>593</v>
      </c>
      <c r="S33" s="833">
        <v>284</v>
      </c>
      <c r="T33" s="833">
        <v>382</v>
      </c>
      <c r="U33" s="833">
        <v>417</v>
      </c>
      <c r="V33" s="820">
        <v>0</v>
      </c>
      <c r="W33" s="821">
        <v>2.5597269624573378</v>
      </c>
      <c r="X33" s="821">
        <v>0.38910505836575876</v>
      </c>
      <c r="Y33" s="821">
        <v>0.42105263157894735</v>
      </c>
      <c r="Z33" s="821">
        <v>8.094435075885329</v>
      </c>
      <c r="AA33" s="821">
        <v>9.8591549295774641</v>
      </c>
      <c r="AB33" s="864">
        <v>50</v>
      </c>
      <c r="AC33" s="822">
        <v>66.906474820143885</v>
      </c>
      <c r="AD33" s="449">
        <f t="shared" si="2"/>
        <v>9.1623036649214527</v>
      </c>
      <c r="AE33" s="52" t="s">
        <v>54</v>
      </c>
    </row>
    <row r="34" spans="2:31" ht="12.75" customHeight="1">
      <c r="B34" s="592" t="s">
        <v>55</v>
      </c>
      <c r="C34" s="840">
        <v>1133</v>
      </c>
      <c r="D34" s="841">
        <v>1172</v>
      </c>
      <c r="E34" s="841">
        <v>1348</v>
      </c>
      <c r="F34" s="841">
        <v>991</v>
      </c>
      <c r="G34" s="841">
        <v>1210</v>
      </c>
      <c r="H34" s="841">
        <v>1176</v>
      </c>
      <c r="I34" s="841">
        <v>1657</v>
      </c>
      <c r="J34" s="841">
        <v>1630</v>
      </c>
      <c r="K34" s="842">
        <v>1518</v>
      </c>
      <c r="L34" s="841">
        <v>1323</v>
      </c>
      <c r="M34" s="841">
        <v>1414</v>
      </c>
      <c r="N34" s="841">
        <v>1423</v>
      </c>
      <c r="O34" s="841">
        <v>1382</v>
      </c>
      <c r="P34" s="841">
        <v>1373</v>
      </c>
      <c r="Q34" s="841">
        <v>1003</v>
      </c>
      <c r="R34" s="841">
        <v>1467</v>
      </c>
      <c r="S34" s="841">
        <v>1699</v>
      </c>
      <c r="T34" s="841">
        <v>751</v>
      </c>
      <c r="U34" s="841">
        <v>1266</v>
      </c>
      <c r="V34" s="827">
        <v>0.70274068868587491</v>
      </c>
      <c r="W34" s="828">
        <v>1.3748191027496381</v>
      </c>
      <c r="X34" s="828">
        <v>1.1653313911143481</v>
      </c>
      <c r="Y34" s="828">
        <v>4.6859421734795612</v>
      </c>
      <c r="Z34" s="828">
        <v>11.588275391956374</v>
      </c>
      <c r="AA34" s="828">
        <v>9.7115950559152431</v>
      </c>
      <c r="AB34" s="828">
        <v>24.101198402130493</v>
      </c>
      <c r="AC34" s="829">
        <v>20.458135860979461</v>
      </c>
      <c r="AD34" s="646">
        <f t="shared" si="2"/>
        <v>68.575233022636496</v>
      </c>
      <c r="AE34" s="647" t="s">
        <v>55</v>
      </c>
    </row>
    <row r="35" spans="2:31" ht="12.75" customHeight="1">
      <c r="B35" s="43" t="s">
        <v>26</v>
      </c>
      <c r="C35" s="832">
        <v>56</v>
      </c>
      <c r="D35" s="833">
        <v>106</v>
      </c>
      <c r="E35" s="833">
        <v>56</v>
      </c>
      <c r="F35" s="833">
        <v>46</v>
      </c>
      <c r="G35" s="833">
        <v>44</v>
      </c>
      <c r="H35" s="833">
        <v>8</v>
      </c>
      <c r="I35" s="833">
        <v>28</v>
      </c>
      <c r="J35" s="833">
        <v>34</v>
      </c>
      <c r="K35" s="833">
        <v>68</v>
      </c>
      <c r="L35" s="833">
        <v>74</v>
      </c>
      <c r="M35" s="833">
        <v>104</v>
      </c>
      <c r="N35" s="833">
        <v>110</v>
      </c>
      <c r="O35" s="843">
        <v>85</v>
      </c>
      <c r="P35" s="833">
        <v>272</v>
      </c>
      <c r="Q35" s="852">
        <v>180</v>
      </c>
      <c r="R35" s="852">
        <v>119</v>
      </c>
      <c r="S35" s="833">
        <v>44</v>
      </c>
      <c r="T35" s="833">
        <v>43</v>
      </c>
      <c r="U35" s="833">
        <v>25</v>
      </c>
      <c r="V35" s="820"/>
      <c r="W35" s="821"/>
      <c r="X35" s="821">
        <v>0.36764705882352938</v>
      </c>
      <c r="Y35" s="821">
        <v>7.7777777777777777</v>
      </c>
      <c r="Z35" s="821">
        <v>0</v>
      </c>
      <c r="AA35" s="821">
        <v>0</v>
      </c>
      <c r="AB35" s="864">
        <v>0</v>
      </c>
      <c r="AC35" s="822">
        <v>4</v>
      </c>
      <c r="AD35" s="449">
        <f t="shared" si="2"/>
        <v>-41.860465116279066</v>
      </c>
      <c r="AE35" s="52" t="s">
        <v>26</v>
      </c>
    </row>
    <row r="36" spans="2:31" ht="12.75" customHeight="1">
      <c r="B36" s="43" t="s">
        <v>65</v>
      </c>
      <c r="C36" s="832"/>
      <c r="D36" s="833"/>
      <c r="E36" s="833"/>
      <c r="F36" s="833"/>
      <c r="G36" s="833"/>
      <c r="H36" s="833"/>
      <c r="I36" s="833"/>
      <c r="J36" s="833"/>
      <c r="K36" s="833">
        <v>7</v>
      </c>
      <c r="L36" s="833">
        <v>3</v>
      </c>
      <c r="M36" s="833">
        <v>4</v>
      </c>
      <c r="N36" s="833">
        <v>8</v>
      </c>
      <c r="O36" s="833">
        <v>10</v>
      </c>
      <c r="P36" s="833">
        <v>4</v>
      </c>
      <c r="Q36" s="834">
        <v>6</v>
      </c>
      <c r="R36" s="834">
        <v>5</v>
      </c>
      <c r="S36" s="833">
        <v>2</v>
      </c>
      <c r="T36" s="833">
        <v>21</v>
      </c>
      <c r="U36" s="833">
        <v>5</v>
      </c>
      <c r="V36" s="820">
        <v>0</v>
      </c>
      <c r="W36" s="821">
        <v>0</v>
      </c>
      <c r="X36" s="821">
        <v>0</v>
      </c>
      <c r="Y36" s="821">
        <v>0</v>
      </c>
      <c r="Z36" s="821">
        <v>0</v>
      </c>
      <c r="AA36" s="821">
        <v>0</v>
      </c>
      <c r="AB36" s="864">
        <v>0</v>
      </c>
      <c r="AC36" s="822">
        <v>0</v>
      </c>
      <c r="AD36" s="449">
        <f t="shared" si="2"/>
        <v>-76.19047619047619</v>
      </c>
      <c r="AE36" s="52" t="s">
        <v>65</v>
      </c>
    </row>
    <row r="37" spans="2:31" ht="12.75" customHeight="1">
      <c r="B37" s="585" t="s">
        <v>56</v>
      </c>
      <c r="C37" s="830">
        <v>937</v>
      </c>
      <c r="D37" s="831">
        <v>1168</v>
      </c>
      <c r="E37" s="831">
        <v>843</v>
      </c>
      <c r="F37" s="831">
        <v>1138</v>
      </c>
      <c r="G37" s="831">
        <v>1232</v>
      </c>
      <c r="H37" s="831">
        <v>1160</v>
      </c>
      <c r="I37" s="831">
        <v>1482</v>
      </c>
      <c r="J37" s="831">
        <v>1345</v>
      </c>
      <c r="K37" s="835">
        <v>1231</v>
      </c>
      <c r="L37" s="831">
        <v>1316</v>
      </c>
      <c r="M37" s="831">
        <v>1094</v>
      </c>
      <c r="N37" s="831">
        <v>1111</v>
      </c>
      <c r="O37" s="831">
        <v>1483</v>
      </c>
      <c r="P37" s="831">
        <v>1293</v>
      </c>
      <c r="Q37" s="831">
        <v>1099</v>
      </c>
      <c r="R37" s="831">
        <v>2387</v>
      </c>
      <c r="S37" s="831">
        <v>1441</v>
      </c>
      <c r="T37" s="831">
        <v>1118</v>
      </c>
      <c r="U37" s="831">
        <v>607</v>
      </c>
      <c r="V37" s="823">
        <v>0</v>
      </c>
      <c r="W37" s="470">
        <v>0.87660148347943356</v>
      </c>
      <c r="X37" s="470">
        <v>1.8561484918793503</v>
      </c>
      <c r="Y37" s="470">
        <v>3.7306642402183803</v>
      </c>
      <c r="Z37" s="470">
        <v>9.6355257645580235</v>
      </c>
      <c r="AA37" s="470">
        <v>19.430950728660655</v>
      </c>
      <c r="AB37" s="865">
        <v>9.1234347048300535</v>
      </c>
      <c r="AC37" s="819">
        <v>43.572621035058425</v>
      </c>
      <c r="AD37" s="640">
        <f t="shared" si="2"/>
        <v>-45.70661896243292</v>
      </c>
      <c r="AE37" s="641" t="s">
        <v>56</v>
      </c>
    </row>
    <row r="38" spans="2:31" ht="12.75" customHeight="1">
      <c r="B38" s="565" t="s">
        <v>27</v>
      </c>
      <c r="C38" s="844">
        <v>1375</v>
      </c>
      <c r="D38" s="845">
        <v>1323</v>
      </c>
      <c r="E38" s="845">
        <v>1076</v>
      </c>
      <c r="F38" s="845">
        <v>938</v>
      </c>
      <c r="G38" s="845">
        <v>1351</v>
      </c>
      <c r="H38" s="845">
        <v>1123</v>
      </c>
      <c r="I38" s="845">
        <v>940</v>
      </c>
      <c r="J38" s="845">
        <v>937</v>
      </c>
      <c r="K38" s="857">
        <v>938</v>
      </c>
      <c r="L38" s="845">
        <v>939</v>
      </c>
      <c r="M38" s="845">
        <v>847</v>
      </c>
      <c r="N38" s="845">
        <v>1153</v>
      </c>
      <c r="O38" s="845">
        <v>878</v>
      </c>
      <c r="P38" s="845">
        <v>859</v>
      </c>
      <c r="Q38" s="853">
        <v>830</v>
      </c>
      <c r="R38" s="853">
        <v>787</v>
      </c>
      <c r="S38" s="845">
        <v>797</v>
      </c>
      <c r="T38" s="845">
        <v>818</v>
      </c>
      <c r="U38" s="845">
        <v>619</v>
      </c>
      <c r="V38" s="1041">
        <v>0</v>
      </c>
      <c r="W38" s="1042">
        <v>0.56433408577878108</v>
      </c>
      <c r="X38" s="1042">
        <v>0</v>
      </c>
      <c r="Y38" s="1042">
        <v>1.1764705882352942</v>
      </c>
      <c r="Z38" s="1042">
        <v>0</v>
      </c>
      <c r="AA38" s="1042">
        <v>0</v>
      </c>
      <c r="AB38" s="1042">
        <v>4.5949214026602174</v>
      </c>
      <c r="AC38" s="1043">
        <v>18.73990306946688</v>
      </c>
      <c r="AD38" s="1223">
        <f t="shared" si="2"/>
        <v>-24.327628361858189</v>
      </c>
      <c r="AE38" s="566" t="s">
        <v>27</v>
      </c>
    </row>
    <row r="39" spans="2:31" ht="15" customHeight="1">
      <c r="B39" s="858" t="s">
        <v>352</v>
      </c>
      <c r="C39" s="858"/>
      <c r="D39" s="858"/>
      <c r="E39" s="858"/>
      <c r="F39" s="858"/>
      <c r="G39" s="858"/>
      <c r="H39" s="858"/>
      <c r="I39" s="858"/>
      <c r="J39" s="858"/>
      <c r="K39" s="858"/>
      <c r="L39" s="858"/>
      <c r="M39" s="858"/>
      <c r="N39" s="858"/>
      <c r="O39" s="858"/>
      <c r="P39" s="858"/>
      <c r="Q39" s="858"/>
      <c r="R39" s="858"/>
    </row>
    <row r="40" spans="2:31" ht="12.75" customHeight="1">
      <c r="B40" s="138" t="s">
        <v>290</v>
      </c>
    </row>
    <row r="41" spans="2:31" ht="11.25" customHeight="1">
      <c r="B41" s="849" t="s">
        <v>336</v>
      </c>
      <c r="AA41" s="400"/>
    </row>
    <row r="42" spans="2:31">
      <c r="AA42" s="400"/>
    </row>
    <row r="44" spans="2:31">
      <c r="T44" s="69"/>
      <c r="U44" s="69"/>
    </row>
    <row r="45" spans="2:31" ht="15">
      <c r="T45" s="69"/>
      <c r="U45" s="69"/>
      <c r="V45" s="863"/>
      <c r="W45" s="863"/>
      <c r="X45" s="863"/>
      <c r="Y45" s="863"/>
      <c r="Z45" s="863"/>
      <c r="AA45" s="863"/>
      <c r="AB45" s="863"/>
      <c r="AC45" s="863"/>
      <c r="AD45" s="863"/>
      <c r="AE45" s="863"/>
    </row>
    <row r="46" spans="2:31">
      <c r="T46" s="69"/>
      <c r="U46" s="69"/>
    </row>
    <row r="47" spans="2:31">
      <c r="T47" s="69"/>
      <c r="U47" s="69"/>
    </row>
    <row r="48" spans="2:31">
      <c r="T48" s="69"/>
      <c r="U48" s="69"/>
    </row>
  </sheetData>
  <mergeCells count="6">
    <mergeCell ref="B2:AE2"/>
    <mergeCell ref="B3:AE3"/>
    <mergeCell ref="AD4:AD6"/>
    <mergeCell ref="C4:U4"/>
    <mergeCell ref="V4:AB5"/>
    <mergeCell ref="G5:J5"/>
  </mergeCells>
  <phoneticPr fontId="9" type="noConversion"/>
  <printOptions horizontalCentered="1"/>
  <pageMargins left="0.6692913385826772" right="0.6692913385826772" top="0.38" bottom="0.16" header="0" footer="0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79">
    <pageSetUpPr fitToPage="1"/>
  </sheetPr>
  <dimension ref="A1:AB48"/>
  <sheetViews>
    <sheetView zoomScaleNormal="100" workbookViewId="0">
      <selection activeCell="AD17" sqref="AD17"/>
    </sheetView>
  </sheetViews>
  <sheetFormatPr defaultRowHeight="12.75"/>
  <cols>
    <col min="1" max="1" width="3.7109375" customWidth="1"/>
    <col min="2" max="2" width="5.28515625" style="5" customWidth="1"/>
    <col min="3" max="3" width="7.5703125" style="5" customWidth="1"/>
    <col min="4" max="9" width="8.7109375" style="5" customWidth="1"/>
    <col min="10" max="10" width="10.5703125" style="5" customWidth="1"/>
    <col min="11" max="15" width="8.7109375" style="5" customWidth="1"/>
    <col min="16" max="22" width="8.7109375" style="144" customWidth="1"/>
    <col min="23" max="26" width="7.5703125" style="144" customWidth="1"/>
    <col min="27" max="27" width="5.5703125" style="605" customWidth="1"/>
    <col min="28" max="28" width="6.5703125" customWidth="1"/>
  </cols>
  <sheetData>
    <row r="1" spans="1:28" ht="15.75" customHeight="1">
      <c r="B1" s="141"/>
      <c r="C1" s="141"/>
      <c r="D1" s="141"/>
      <c r="E1" s="141"/>
      <c r="F1" s="141"/>
      <c r="J1" s="611"/>
      <c r="K1" s="611"/>
      <c r="L1" s="611"/>
      <c r="M1" s="611"/>
      <c r="N1" s="611"/>
      <c r="O1" s="611"/>
      <c r="P1" s="142"/>
      <c r="Q1" s="142"/>
      <c r="R1" s="142"/>
      <c r="AB1" s="27" t="s">
        <v>110</v>
      </c>
    </row>
    <row r="2" spans="1:28" s="615" customFormat="1" ht="30" customHeight="1">
      <c r="B2" s="1352" t="s">
        <v>73</v>
      </c>
      <c r="C2" s="1352"/>
      <c r="D2" s="1352"/>
      <c r="E2" s="1352"/>
      <c r="F2" s="1352"/>
      <c r="G2" s="1352"/>
      <c r="H2" s="1352"/>
      <c r="I2" s="1352"/>
      <c r="J2" s="1352"/>
      <c r="K2" s="1352"/>
      <c r="L2" s="1352"/>
      <c r="M2" s="1352"/>
      <c r="N2" s="1352"/>
      <c r="O2" s="1352"/>
      <c r="P2" s="1352"/>
      <c r="Q2" s="1352"/>
      <c r="R2" s="1352"/>
      <c r="S2" s="1352"/>
      <c r="T2" s="1352"/>
      <c r="U2" s="1352"/>
      <c r="V2" s="1352"/>
      <c r="W2" s="1352"/>
      <c r="X2" s="1352"/>
      <c r="Y2" s="1352"/>
      <c r="Z2" s="1352"/>
      <c r="AA2" s="1352"/>
      <c r="AB2" s="1352"/>
    </row>
    <row r="3" spans="1:28" ht="15" customHeight="1">
      <c r="B3" s="1316" t="s">
        <v>147</v>
      </c>
      <c r="C3" s="1316"/>
      <c r="D3" s="1316"/>
      <c r="E3" s="1316"/>
      <c r="F3" s="1316"/>
      <c r="G3" s="1316"/>
      <c r="H3" s="1316"/>
      <c r="I3" s="1316"/>
      <c r="J3" s="1316"/>
      <c r="K3" s="1316"/>
      <c r="L3" s="1316"/>
      <c r="M3" s="1316"/>
      <c r="N3" s="1316"/>
      <c r="O3" s="1316"/>
      <c r="P3" s="1316"/>
      <c r="Q3" s="1316"/>
      <c r="R3" s="1316"/>
      <c r="S3" s="1316"/>
      <c r="T3" s="1316"/>
      <c r="U3" s="1316"/>
      <c r="V3" s="1316"/>
      <c r="W3" s="1316"/>
      <c r="X3" s="1316"/>
      <c r="Y3" s="1316"/>
      <c r="Z3" s="1316"/>
      <c r="AA3" s="1316"/>
      <c r="AB3" s="1316"/>
    </row>
    <row r="4" spans="1:28" ht="12.75" customHeight="1">
      <c r="L4" s="617"/>
      <c r="M4" s="617"/>
      <c r="N4" s="617"/>
      <c r="O4" s="617"/>
      <c r="Q4" s="618"/>
      <c r="R4" s="618"/>
      <c r="T4" s="619"/>
      <c r="X4" s="619"/>
      <c r="Y4" s="792" t="s">
        <v>1</v>
      </c>
      <c r="Z4" s="792"/>
      <c r="AA4" s="792"/>
    </row>
    <row r="5" spans="1:28" ht="34.5" customHeight="1">
      <c r="C5" s="45">
        <v>1995</v>
      </c>
      <c r="D5" s="46">
        <v>2000</v>
      </c>
      <c r="E5" s="46">
        <v>2001</v>
      </c>
      <c r="F5" s="46">
        <v>2002</v>
      </c>
      <c r="G5" s="46">
        <v>2003</v>
      </c>
      <c r="H5" s="46">
        <v>2004</v>
      </c>
      <c r="I5" s="46">
        <v>2005</v>
      </c>
      <c r="J5" s="46">
        <v>2006</v>
      </c>
      <c r="K5" s="46">
        <v>2007</v>
      </c>
      <c r="L5" s="46">
        <v>2008</v>
      </c>
      <c r="M5" s="46">
        <v>2009</v>
      </c>
      <c r="N5" s="46">
        <v>2010</v>
      </c>
      <c r="O5" s="46">
        <v>2011</v>
      </c>
      <c r="P5" s="46">
        <v>2012</v>
      </c>
      <c r="Q5" s="46">
        <v>2013</v>
      </c>
      <c r="R5" s="46">
        <v>2014</v>
      </c>
      <c r="S5" s="46">
        <v>2015</v>
      </c>
      <c r="T5" s="46">
        <v>2016</v>
      </c>
      <c r="U5" s="46">
        <v>2017</v>
      </c>
      <c r="V5" s="46">
        <v>2018</v>
      </c>
      <c r="W5" s="46">
        <v>2019</v>
      </c>
      <c r="X5" s="46">
        <v>2020</v>
      </c>
      <c r="Y5" s="46">
        <v>2021</v>
      </c>
      <c r="Z5" s="46">
        <v>2022</v>
      </c>
      <c r="AA5" s="365" t="s">
        <v>351</v>
      </c>
      <c r="AB5" s="580"/>
    </row>
    <row r="6" spans="1:28" ht="16.5" customHeight="1">
      <c r="B6" s="118" t="s">
        <v>238</v>
      </c>
      <c r="C6" s="284"/>
      <c r="D6" s="250"/>
      <c r="E6" s="250"/>
      <c r="F6" s="250"/>
      <c r="G6" s="249"/>
      <c r="H6" s="249">
        <v>1128.078794</v>
      </c>
      <c r="I6" s="249">
        <v>1229.0150000000001</v>
      </c>
      <c r="J6" s="249">
        <v>1361.3220000000001</v>
      </c>
      <c r="K6" s="249">
        <v>1415.2079999999999</v>
      </c>
      <c r="L6" s="249">
        <v>1313.0810000000004</v>
      </c>
      <c r="M6" s="249">
        <v>1147.6110000000003</v>
      </c>
      <c r="N6" s="249">
        <v>999.95800000000008</v>
      </c>
      <c r="O6" s="249">
        <v>864.32</v>
      </c>
      <c r="P6" s="249">
        <v>760.38699999999994</v>
      </c>
      <c r="Q6" s="249">
        <v>674.15607263505012</v>
      </c>
      <c r="R6" s="249">
        <v>726.25940139809165</v>
      </c>
      <c r="S6" s="249">
        <v>798.827</v>
      </c>
      <c r="T6" s="249">
        <v>908.00000000000023</v>
      </c>
      <c r="U6" s="249">
        <v>828.64300000000003</v>
      </c>
      <c r="V6" s="249">
        <v>916.77800000000013</v>
      </c>
      <c r="W6" s="249">
        <v>996.78000000000009</v>
      </c>
      <c r="X6" s="398">
        <v>1019.9760000000001</v>
      </c>
      <c r="Y6" s="398">
        <v>1091.8629628458923</v>
      </c>
      <c r="Z6" s="398">
        <v>1114.7069589118414</v>
      </c>
      <c r="AA6" s="371">
        <v>2.0922035862822099</v>
      </c>
      <c r="AB6" s="345" t="s">
        <v>238</v>
      </c>
    </row>
    <row r="7" spans="1:28" ht="12.75" customHeight="1">
      <c r="B7" s="582" t="s">
        <v>45</v>
      </c>
      <c r="C7" s="620"/>
      <c r="D7" s="621">
        <v>25.318999999999999</v>
      </c>
      <c r="E7" s="621">
        <v>21.228999999999999</v>
      </c>
      <c r="F7" s="621">
        <v>21.503</v>
      </c>
      <c r="G7" s="621">
        <v>22.224</v>
      </c>
      <c r="H7" s="621">
        <v>25.055</v>
      </c>
      <c r="I7" s="621">
        <v>24.954999999999998</v>
      </c>
      <c r="J7" s="621">
        <v>27.268999999999998</v>
      </c>
      <c r="K7" s="621">
        <v>30.131</v>
      </c>
      <c r="L7" s="621">
        <v>26.393000000000001</v>
      </c>
      <c r="M7" s="621">
        <v>26.422999999999998</v>
      </c>
      <c r="N7" s="621">
        <v>26.428999999999998</v>
      </c>
      <c r="O7" s="621">
        <v>25.047000000000001</v>
      </c>
      <c r="P7" s="621">
        <v>23.428000000000001</v>
      </c>
      <c r="Q7" s="621">
        <v>20.643999999999998</v>
      </c>
      <c r="R7" s="621">
        <v>20.681000000000001</v>
      </c>
      <c r="S7" s="621">
        <v>21.577000000000002</v>
      </c>
      <c r="T7" s="621">
        <v>23.620999999999999</v>
      </c>
      <c r="U7" s="621">
        <v>21.39</v>
      </c>
      <c r="V7" s="621">
        <v>23.931999999999999</v>
      </c>
      <c r="W7" s="621">
        <v>24.204999999999998</v>
      </c>
      <c r="X7" s="772">
        <v>25.106999999999999</v>
      </c>
      <c r="Y7" s="621">
        <v>24.722999999999999</v>
      </c>
      <c r="Z7" s="629">
        <v>24.099</v>
      </c>
      <c r="AA7" s="596">
        <v>-2.523965538162841</v>
      </c>
      <c r="AB7" s="585" t="s">
        <v>45</v>
      </c>
    </row>
    <row r="8" spans="1:28" ht="12.75" customHeight="1">
      <c r="B8" s="43" t="s">
        <v>28</v>
      </c>
      <c r="C8" s="252"/>
      <c r="D8" s="623">
        <v>1.1559999999999999</v>
      </c>
      <c r="E8" s="623">
        <v>1.526</v>
      </c>
      <c r="F8" s="623">
        <v>2.2610000000000001</v>
      </c>
      <c r="G8" s="623">
        <v>3.004</v>
      </c>
      <c r="H8" s="624">
        <v>1.794E-3</v>
      </c>
      <c r="I8" s="623">
        <v>0.58399999999999996</v>
      </c>
      <c r="J8" s="623">
        <v>0.71899999999999997</v>
      </c>
      <c r="K8" s="623">
        <v>1.288</v>
      </c>
      <c r="L8" s="623">
        <v>1.7649999999999999</v>
      </c>
      <c r="M8" s="623">
        <v>1.2130000000000001</v>
      </c>
      <c r="N8" s="623">
        <v>0.91200000000000003</v>
      </c>
      <c r="O8" s="623">
        <v>0.70799999999999996</v>
      </c>
      <c r="P8" s="623">
        <v>0.68300000000000005</v>
      </c>
      <c r="Q8" s="623">
        <v>0.56699999999999995</v>
      </c>
      <c r="R8" s="623">
        <v>0.63400000000000001</v>
      </c>
      <c r="S8" s="623">
        <v>0.75600000000000001</v>
      </c>
      <c r="T8" s="623">
        <v>0.76</v>
      </c>
      <c r="U8" s="623">
        <v>0.82899999999999996</v>
      </c>
      <c r="V8" s="623">
        <v>0.9</v>
      </c>
      <c r="W8" s="623">
        <v>0.97</v>
      </c>
      <c r="X8" s="253">
        <v>0.82199999999999995</v>
      </c>
      <c r="Y8" s="253">
        <v>1.1060000000000001</v>
      </c>
      <c r="Z8" s="268">
        <v>1.464</v>
      </c>
      <c r="AA8" s="182">
        <v>32.368896925858934</v>
      </c>
      <c r="AB8" s="43" t="s">
        <v>28</v>
      </c>
    </row>
    <row r="9" spans="1:28" ht="12.75" customHeight="1">
      <c r="B9" s="585" t="s">
        <v>30</v>
      </c>
      <c r="C9" s="625">
        <v>6.8760000000000003</v>
      </c>
      <c r="D9" s="626">
        <v>3.8650000000000002</v>
      </c>
      <c r="E9" s="626">
        <v>5.3079999999999998</v>
      </c>
      <c r="F9" s="626">
        <v>7.88</v>
      </c>
      <c r="G9" s="626">
        <v>5.9589999999999996</v>
      </c>
      <c r="H9" s="626">
        <v>7.2169999999999996</v>
      </c>
      <c r="I9" s="626">
        <v>7.5919999999999996</v>
      </c>
      <c r="J9" s="626">
        <v>8.423</v>
      </c>
      <c r="K9" s="626">
        <v>9.9849999999999994</v>
      </c>
      <c r="L9" s="626">
        <v>9.641</v>
      </c>
      <c r="M9" s="626">
        <v>7.2140000000000004</v>
      </c>
      <c r="N9" s="626">
        <v>5.4180000000000001</v>
      </c>
      <c r="O9" s="626">
        <v>6.056</v>
      </c>
      <c r="P9" s="626">
        <v>6.9749999999999996</v>
      </c>
      <c r="Q9" s="626">
        <v>6.9960726350499662</v>
      </c>
      <c r="R9" s="626">
        <v>12.441000000000001</v>
      </c>
      <c r="S9" s="626">
        <v>13.423999999999999</v>
      </c>
      <c r="T9" s="626">
        <v>14.086</v>
      </c>
      <c r="U9" s="626">
        <v>12.33</v>
      </c>
      <c r="V9" s="626">
        <v>13.943</v>
      </c>
      <c r="W9" s="626">
        <v>15.134</v>
      </c>
      <c r="X9" s="776">
        <v>17.399999999999999</v>
      </c>
      <c r="Y9" s="776">
        <v>17.806811999999997</v>
      </c>
      <c r="Z9" s="627">
        <v>18.717741549407112</v>
      </c>
      <c r="AA9" s="596">
        <v>5.1156240061787344</v>
      </c>
      <c r="AB9" s="585" t="s">
        <v>30</v>
      </c>
    </row>
    <row r="10" spans="1:28" ht="12.75" customHeight="1">
      <c r="A10" s="8"/>
      <c r="B10" s="43" t="s">
        <v>41</v>
      </c>
      <c r="C10" s="252">
        <v>2.2879999999999998</v>
      </c>
      <c r="D10" s="623">
        <v>3.3</v>
      </c>
      <c r="E10" s="623">
        <v>2.4159999999999999</v>
      </c>
      <c r="F10" s="623">
        <v>2.625</v>
      </c>
      <c r="G10" s="623">
        <v>2.8239999999999998</v>
      </c>
      <c r="H10" s="623">
        <v>3.6309999999999998</v>
      </c>
      <c r="I10" s="623">
        <v>5.7809999999999997</v>
      </c>
      <c r="J10" s="623">
        <v>7.5789999999999997</v>
      </c>
      <c r="K10" s="623">
        <v>9.7769999999999992</v>
      </c>
      <c r="L10" s="623">
        <v>6.69</v>
      </c>
      <c r="M10" s="623">
        <v>3.7429999999999999</v>
      </c>
      <c r="N10" s="628">
        <v>2.6389999999999998</v>
      </c>
      <c r="O10" s="623">
        <v>1.964</v>
      </c>
      <c r="P10" s="623">
        <v>1.71</v>
      </c>
      <c r="Q10" s="623">
        <v>1.5640000000000001</v>
      </c>
      <c r="R10" s="623">
        <v>1.94</v>
      </c>
      <c r="S10" s="623">
        <v>2.238</v>
      </c>
      <c r="T10" s="623">
        <v>2.9870000000000001</v>
      </c>
      <c r="U10" s="623">
        <v>2.8340000000000001</v>
      </c>
      <c r="V10" s="623">
        <v>3.4649999999999999</v>
      </c>
      <c r="W10" s="623">
        <v>3.2069999999999999</v>
      </c>
      <c r="X10" s="253">
        <v>3.6779999999999999</v>
      </c>
      <c r="Y10" s="253">
        <v>3.8140000000000001</v>
      </c>
      <c r="Z10" s="268">
        <v>3.1629999999999998</v>
      </c>
      <c r="AA10" s="182">
        <v>-17.068694284216051</v>
      </c>
      <c r="AB10" s="43" t="s">
        <v>41</v>
      </c>
    </row>
    <row r="11" spans="1:28" ht="12.75" customHeight="1">
      <c r="A11" s="8"/>
      <c r="B11" s="585" t="s">
        <v>46</v>
      </c>
      <c r="C11" s="625">
        <v>218.245</v>
      </c>
      <c r="D11" s="626">
        <v>252.61600000000001</v>
      </c>
      <c r="E11" s="626">
        <v>226.958</v>
      </c>
      <c r="F11" s="626">
        <v>204.12899999999999</v>
      </c>
      <c r="G11" s="626">
        <v>191.262</v>
      </c>
      <c r="H11" s="626">
        <v>173.524</v>
      </c>
      <c r="I11" s="626">
        <v>168.65199999999999</v>
      </c>
      <c r="J11" s="626">
        <v>165.84200000000001</v>
      </c>
      <c r="K11" s="626">
        <v>166.88300000000001</v>
      </c>
      <c r="L11" s="626">
        <v>166.28100000000001</v>
      </c>
      <c r="M11" s="626">
        <v>138.97900000000001</v>
      </c>
      <c r="N11" s="626">
        <v>122.29300000000001</v>
      </c>
      <c r="O11" s="626">
        <v>126.97499999999999</v>
      </c>
      <c r="P11" s="626">
        <v>127.497</v>
      </c>
      <c r="Q11" s="626">
        <v>129.60499999999999</v>
      </c>
      <c r="R11" s="626">
        <v>141.62299999999999</v>
      </c>
      <c r="S11" s="626">
        <v>151.661</v>
      </c>
      <c r="T11" s="626">
        <v>174.624</v>
      </c>
      <c r="U11" s="626">
        <v>140.667</v>
      </c>
      <c r="V11" s="626">
        <v>156.108</v>
      </c>
      <c r="W11" s="626">
        <v>166.67599999999999</v>
      </c>
      <c r="X11" s="772">
        <v>220.42599999999999</v>
      </c>
      <c r="Y11" s="772">
        <v>199.13200000000001</v>
      </c>
      <c r="Z11" s="629">
        <v>199.41</v>
      </c>
      <c r="AA11" s="596">
        <v>0.1396058895606842</v>
      </c>
      <c r="AB11" s="585" t="s">
        <v>46</v>
      </c>
    </row>
    <row r="12" spans="1:28" ht="12.75" customHeight="1">
      <c r="A12" s="8"/>
      <c r="B12" s="43" t="s">
        <v>31</v>
      </c>
      <c r="C12" s="252" t="s">
        <v>64</v>
      </c>
      <c r="D12" s="623">
        <v>5.2999999999999999E-2</v>
      </c>
      <c r="E12" s="623">
        <v>0.152</v>
      </c>
      <c r="F12" s="623">
        <v>0.17299999999999999</v>
      </c>
      <c r="G12" s="623">
        <v>0.185</v>
      </c>
      <c r="H12" s="623">
        <v>0.23100000000000001</v>
      </c>
      <c r="I12" s="623">
        <v>0.31900000000000001</v>
      </c>
      <c r="J12" s="623">
        <v>0.77100000000000002</v>
      </c>
      <c r="K12" s="623">
        <v>1.254</v>
      </c>
      <c r="L12" s="623">
        <v>1.1859999999999999</v>
      </c>
      <c r="M12" s="623">
        <v>0.46800000000000003</v>
      </c>
      <c r="N12" s="628">
        <v>0.46400000000000002</v>
      </c>
      <c r="O12" s="623">
        <v>0.29899999999999999</v>
      </c>
      <c r="P12" s="623">
        <v>0.36399999999999999</v>
      </c>
      <c r="Q12" s="623">
        <v>0.40899999999999997</v>
      </c>
      <c r="R12" s="623">
        <v>0.44900000000000001</v>
      </c>
      <c r="S12" s="623">
        <v>0.48899999999999999</v>
      </c>
      <c r="T12" s="623">
        <v>0.60899999999999999</v>
      </c>
      <c r="U12" s="623">
        <v>0.51100000000000001</v>
      </c>
      <c r="V12" s="623">
        <v>0.59499999999999997</v>
      </c>
      <c r="W12" s="623">
        <v>0.72099999999999997</v>
      </c>
      <c r="X12" s="253">
        <v>0.77200000000000002</v>
      </c>
      <c r="Y12" s="253">
        <v>0.93300000000000005</v>
      </c>
      <c r="Z12" s="268">
        <v>1.222</v>
      </c>
      <c r="AA12" s="182">
        <v>30.975348338692385</v>
      </c>
      <c r="AB12" s="43" t="s">
        <v>31</v>
      </c>
    </row>
    <row r="13" spans="1:28" ht="12.75" customHeight="1">
      <c r="A13" s="8"/>
      <c r="B13" s="585" t="s">
        <v>49</v>
      </c>
      <c r="C13" s="625"/>
      <c r="D13" s="626">
        <v>3.8479999999999999</v>
      </c>
      <c r="E13" s="626">
        <v>4.7050000000000001</v>
      </c>
      <c r="F13" s="626">
        <v>5.5960000000000001</v>
      </c>
      <c r="G13" s="626">
        <v>2.8530000000000002</v>
      </c>
      <c r="H13" s="626">
        <v>2.5339999999999998</v>
      </c>
      <c r="I13" s="626">
        <v>2.391</v>
      </c>
      <c r="J13" s="626">
        <v>2.508</v>
      </c>
      <c r="K13" s="626">
        <v>2.8820000000000001</v>
      </c>
      <c r="L13" s="626">
        <v>2.645</v>
      </c>
      <c r="M13" s="626">
        <v>1.4219999999999999</v>
      </c>
      <c r="N13" s="626">
        <v>1.1120000000000001</v>
      </c>
      <c r="O13" s="626">
        <v>0.83099999999999996</v>
      </c>
      <c r="P13" s="626">
        <v>0.66300000000000003</v>
      </c>
      <c r="Q13" s="626">
        <v>0.441</v>
      </c>
      <c r="R13" s="626">
        <v>0.36</v>
      </c>
      <c r="S13" s="626">
        <v>1.022</v>
      </c>
      <c r="T13" s="626">
        <v>1.47</v>
      </c>
      <c r="U13" s="626">
        <v>1.3109999999999999</v>
      </c>
      <c r="V13" s="626">
        <v>1.371</v>
      </c>
      <c r="W13" s="626">
        <v>1.718</v>
      </c>
      <c r="X13" s="772">
        <v>1.639</v>
      </c>
      <c r="Y13" s="772">
        <v>2.2770000000000001</v>
      </c>
      <c r="Z13" s="629">
        <v>2.7759999999999998</v>
      </c>
      <c r="AA13" s="596">
        <v>21.91480017566974</v>
      </c>
      <c r="AB13" s="585" t="s">
        <v>49</v>
      </c>
    </row>
    <row r="14" spans="1:28" ht="12.75" customHeight="1">
      <c r="A14" s="8"/>
      <c r="B14" s="43" t="s">
        <v>42</v>
      </c>
      <c r="C14" s="252"/>
      <c r="D14" s="623">
        <v>64.042000000000002</v>
      </c>
      <c r="E14" s="623">
        <v>66.832999999999998</v>
      </c>
      <c r="F14" s="623">
        <v>56.069000000000003</v>
      </c>
      <c r="G14" s="623">
        <v>59.137</v>
      </c>
      <c r="H14" s="623">
        <v>72.022999999999996</v>
      </c>
      <c r="I14" s="623">
        <v>83.078000000000003</v>
      </c>
      <c r="J14" s="623">
        <v>88.48</v>
      </c>
      <c r="K14" s="623">
        <v>100.458</v>
      </c>
      <c r="L14" s="623">
        <v>100.11799999999999</v>
      </c>
      <c r="M14" s="623">
        <v>69.245999999999995</v>
      </c>
      <c r="N14" s="628">
        <v>61.530999999999999</v>
      </c>
      <c r="O14" s="623">
        <v>44.7</v>
      </c>
      <c r="P14" s="254">
        <v>31.805</v>
      </c>
      <c r="Q14" s="623">
        <v>29.498000000000001</v>
      </c>
      <c r="R14" s="623">
        <v>31.922000000000001</v>
      </c>
      <c r="S14" s="623">
        <v>34.484999999999999</v>
      </c>
      <c r="T14" s="623">
        <v>41.485999999999997</v>
      </c>
      <c r="U14" s="623">
        <v>28.852</v>
      </c>
      <c r="V14" s="623">
        <v>33.377000000000002</v>
      </c>
      <c r="W14" s="623">
        <v>38.109000000000002</v>
      </c>
      <c r="X14" s="253">
        <v>35.463999999999999</v>
      </c>
      <c r="Y14" s="253">
        <v>44.436999999999998</v>
      </c>
      <c r="Z14" s="268">
        <v>55.661999999999999</v>
      </c>
      <c r="AA14" s="182">
        <v>25.260481130589383</v>
      </c>
      <c r="AB14" s="43" t="s">
        <v>42</v>
      </c>
    </row>
    <row r="15" spans="1:28" ht="12.75" customHeight="1">
      <c r="A15" s="8"/>
      <c r="B15" s="585" t="s">
        <v>47</v>
      </c>
      <c r="C15" s="625"/>
      <c r="D15" s="626">
        <v>72.022000000000006</v>
      </c>
      <c r="E15" s="626">
        <v>64.129000000000005</v>
      </c>
      <c r="F15" s="626">
        <v>63.365000000000002</v>
      </c>
      <c r="G15" s="626">
        <v>77.438999999999993</v>
      </c>
      <c r="H15" s="626">
        <v>123.143</v>
      </c>
      <c r="I15" s="626">
        <v>205.626</v>
      </c>
      <c r="J15" s="626">
        <v>258.35500000000002</v>
      </c>
      <c r="K15" s="626">
        <v>269.47899999999998</v>
      </c>
      <c r="L15" s="626">
        <v>209.941</v>
      </c>
      <c r="M15" s="626">
        <v>134.63999999999999</v>
      </c>
      <c r="N15" s="626">
        <v>134.297</v>
      </c>
      <c r="O15" s="626">
        <v>119.438</v>
      </c>
      <c r="P15" s="626">
        <v>97.944000000000003</v>
      </c>
      <c r="Q15" s="626">
        <v>92.409000000000006</v>
      </c>
      <c r="R15" s="626">
        <v>111.46299999999999</v>
      </c>
      <c r="S15" s="626">
        <v>132.53899999999999</v>
      </c>
      <c r="T15" s="626">
        <v>155.00399999999999</v>
      </c>
      <c r="U15" s="626">
        <v>136.18</v>
      </c>
      <c r="V15" s="626">
        <v>159.87200000000001</v>
      </c>
      <c r="W15" s="626">
        <v>177.03700000000001</v>
      </c>
      <c r="X15" s="772">
        <v>156.22300000000001</v>
      </c>
      <c r="Y15" s="772">
        <v>166.51599999999999</v>
      </c>
      <c r="Z15" s="629">
        <v>176.96100000000001</v>
      </c>
      <c r="AA15" s="596">
        <v>6.2726704941267002</v>
      </c>
      <c r="AB15" s="585" t="s">
        <v>47</v>
      </c>
    </row>
    <row r="16" spans="1:28" ht="12.75" customHeight="1">
      <c r="A16" s="8"/>
      <c r="B16" s="43" t="s">
        <v>48</v>
      </c>
      <c r="C16" s="252"/>
      <c r="D16" s="623">
        <v>179.55199999999999</v>
      </c>
      <c r="E16" s="623">
        <v>179.59</v>
      </c>
      <c r="F16" s="623">
        <v>168.75399999999999</v>
      </c>
      <c r="G16" s="623">
        <v>176.006</v>
      </c>
      <c r="H16" s="623">
        <v>183.81100000000001</v>
      </c>
      <c r="I16" s="623">
        <v>196.61799999999999</v>
      </c>
      <c r="J16" s="623">
        <v>229.364</v>
      </c>
      <c r="K16" s="623">
        <v>238.96600000000001</v>
      </c>
      <c r="L16" s="623">
        <v>237.59200000000001</v>
      </c>
      <c r="M16" s="623">
        <v>200.017</v>
      </c>
      <c r="N16" s="628">
        <v>231.59299999999999</v>
      </c>
      <c r="O16" s="623">
        <v>185.12200000000001</v>
      </c>
      <c r="P16" s="623">
        <v>169.64400000000001</v>
      </c>
      <c r="Q16" s="623">
        <v>147.91499999999999</v>
      </c>
      <c r="R16" s="623">
        <v>153.32400000000001</v>
      </c>
      <c r="S16" s="623">
        <v>153.24199999999999</v>
      </c>
      <c r="T16" s="623">
        <v>163.33500000000001</v>
      </c>
      <c r="U16" s="623">
        <v>162.80799999999999</v>
      </c>
      <c r="V16" s="623">
        <v>177.24700000000001</v>
      </c>
      <c r="W16" s="623">
        <v>197.47</v>
      </c>
      <c r="X16" s="253">
        <v>190.74199999999999</v>
      </c>
      <c r="Y16" s="253">
        <v>206.95500000000001</v>
      </c>
      <c r="Z16" s="268">
        <v>193.35599999999999</v>
      </c>
      <c r="AA16" s="182">
        <v>-6.5709936942813698</v>
      </c>
      <c r="AB16" s="43" t="s">
        <v>48</v>
      </c>
    </row>
    <row r="17" spans="1:28" ht="12.75" customHeight="1">
      <c r="A17" s="8"/>
      <c r="B17" s="585" t="s">
        <v>59</v>
      </c>
      <c r="C17" s="625"/>
      <c r="D17" s="626"/>
      <c r="E17" s="626"/>
      <c r="F17" s="626">
        <v>4.4829999999999997</v>
      </c>
      <c r="G17" s="626">
        <v>6.875</v>
      </c>
      <c r="H17" s="626">
        <v>6.6619999999999999</v>
      </c>
      <c r="I17" s="626">
        <v>6.7220000000000004</v>
      </c>
      <c r="J17" s="626">
        <v>7.7750000000000004</v>
      </c>
      <c r="K17" s="626">
        <v>8.9740000000000002</v>
      </c>
      <c r="L17" s="626">
        <v>8.8109999999999999</v>
      </c>
      <c r="M17" s="626">
        <v>4.7169999999999996</v>
      </c>
      <c r="N17" s="626">
        <v>2.851</v>
      </c>
      <c r="O17" s="626">
        <v>2.726</v>
      </c>
      <c r="P17" s="626">
        <v>2.3969999999999998</v>
      </c>
      <c r="Q17" s="630">
        <v>2.2450000000000001</v>
      </c>
      <c r="R17" s="626">
        <v>2.762</v>
      </c>
      <c r="S17" s="626">
        <v>2.9529999999999998</v>
      </c>
      <c r="T17" s="626">
        <v>3.74</v>
      </c>
      <c r="U17" s="626">
        <v>4.4359999999999999</v>
      </c>
      <c r="V17" s="626">
        <v>6.0570000000000004</v>
      </c>
      <c r="W17" s="626">
        <v>7.1639999999999997</v>
      </c>
      <c r="X17" s="776">
        <v>5.9710000000000001</v>
      </c>
      <c r="Y17" s="776">
        <v>2.1549999999999998</v>
      </c>
      <c r="Z17" s="627">
        <v>3.3250000000000002</v>
      </c>
      <c r="AA17" s="596">
        <v>54.292343387471021</v>
      </c>
      <c r="AB17" s="585" t="s">
        <v>59</v>
      </c>
    </row>
    <row r="18" spans="1:28" ht="12.75" customHeight="1">
      <c r="A18" s="8"/>
      <c r="B18" s="119" t="s">
        <v>50</v>
      </c>
      <c r="C18" s="259"/>
      <c r="D18" s="628">
        <v>524.61900000000003</v>
      </c>
      <c r="E18" s="628">
        <v>420.35500000000002</v>
      </c>
      <c r="F18" s="628">
        <v>392.76299999999998</v>
      </c>
      <c r="G18" s="628">
        <v>408.61700000000002</v>
      </c>
      <c r="H18" s="628">
        <v>421.48899999999998</v>
      </c>
      <c r="I18" s="628">
        <v>420.47800000000001</v>
      </c>
      <c r="J18" s="628">
        <v>444.98700000000002</v>
      </c>
      <c r="K18" s="628">
        <v>435.959</v>
      </c>
      <c r="L18" s="628">
        <v>408.24900000000002</v>
      </c>
      <c r="M18" s="628">
        <v>445.62099999999998</v>
      </c>
      <c r="N18" s="628">
        <v>306.30700000000002</v>
      </c>
      <c r="O18" s="628">
        <v>254.90600000000001</v>
      </c>
      <c r="P18" s="628">
        <v>206.303</v>
      </c>
      <c r="Q18" s="628">
        <v>154.1</v>
      </c>
      <c r="R18" s="628">
        <v>156.53899999999999</v>
      </c>
      <c r="S18" s="628">
        <v>172.066</v>
      </c>
      <c r="T18" s="628">
        <v>195.405</v>
      </c>
      <c r="U18" s="628">
        <v>204.57900000000001</v>
      </c>
      <c r="V18" s="628">
        <v>219.744</v>
      </c>
      <c r="W18" s="628">
        <v>231.71199999999999</v>
      </c>
      <c r="X18" s="260">
        <v>218.09299999999999</v>
      </c>
      <c r="Y18" s="260">
        <v>269.60000000000002</v>
      </c>
      <c r="Z18" s="269">
        <v>271.38299999999998</v>
      </c>
      <c r="AA18" s="206">
        <v>0.66135014836794426</v>
      </c>
      <c r="AB18" s="119" t="s">
        <v>50</v>
      </c>
    </row>
    <row r="19" spans="1:28" ht="12.75" customHeight="1">
      <c r="A19" s="8"/>
      <c r="B19" s="585" t="s">
        <v>29</v>
      </c>
      <c r="C19" s="625" t="s">
        <v>64</v>
      </c>
      <c r="D19" s="626"/>
      <c r="E19" s="626">
        <v>2.8340000000000001</v>
      </c>
      <c r="F19" s="626">
        <v>2.145</v>
      </c>
      <c r="G19" s="626">
        <v>1.8240000000000001</v>
      </c>
      <c r="H19" s="626">
        <v>2.2730000000000001</v>
      </c>
      <c r="I19" s="626">
        <v>2.4550000000000001</v>
      </c>
      <c r="J19" s="626">
        <v>2.9249999999999998</v>
      </c>
      <c r="K19" s="626">
        <v>3.71</v>
      </c>
      <c r="L19" s="626">
        <v>4.4589999999999996</v>
      </c>
      <c r="M19" s="626">
        <v>3.14</v>
      </c>
      <c r="N19" s="626">
        <v>3.06</v>
      </c>
      <c r="O19" s="626">
        <v>2.5270000000000001</v>
      </c>
      <c r="P19" s="626">
        <v>2.0739999999999998</v>
      </c>
      <c r="Q19" s="626">
        <v>1.675</v>
      </c>
      <c r="R19" s="626">
        <v>1.901</v>
      </c>
      <c r="S19" s="626">
        <v>1.673</v>
      </c>
      <c r="T19" s="626">
        <v>1.996</v>
      </c>
      <c r="U19" s="626">
        <v>2.0230000000000001</v>
      </c>
      <c r="V19" s="626">
        <v>2.3199999999999998</v>
      </c>
      <c r="W19" s="626">
        <v>1.9370000000000001</v>
      </c>
      <c r="X19" s="772">
        <v>2.5409999999999999</v>
      </c>
      <c r="Y19" s="772">
        <v>2.9390000000000001</v>
      </c>
      <c r="Z19" s="629">
        <v>2.3279999999999998</v>
      </c>
      <c r="AA19" s="596">
        <v>-20.789384144266762</v>
      </c>
      <c r="AB19" s="585" t="s">
        <v>29</v>
      </c>
    </row>
    <row r="20" spans="1:28" ht="12.75" customHeight="1">
      <c r="A20" s="8"/>
      <c r="B20" s="119" t="s">
        <v>33</v>
      </c>
      <c r="C20" s="259" t="s">
        <v>64</v>
      </c>
      <c r="D20" s="628" t="s">
        <v>64</v>
      </c>
      <c r="E20" s="628" t="s">
        <v>64</v>
      </c>
      <c r="F20" s="628">
        <v>0.216</v>
      </c>
      <c r="G20" s="628">
        <v>0.221</v>
      </c>
      <c r="H20" s="628">
        <v>0.373</v>
      </c>
      <c r="I20" s="628">
        <v>0.4</v>
      </c>
      <c r="J20" s="628">
        <v>0.77300000000000002</v>
      </c>
      <c r="K20" s="628">
        <v>1.53</v>
      </c>
      <c r="L20" s="628">
        <v>1.5680000000000001</v>
      </c>
      <c r="M20" s="628">
        <v>0.34799999999999998</v>
      </c>
      <c r="N20" s="628">
        <v>0.27800000000000002</v>
      </c>
      <c r="O20" s="628">
        <v>0.47199999999999998</v>
      </c>
      <c r="P20" s="628">
        <v>0.49399999999999999</v>
      </c>
      <c r="Q20" s="628">
        <v>0.47699999999999998</v>
      </c>
      <c r="R20" s="628">
        <v>0.58899999999999997</v>
      </c>
      <c r="S20" s="628">
        <v>0.59499999999999997</v>
      </c>
      <c r="T20" s="628">
        <v>0.64200000000000002</v>
      </c>
      <c r="U20" s="628">
        <v>0.624</v>
      </c>
      <c r="V20" s="628">
        <v>0.79100000000000004</v>
      </c>
      <c r="W20" s="628">
        <v>1.022</v>
      </c>
      <c r="X20" s="260">
        <v>1.0229999999999999</v>
      </c>
      <c r="Y20" s="260">
        <v>1.2250000000000001</v>
      </c>
      <c r="Z20" s="269">
        <v>1.411</v>
      </c>
      <c r="AA20" s="206">
        <v>15.183673469387756</v>
      </c>
      <c r="AB20" s="119" t="s">
        <v>33</v>
      </c>
    </row>
    <row r="21" spans="1:28" ht="12.75" customHeight="1">
      <c r="A21" s="8"/>
      <c r="B21" s="585" t="s">
        <v>34</v>
      </c>
      <c r="C21" s="625" t="s">
        <v>64</v>
      </c>
      <c r="D21" s="626">
        <v>0.377</v>
      </c>
      <c r="E21" s="626">
        <v>0.51600000000000001</v>
      </c>
      <c r="F21" s="626">
        <v>0.79300000000000004</v>
      </c>
      <c r="G21" s="626">
        <v>0.85799999999999998</v>
      </c>
      <c r="H21" s="626">
        <v>1.101</v>
      </c>
      <c r="I21" s="626">
        <v>1.653</v>
      </c>
      <c r="J21" s="626">
        <v>2.4569999999999999</v>
      </c>
      <c r="K21" s="626">
        <v>4.42</v>
      </c>
      <c r="L21" s="626">
        <v>5.6219999999999999</v>
      </c>
      <c r="M21" s="626">
        <v>3.89</v>
      </c>
      <c r="N21" s="630">
        <v>0.22900000000000001</v>
      </c>
      <c r="O21" s="626">
        <v>0.28000000000000003</v>
      </c>
      <c r="P21" s="626">
        <v>0.224</v>
      </c>
      <c r="Q21" s="626">
        <v>0.24099999999999999</v>
      </c>
      <c r="R21" s="626">
        <v>0.29399999999999998</v>
      </c>
      <c r="S21" s="626">
        <v>0.29399999999999998</v>
      </c>
      <c r="T21" s="626">
        <v>0.39</v>
      </c>
      <c r="U21" s="626">
        <v>0.36699999999999999</v>
      </c>
      <c r="V21" s="626">
        <v>0.41399999999999998</v>
      </c>
      <c r="W21" s="626">
        <v>0.55700000000000005</v>
      </c>
      <c r="X21" s="630">
        <v>0.7</v>
      </c>
      <c r="Y21" s="772">
        <v>1.105</v>
      </c>
      <c r="Z21" s="629">
        <v>1.579</v>
      </c>
      <c r="AA21" s="596">
        <v>42.895927601809944</v>
      </c>
      <c r="AB21" s="585" t="s">
        <v>34</v>
      </c>
    </row>
    <row r="22" spans="1:28" ht="12.75" customHeight="1">
      <c r="A22" s="8"/>
      <c r="B22" s="119" t="s">
        <v>51</v>
      </c>
      <c r="C22" s="259">
        <v>0.98499999999999999</v>
      </c>
      <c r="D22" s="628">
        <v>1.26</v>
      </c>
      <c r="E22" s="628">
        <v>1.139</v>
      </c>
      <c r="F22" s="628">
        <v>1.3240000000000001</v>
      </c>
      <c r="G22" s="628">
        <v>1.4370000000000001</v>
      </c>
      <c r="H22" s="628">
        <v>1.3540000000000001</v>
      </c>
      <c r="I22" s="628">
        <v>1.2649999999999999</v>
      </c>
      <c r="J22" s="628">
        <v>1.3779999999999999</v>
      </c>
      <c r="K22" s="628">
        <v>1.417</v>
      </c>
      <c r="L22" s="628">
        <v>1.353</v>
      </c>
      <c r="M22" s="628">
        <v>1.5529999999999999</v>
      </c>
      <c r="N22" s="628">
        <v>1.5620000000000001</v>
      </c>
      <c r="O22" s="628">
        <v>1.306</v>
      </c>
      <c r="P22" s="628">
        <v>1.2010000000000001</v>
      </c>
      <c r="Q22" s="628">
        <v>1.5660000000000001</v>
      </c>
      <c r="R22" s="628">
        <v>1.734</v>
      </c>
      <c r="S22" s="628">
        <v>1.6539999999999999</v>
      </c>
      <c r="T22" s="628">
        <v>1.7829999999999999</v>
      </c>
      <c r="U22" s="628">
        <v>1.8380000000000001</v>
      </c>
      <c r="V22" s="628">
        <v>2.0059999999999998</v>
      </c>
      <c r="W22" s="628">
        <v>2.13</v>
      </c>
      <c r="X22" s="260">
        <v>2.419</v>
      </c>
      <c r="Y22" s="260">
        <v>2.5619999999999998</v>
      </c>
      <c r="Z22" s="269">
        <v>2.4790000000000001</v>
      </c>
      <c r="AA22" s="206">
        <v>-3.2396565183450292</v>
      </c>
      <c r="AB22" s="119" t="s">
        <v>51</v>
      </c>
    </row>
    <row r="23" spans="1:28" ht="12.75" customHeight="1">
      <c r="A23" s="8"/>
      <c r="B23" s="585" t="s">
        <v>32</v>
      </c>
      <c r="C23" s="625" t="s">
        <v>64</v>
      </c>
      <c r="D23" s="626" t="s">
        <v>64</v>
      </c>
      <c r="E23" s="626" t="s">
        <v>64</v>
      </c>
      <c r="F23" s="626">
        <v>7.4379999999999997</v>
      </c>
      <c r="G23" s="626">
        <v>8.875</v>
      </c>
      <c r="H23" s="626">
        <v>16.152000000000001</v>
      </c>
      <c r="I23" s="626">
        <v>12.538</v>
      </c>
      <c r="J23" s="626">
        <v>12.048</v>
      </c>
      <c r="K23" s="626">
        <v>12.781000000000001</v>
      </c>
      <c r="L23" s="626">
        <v>12.285</v>
      </c>
      <c r="M23" s="626">
        <v>4.0270000000000001</v>
      </c>
      <c r="N23" s="626">
        <v>3.2109999999999999</v>
      </c>
      <c r="O23" s="626">
        <v>2.0910000000000002</v>
      </c>
      <c r="P23" s="626">
        <v>1.9570000000000001</v>
      </c>
      <c r="Q23" s="626">
        <v>1.9890000000000001</v>
      </c>
      <c r="R23" s="626">
        <v>1.8859999999999999</v>
      </c>
      <c r="S23" s="626">
        <v>2.093</v>
      </c>
      <c r="T23" s="626">
        <v>2.2040000000000002</v>
      </c>
      <c r="U23" s="626">
        <v>2.274</v>
      </c>
      <c r="V23" s="626">
        <v>3.0510000000000002</v>
      </c>
      <c r="W23" s="626">
        <v>4.0609999999999999</v>
      </c>
      <c r="X23" s="772">
        <v>4.3470000000000004</v>
      </c>
      <c r="Y23" s="772">
        <v>4.681</v>
      </c>
      <c r="Z23" s="629">
        <v>5.274</v>
      </c>
      <c r="AA23" s="596">
        <v>12.66823328348643</v>
      </c>
      <c r="AB23" s="585" t="s">
        <v>32</v>
      </c>
    </row>
    <row r="24" spans="1:28" ht="12.75" customHeight="1">
      <c r="A24" s="8"/>
      <c r="B24" s="119" t="s">
        <v>35</v>
      </c>
      <c r="C24" s="259" t="s">
        <v>64</v>
      </c>
      <c r="D24" s="628"/>
      <c r="E24" s="628"/>
      <c r="F24" s="628">
        <v>0.55100000000000005</v>
      </c>
      <c r="G24" s="628">
        <v>0.50800000000000001</v>
      </c>
      <c r="H24" s="628">
        <v>0.47299999999999998</v>
      </c>
      <c r="I24" s="628">
        <v>0.40799999999999997</v>
      </c>
      <c r="J24" s="628">
        <v>0.54400000000000004</v>
      </c>
      <c r="K24" s="628">
        <v>0.53200000000000003</v>
      </c>
      <c r="L24" s="628">
        <v>0.69899999999999995</v>
      </c>
      <c r="M24" s="628">
        <v>0.60799999999999998</v>
      </c>
      <c r="N24" s="628">
        <v>0.56799999999999995</v>
      </c>
      <c r="O24" s="628">
        <v>0.746</v>
      </c>
      <c r="P24" s="628">
        <v>0.81200000000000006</v>
      </c>
      <c r="Q24" s="261">
        <v>1.4219999999999999</v>
      </c>
      <c r="R24" s="628">
        <v>1.774</v>
      </c>
      <c r="S24" s="628">
        <v>1.367</v>
      </c>
      <c r="T24" s="628">
        <v>2.4700000000000002</v>
      </c>
      <c r="U24" s="628">
        <v>2.2160000000000002</v>
      </c>
      <c r="V24" s="628">
        <v>2.41</v>
      </c>
      <c r="W24" s="628">
        <v>2.4470000000000001</v>
      </c>
      <c r="X24" s="260">
        <v>2.2530000000000001</v>
      </c>
      <c r="Y24" s="260">
        <v>3.3650000000000002</v>
      </c>
      <c r="Z24" s="269">
        <v>4.6559999999999997</v>
      </c>
      <c r="AA24" s="206">
        <v>38.365527488855832</v>
      </c>
      <c r="AB24" s="119" t="s">
        <v>35</v>
      </c>
    </row>
    <row r="25" spans="1:28" ht="12.75" customHeight="1">
      <c r="A25" s="8"/>
      <c r="B25" s="585" t="s">
        <v>43</v>
      </c>
      <c r="C25" s="625">
        <v>17.798999999999999</v>
      </c>
      <c r="D25" s="626">
        <v>19.626000000000001</v>
      </c>
      <c r="E25" s="626">
        <v>17.562000000000001</v>
      </c>
      <c r="F25" s="626">
        <v>16.844999999999999</v>
      </c>
      <c r="G25" s="626">
        <v>16.736999999999998</v>
      </c>
      <c r="H25" s="626">
        <v>17.565999999999999</v>
      </c>
      <c r="I25" s="626">
        <v>16.814</v>
      </c>
      <c r="J25" s="626">
        <v>14.79</v>
      </c>
      <c r="K25" s="626">
        <v>16.236999999999998</v>
      </c>
      <c r="L25" s="626">
        <v>16.960999999999999</v>
      </c>
      <c r="M25" s="626">
        <v>18.277999999999999</v>
      </c>
      <c r="N25" s="626">
        <v>15.24</v>
      </c>
      <c r="O25" s="626">
        <v>11.662000000000001</v>
      </c>
      <c r="P25" s="626">
        <v>10.617000000000001</v>
      </c>
      <c r="Q25" s="626">
        <v>9.57</v>
      </c>
      <c r="R25" s="626">
        <v>10.667</v>
      </c>
      <c r="S25" s="626">
        <v>11.673</v>
      </c>
      <c r="T25" s="626">
        <v>12.855</v>
      </c>
      <c r="U25" s="626">
        <v>13.057</v>
      </c>
      <c r="V25" s="626">
        <v>13.474</v>
      </c>
      <c r="W25" s="626">
        <v>14.378</v>
      </c>
      <c r="X25" s="772">
        <v>14.86</v>
      </c>
      <c r="Y25" s="772">
        <v>16.143999999999998</v>
      </c>
      <c r="Z25" s="629">
        <v>16.832000000000001</v>
      </c>
      <c r="AA25" s="596">
        <v>4.2616451932606623</v>
      </c>
      <c r="AB25" s="585" t="s">
        <v>43</v>
      </c>
    </row>
    <row r="26" spans="1:28" ht="12.75" customHeight="1">
      <c r="A26" s="8"/>
      <c r="B26" s="119" t="s">
        <v>52</v>
      </c>
      <c r="C26" s="259">
        <v>18.704000000000001</v>
      </c>
      <c r="D26" s="628">
        <v>23.774999999999999</v>
      </c>
      <c r="E26" s="628">
        <v>19.952000000000002</v>
      </c>
      <c r="F26" s="628">
        <v>16.687000000000001</v>
      </c>
      <c r="G26" s="628">
        <v>17.93</v>
      </c>
      <c r="H26" s="628">
        <v>18.748000000000001</v>
      </c>
      <c r="I26" s="628">
        <v>19.094000000000001</v>
      </c>
      <c r="J26" s="628">
        <v>18.873000000000001</v>
      </c>
      <c r="K26" s="628">
        <v>23.748000000000001</v>
      </c>
      <c r="L26" s="628">
        <v>24.48</v>
      </c>
      <c r="M26" s="628">
        <v>23.712</v>
      </c>
      <c r="N26" s="628">
        <v>21.44</v>
      </c>
      <c r="O26" s="628">
        <v>22.75</v>
      </c>
      <c r="P26" s="628">
        <v>24.808</v>
      </c>
      <c r="Q26" s="628">
        <v>25.995999999999999</v>
      </c>
      <c r="R26" s="628">
        <v>25.155000000000001</v>
      </c>
      <c r="S26" s="628">
        <v>24.890999999999998</v>
      </c>
      <c r="T26" s="628">
        <v>29.763000000000002</v>
      </c>
      <c r="U26" s="628">
        <v>24.893000000000001</v>
      </c>
      <c r="V26" s="628">
        <v>25.954999999999998</v>
      </c>
      <c r="W26" s="628">
        <v>27.988</v>
      </c>
      <c r="X26" s="260">
        <v>32.527000000000001</v>
      </c>
      <c r="Y26" s="263">
        <v>33.033150845891797</v>
      </c>
      <c r="Z26" s="771">
        <v>32.092217362434319</v>
      </c>
      <c r="AA26" s="206">
        <v>-2.8484521135969629</v>
      </c>
      <c r="AB26" s="119" t="s">
        <v>52</v>
      </c>
    </row>
    <row r="27" spans="1:28" ht="12.75" customHeight="1">
      <c r="A27" s="8"/>
      <c r="B27" s="585" t="s">
        <v>36</v>
      </c>
      <c r="C27" s="625" t="s">
        <v>64</v>
      </c>
      <c r="D27" s="626" t="s">
        <v>64</v>
      </c>
      <c r="E27" s="626" t="s">
        <v>64</v>
      </c>
      <c r="F27" s="626"/>
      <c r="G27" s="626">
        <v>1.3</v>
      </c>
      <c r="H27" s="626">
        <v>1.95</v>
      </c>
      <c r="I27" s="626">
        <v>3.8410000000000002</v>
      </c>
      <c r="J27" s="626">
        <v>5.1150000000000002</v>
      </c>
      <c r="K27" s="626">
        <v>7.5739999999999998</v>
      </c>
      <c r="L27" s="626">
        <v>10.696</v>
      </c>
      <c r="M27" s="626">
        <v>9.43</v>
      </c>
      <c r="N27" s="626">
        <v>8.7240000000000002</v>
      </c>
      <c r="O27" s="626">
        <v>8.9570000000000007</v>
      </c>
      <c r="P27" s="626">
        <v>7.758</v>
      </c>
      <c r="Q27" s="626">
        <v>7.3940000000000001</v>
      </c>
      <c r="R27" s="626">
        <v>9.8480000000000008</v>
      </c>
      <c r="S27" s="626">
        <v>23.864999999999998</v>
      </c>
      <c r="T27" s="626">
        <v>25.823</v>
      </c>
      <c r="U27" s="626">
        <v>15.025</v>
      </c>
      <c r="V27" s="626">
        <v>14.55</v>
      </c>
      <c r="W27" s="626">
        <v>19.2</v>
      </c>
      <c r="X27" s="772">
        <v>21.815000000000001</v>
      </c>
      <c r="Y27" s="772">
        <v>21.579000000000001</v>
      </c>
      <c r="Z27" s="629">
        <v>23.91</v>
      </c>
      <c r="AA27" s="596">
        <v>10.802168775198112</v>
      </c>
      <c r="AB27" s="585" t="s">
        <v>36</v>
      </c>
    </row>
    <row r="28" spans="1:28" ht="12.75" customHeight="1">
      <c r="A28" s="8"/>
      <c r="B28" s="119" t="s">
        <v>53</v>
      </c>
      <c r="C28" s="259">
        <v>12.058999999999999</v>
      </c>
      <c r="D28" s="628">
        <v>17.716000000000001</v>
      </c>
      <c r="E28" s="628">
        <v>17.087</v>
      </c>
      <c r="F28" s="628">
        <v>14.218</v>
      </c>
      <c r="G28" s="628">
        <v>11.198</v>
      </c>
      <c r="H28" s="628">
        <v>11.561999999999999</v>
      </c>
      <c r="I28" s="628">
        <v>11.231999999999999</v>
      </c>
      <c r="J28" s="628">
        <v>11.435</v>
      </c>
      <c r="K28" s="628">
        <v>11.991</v>
      </c>
      <c r="L28" s="628">
        <v>10.762</v>
      </c>
      <c r="M28" s="628">
        <v>13.475</v>
      </c>
      <c r="N28" s="628">
        <v>18.896000000000001</v>
      </c>
      <c r="O28" s="628">
        <v>18.937000000000001</v>
      </c>
      <c r="P28" s="628">
        <v>17.18</v>
      </c>
      <c r="Q28" s="628">
        <v>14.593999999999999</v>
      </c>
      <c r="R28" s="628">
        <v>15.423999999999999</v>
      </c>
      <c r="S28" s="628">
        <v>17.611000000000001</v>
      </c>
      <c r="T28" s="628">
        <v>19.760000000000002</v>
      </c>
      <c r="U28" s="628">
        <v>24.809000000000001</v>
      </c>
      <c r="V28" s="628">
        <v>28.326000000000001</v>
      </c>
      <c r="W28" s="628">
        <v>29.856999999999999</v>
      </c>
      <c r="X28" s="260">
        <v>28.960999999999999</v>
      </c>
      <c r="Y28" s="260">
        <v>34.005000000000003</v>
      </c>
      <c r="Z28" s="269">
        <v>36.610999999999997</v>
      </c>
      <c r="AA28" s="206">
        <v>7.6635788854580085</v>
      </c>
      <c r="AB28" s="119" t="s">
        <v>53</v>
      </c>
    </row>
    <row r="29" spans="1:28" ht="12.75" customHeight="1">
      <c r="A29" s="8"/>
      <c r="B29" s="585" t="s">
        <v>37</v>
      </c>
      <c r="C29" s="625"/>
      <c r="D29" s="626"/>
      <c r="E29" s="626"/>
      <c r="F29" s="626"/>
      <c r="G29" s="626">
        <v>0.61599999999999999</v>
      </c>
      <c r="H29" s="626">
        <v>0.83299999999999996</v>
      </c>
      <c r="I29" s="626">
        <v>0.82799999999999996</v>
      </c>
      <c r="J29" s="626">
        <v>5.0830000000000002</v>
      </c>
      <c r="K29" s="626">
        <v>4.7789999999999999</v>
      </c>
      <c r="L29" s="626">
        <v>6.9610000000000003</v>
      </c>
      <c r="M29" s="626">
        <v>8.64</v>
      </c>
      <c r="N29" s="630">
        <v>1.633</v>
      </c>
      <c r="O29" s="626">
        <v>1.3140000000000001</v>
      </c>
      <c r="P29" s="630">
        <v>1.212</v>
      </c>
      <c r="Q29" s="626">
        <v>1.123</v>
      </c>
      <c r="R29" s="626">
        <v>1.202</v>
      </c>
      <c r="S29" s="626">
        <v>1.331</v>
      </c>
      <c r="T29" s="626">
        <v>1.9570000000000001</v>
      </c>
      <c r="U29" s="626">
        <v>2.1070000000000002</v>
      </c>
      <c r="V29" s="626">
        <v>2.6920000000000002</v>
      </c>
      <c r="W29" s="626">
        <v>3.9079999999999999</v>
      </c>
      <c r="X29" s="772">
        <v>5.8</v>
      </c>
      <c r="Y29" s="772">
        <v>6.22</v>
      </c>
      <c r="Z29" s="629">
        <v>7.7779999999999996</v>
      </c>
      <c r="AA29" s="596">
        <v>25.048231511254016</v>
      </c>
      <c r="AB29" s="585" t="s">
        <v>37</v>
      </c>
    </row>
    <row r="30" spans="1:28" ht="12.75" customHeight="1">
      <c r="A30" s="8"/>
      <c r="B30" s="119" t="s">
        <v>39</v>
      </c>
      <c r="C30" s="259" t="s">
        <v>64</v>
      </c>
      <c r="D30" s="628">
        <v>1.23</v>
      </c>
      <c r="E30" s="628">
        <v>0.96499999999999997</v>
      </c>
      <c r="F30" s="628">
        <v>1.159</v>
      </c>
      <c r="G30" s="628">
        <v>1.466</v>
      </c>
      <c r="H30" s="628">
        <v>2.0720000000000001</v>
      </c>
      <c r="I30" s="628">
        <v>2.5350000000000001</v>
      </c>
      <c r="J30" s="628">
        <v>3.5979999999999999</v>
      </c>
      <c r="K30" s="628">
        <v>5.0609999999999999</v>
      </c>
      <c r="L30" s="628">
        <v>5.2960000000000003</v>
      </c>
      <c r="M30" s="628">
        <v>3.7949999999999999</v>
      </c>
      <c r="N30" s="628">
        <v>2.6579999999999999</v>
      </c>
      <c r="O30" s="628">
        <v>2.1669999999999998</v>
      </c>
      <c r="P30" s="628">
        <v>2.0419999999999998</v>
      </c>
      <c r="Q30" s="628">
        <v>1.9430000000000001</v>
      </c>
      <c r="R30" s="628">
        <v>2.2080000000000002</v>
      </c>
      <c r="S30" s="628">
        <v>2.4700000000000002</v>
      </c>
      <c r="T30" s="628">
        <v>2.8010000000000002</v>
      </c>
      <c r="U30" s="628">
        <v>2.9409999999999998</v>
      </c>
      <c r="V30" s="628">
        <v>3.0259999999999998</v>
      </c>
      <c r="W30" s="628">
        <v>3.3319999999999999</v>
      </c>
      <c r="X30" s="260">
        <v>3.0550000000000002</v>
      </c>
      <c r="Y30" s="260">
        <v>3.9279999999999999</v>
      </c>
      <c r="Z30" s="269">
        <v>5.242</v>
      </c>
      <c r="AA30" s="206">
        <v>33.452138492871711</v>
      </c>
      <c r="AB30" s="119" t="s">
        <v>39</v>
      </c>
    </row>
    <row r="31" spans="1:28" ht="12.75" customHeight="1">
      <c r="A31" s="8"/>
      <c r="B31" s="585" t="s">
        <v>38</v>
      </c>
      <c r="C31" s="625" t="s">
        <v>64</v>
      </c>
      <c r="D31" s="626" t="s">
        <v>64</v>
      </c>
      <c r="E31" s="626" t="s">
        <v>64</v>
      </c>
      <c r="F31" s="626"/>
      <c r="G31" s="626"/>
      <c r="H31" s="626">
        <v>1.165</v>
      </c>
      <c r="I31" s="626">
        <v>1.165</v>
      </c>
      <c r="J31" s="626">
        <v>2.1219999999999999</v>
      </c>
      <c r="K31" s="626">
        <v>3.1440000000000001</v>
      </c>
      <c r="L31" s="626">
        <v>3.1389999999999998</v>
      </c>
      <c r="M31" s="626">
        <v>2.331</v>
      </c>
      <c r="N31" s="626">
        <v>2.3239999999999998</v>
      </c>
      <c r="O31" s="626">
        <v>1.96</v>
      </c>
      <c r="P31" s="626">
        <v>1.92</v>
      </c>
      <c r="Q31" s="626">
        <v>2.84</v>
      </c>
      <c r="R31" s="631">
        <v>3.0964013980917935</v>
      </c>
      <c r="S31" s="626">
        <v>5.3090000000000002</v>
      </c>
      <c r="T31" s="626">
        <v>5.5650000000000004</v>
      </c>
      <c r="U31" s="626">
        <v>4.923</v>
      </c>
      <c r="V31" s="626">
        <v>5.28</v>
      </c>
      <c r="W31" s="626">
        <v>5.7450000000000001</v>
      </c>
      <c r="X31" s="772">
        <v>5.2110000000000003</v>
      </c>
      <c r="Y31" s="772">
        <v>5.9589999999999996</v>
      </c>
      <c r="Z31" s="629">
        <v>7.077</v>
      </c>
      <c r="AA31" s="596">
        <v>18.761537170666216</v>
      </c>
      <c r="AB31" s="585" t="s">
        <v>38</v>
      </c>
    </row>
    <row r="32" spans="1:28" ht="12.75" customHeight="1">
      <c r="A32" s="8"/>
      <c r="B32" s="119" t="s">
        <v>54</v>
      </c>
      <c r="C32" s="259"/>
      <c r="D32" s="628">
        <v>5.1669999999999998</v>
      </c>
      <c r="E32" s="628">
        <v>4.4080000000000004</v>
      </c>
      <c r="F32" s="628">
        <v>4.92</v>
      </c>
      <c r="G32" s="628">
        <v>6.2640000000000002</v>
      </c>
      <c r="H32" s="628">
        <v>7.835</v>
      </c>
      <c r="I32" s="628">
        <v>9.2279999999999998</v>
      </c>
      <c r="J32" s="628">
        <v>11.058</v>
      </c>
      <c r="K32" s="628">
        <v>11.532999999999999</v>
      </c>
      <c r="L32" s="628">
        <v>9.0649999999999995</v>
      </c>
      <c r="M32" s="628">
        <v>8.8420000000000005</v>
      </c>
      <c r="N32" s="628">
        <v>9.4779999999999998</v>
      </c>
      <c r="O32" s="628">
        <v>5.6769999999999996</v>
      </c>
      <c r="P32" s="628">
        <v>4.9859999999999998</v>
      </c>
      <c r="Q32" s="628">
        <v>3.9430000000000001</v>
      </c>
      <c r="R32" s="628">
        <v>3.4670000000000001</v>
      </c>
      <c r="S32" s="628">
        <v>3.157</v>
      </c>
      <c r="T32" s="628">
        <v>3.0219999999999998</v>
      </c>
      <c r="U32" s="628">
        <v>2.8290000000000002</v>
      </c>
      <c r="V32" s="628">
        <v>3.2029999999999998</v>
      </c>
      <c r="W32" s="628">
        <v>3.323</v>
      </c>
      <c r="X32" s="260">
        <v>3.7170000000000001</v>
      </c>
      <c r="Y32" s="260">
        <v>3.7090000000000001</v>
      </c>
      <c r="Z32" s="269">
        <v>3.8</v>
      </c>
      <c r="AA32" s="206">
        <v>2.4534915071447756</v>
      </c>
      <c r="AB32" s="119" t="s">
        <v>54</v>
      </c>
    </row>
    <row r="33" spans="1:28" ht="12.75" customHeight="1">
      <c r="A33" s="8"/>
      <c r="B33" s="592" t="s">
        <v>55</v>
      </c>
      <c r="C33" s="632"/>
      <c r="D33" s="633">
        <v>18.401</v>
      </c>
      <c r="E33" s="633">
        <v>21.074000000000002</v>
      </c>
      <c r="F33" s="633">
        <v>23.052</v>
      </c>
      <c r="G33" s="633">
        <v>23.66</v>
      </c>
      <c r="H33" s="633">
        <v>25.3</v>
      </c>
      <c r="I33" s="633">
        <v>22.763000000000002</v>
      </c>
      <c r="J33" s="633">
        <v>27.050999999999998</v>
      </c>
      <c r="K33" s="633">
        <v>30.715</v>
      </c>
      <c r="L33" s="633">
        <v>20.422999999999998</v>
      </c>
      <c r="M33" s="633">
        <v>11.839</v>
      </c>
      <c r="N33" s="633">
        <v>14.811</v>
      </c>
      <c r="O33" s="634">
        <v>14.702</v>
      </c>
      <c r="P33" s="633">
        <v>13.689</v>
      </c>
      <c r="Q33" s="633">
        <v>12.99</v>
      </c>
      <c r="R33" s="633">
        <v>12.875999999999999</v>
      </c>
      <c r="S33" s="633">
        <v>14.391999999999999</v>
      </c>
      <c r="T33" s="633">
        <v>19.841999999999999</v>
      </c>
      <c r="U33" s="633">
        <v>11.99</v>
      </c>
      <c r="V33" s="633">
        <v>12.669</v>
      </c>
      <c r="W33" s="633">
        <v>12.772</v>
      </c>
      <c r="X33" s="633">
        <v>14.41</v>
      </c>
      <c r="Y33" s="633">
        <v>11.954000000000001</v>
      </c>
      <c r="Z33" s="645">
        <v>12.099</v>
      </c>
      <c r="AA33" s="597">
        <v>1.2129831018905719</v>
      </c>
      <c r="AB33" s="592" t="s">
        <v>55</v>
      </c>
    </row>
    <row r="34" spans="1:28" ht="12.75" customHeight="1">
      <c r="A34" s="8"/>
      <c r="B34" s="119" t="s">
        <v>26</v>
      </c>
      <c r="C34" s="259"/>
      <c r="D34" s="628">
        <v>0.214</v>
      </c>
      <c r="E34" s="628">
        <v>0.19700000000000001</v>
      </c>
      <c r="F34" s="628">
        <v>0.13800000000000001</v>
      </c>
      <c r="G34" s="628">
        <v>0.22500000000000001</v>
      </c>
      <c r="H34" s="628">
        <v>0.377</v>
      </c>
      <c r="I34" s="628">
        <v>1.08</v>
      </c>
      <c r="J34" s="628"/>
      <c r="K34" s="628"/>
      <c r="L34" s="628"/>
      <c r="M34" s="628"/>
      <c r="N34" s="628"/>
      <c r="O34" s="351"/>
      <c r="P34" s="351"/>
      <c r="Q34" s="628"/>
      <c r="R34" s="628"/>
      <c r="S34" s="628"/>
      <c r="T34" s="628"/>
      <c r="U34" s="628">
        <v>0.28499999999999998</v>
      </c>
      <c r="V34" s="628">
        <v>0.314</v>
      </c>
      <c r="W34" s="351">
        <v>0.22700000000000001</v>
      </c>
      <c r="X34" s="260">
        <v>0.224</v>
      </c>
      <c r="Y34" s="260">
        <v>0.219</v>
      </c>
      <c r="Z34" s="771">
        <v>0.219</v>
      </c>
      <c r="AA34" s="206">
        <v>0</v>
      </c>
      <c r="AB34" s="119" t="s">
        <v>26</v>
      </c>
    </row>
    <row r="35" spans="1:28" ht="12.75" customHeight="1">
      <c r="A35" s="8"/>
      <c r="B35" s="585" t="s">
        <v>56</v>
      </c>
      <c r="C35" s="625"/>
      <c r="D35" s="626"/>
      <c r="E35" s="626"/>
      <c r="F35" s="626">
        <v>6.0620000000000003</v>
      </c>
      <c r="G35" s="626">
        <v>5.4939999999999998</v>
      </c>
      <c r="H35" s="626">
        <v>5.609</v>
      </c>
      <c r="I35" s="626">
        <v>6.2169999999999996</v>
      </c>
      <c r="J35" s="626">
        <v>7.7640000000000002</v>
      </c>
      <c r="K35" s="626">
        <v>9.5909999999999993</v>
      </c>
      <c r="L35" s="626">
        <v>10.137</v>
      </c>
      <c r="M35" s="626">
        <v>7.6159999999999997</v>
      </c>
      <c r="N35" s="626">
        <v>6.98</v>
      </c>
      <c r="O35" s="626">
        <v>6.548</v>
      </c>
      <c r="P35" s="626">
        <v>6.5919999999999996</v>
      </c>
      <c r="Q35" s="626">
        <v>6.5270000000000001</v>
      </c>
      <c r="R35" s="626">
        <v>6.7770000000000001</v>
      </c>
      <c r="S35" s="626">
        <v>6.8319999999999999</v>
      </c>
      <c r="T35" s="626">
        <v>8.9339999999999993</v>
      </c>
      <c r="U35" s="626">
        <v>10.186999999999999</v>
      </c>
      <c r="V35" s="626">
        <v>11.286</v>
      </c>
      <c r="W35" s="626">
        <v>10.483000000000001</v>
      </c>
      <c r="X35" s="772">
        <v>11.443</v>
      </c>
      <c r="Y35" s="772">
        <v>11.815</v>
      </c>
      <c r="Z35" s="629">
        <v>10.63</v>
      </c>
      <c r="AA35" s="596">
        <v>-10.029623360135403</v>
      </c>
      <c r="AB35" s="585" t="s">
        <v>56</v>
      </c>
    </row>
    <row r="36" spans="1:28" ht="12.75" customHeight="1">
      <c r="A36" s="8"/>
      <c r="B36" s="120" t="s">
        <v>27</v>
      </c>
      <c r="C36" s="264"/>
      <c r="D36" s="265">
        <v>30.585000000000001</v>
      </c>
      <c r="E36" s="265">
        <v>29.52</v>
      </c>
      <c r="F36" s="265">
        <v>27.491</v>
      </c>
      <c r="G36" s="265">
        <v>40.627000000000002</v>
      </c>
      <c r="H36" s="265">
        <v>42.521999999999998</v>
      </c>
      <c r="I36" s="265">
        <v>40.238</v>
      </c>
      <c r="J36" s="265">
        <v>40.665999999999997</v>
      </c>
      <c r="K36" s="265">
        <v>43.140999999999998</v>
      </c>
      <c r="L36" s="265">
        <v>43.779000000000003</v>
      </c>
      <c r="M36" s="265">
        <v>40.402999999999999</v>
      </c>
      <c r="N36" s="265">
        <v>38.235999999999997</v>
      </c>
      <c r="O36" s="265">
        <v>42.933</v>
      </c>
      <c r="P36" s="265">
        <v>44.545000000000002</v>
      </c>
      <c r="Q36" s="265">
        <v>42.804000000000002</v>
      </c>
      <c r="R36" s="265">
        <v>43.564999999999998</v>
      </c>
      <c r="S36" s="265">
        <v>47.661000000000001</v>
      </c>
      <c r="T36" s="265">
        <v>44.662999999999997</v>
      </c>
      <c r="U36" s="265">
        <v>44.375999999999998</v>
      </c>
      <c r="V36" s="265">
        <v>40.82</v>
      </c>
      <c r="W36" s="265">
        <v>39.152999999999999</v>
      </c>
      <c r="X36" s="265">
        <v>46.158000000000001</v>
      </c>
      <c r="Y36" s="265">
        <v>52.783999999999999</v>
      </c>
      <c r="Z36" s="271">
        <v>44.218000000000004</v>
      </c>
      <c r="AA36" s="532">
        <v>-16.228402546226121</v>
      </c>
      <c r="AB36" s="120" t="s">
        <v>27</v>
      </c>
    </row>
    <row r="37" spans="1:28" ht="12.75" customHeight="1">
      <c r="A37" s="8"/>
      <c r="B37" s="10" t="s">
        <v>311</v>
      </c>
      <c r="C37" s="256"/>
      <c r="D37" s="255"/>
      <c r="E37" s="255"/>
      <c r="F37" s="255"/>
      <c r="G37" s="255"/>
      <c r="H37" s="255"/>
      <c r="I37" s="255"/>
      <c r="J37" s="255"/>
      <c r="K37" s="255"/>
      <c r="L37" s="255"/>
      <c r="M37" s="255"/>
      <c r="N37" s="255"/>
      <c r="O37" s="255"/>
      <c r="P37" s="255"/>
      <c r="Q37" s="255"/>
      <c r="R37" s="255"/>
      <c r="S37" s="255"/>
      <c r="T37" s="255">
        <v>0.93300000000000005</v>
      </c>
      <c r="U37" s="255">
        <v>1.3109999999999999</v>
      </c>
      <c r="V37" s="255">
        <v>1.381</v>
      </c>
      <c r="W37" s="255">
        <v>0.372</v>
      </c>
      <c r="X37" s="255">
        <v>0.42499999999999999</v>
      </c>
      <c r="Y37" s="255">
        <v>0.66800000000000004</v>
      </c>
      <c r="Z37" s="773">
        <v>0.72899999999999998</v>
      </c>
      <c r="AA37" s="183">
        <v>9.1317365269460993</v>
      </c>
      <c r="AB37" s="10" t="s">
        <v>311</v>
      </c>
    </row>
    <row r="38" spans="1:28" ht="12.75" customHeight="1">
      <c r="A38" s="8"/>
      <c r="B38" s="119" t="s">
        <v>139</v>
      </c>
      <c r="C38" s="259"/>
      <c r="D38" s="628"/>
      <c r="E38" s="628"/>
      <c r="F38" s="628"/>
      <c r="G38" s="628"/>
      <c r="H38" s="628"/>
      <c r="I38" s="628"/>
      <c r="J38" s="628"/>
      <c r="K38" s="628"/>
      <c r="L38" s="628"/>
      <c r="M38" s="628"/>
      <c r="N38" s="628"/>
      <c r="O38" s="628">
        <v>0.77100000000000002</v>
      </c>
      <c r="P38" s="628">
        <v>0.78700000000000003</v>
      </c>
      <c r="Q38" s="628">
        <v>0.56200000000000006</v>
      </c>
      <c r="R38" s="628">
        <v>0.56200000000000006</v>
      </c>
      <c r="S38" s="628">
        <v>0.71399999999999997</v>
      </c>
      <c r="T38" s="628">
        <v>0.38</v>
      </c>
      <c r="U38" s="628">
        <v>0.30199999999999999</v>
      </c>
      <c r="V38" s="628">
        <v>0.434</v>
      </c>
      <c r="W38" s="628">
        <v>0.65100000000000002</v>
      </c>
      <c r="X38" s="260">
        <v>0.41899999999999998</v>
      </c>
      <c r="Y38" s="260">
        <v>0.79900000000000004</v>
      </c>
      <c r="Z38" s="269">
        <v>1.32</v>
      </c>
      <c r="AA38" s="206">
        <v>65.206508135168946</v>
      </c>
      <c r="AB38" s="119" t="s">
        <v>139</v>
      </c>
    </row>
    <row r="39" spans="1:28" s="407" customFormat="1" ht="12.75" customHeight="1">
      <c r="A39" s="203"/>
      <c r="B39" s="10" t="s">
        <v>313</v>
      </c>
      <c r="C39" s="255"/>
      <c r="D39" s="774"/>
      <c r="E39" s="774"/>
      <c r="F39" s="774"/>
      <c r="G39" s="774"/>
      <c r="H39" s="774"/>
      <c r="I39" s="774"/>
      <c r="J39" s="774"/>
      <c r="K39" s="774"/>
      <c r="L39" s="774"/>
      <c r="M39" s="774"/>
      <c r="N39" s="774"/>
      <c r="O39" s="774"/>
      <c r="P39" s="774"/>
      <c r="Q39" s="774">
        <v>2.0539999999999998</v>
      </c>
      <c r="R39" s="774">
        <v>2.1190000000000002</v>
      </c>
      <c r="S39" s="774">
        <v>1.27</v>
      </c>
      <c r="T39" s="774">
        <v>1.246</v>
      </c>
      <c r="U39" s="774">
        <v>1.4079999999999999</v>
      </c>
      <c r="V39" s="774">
        <v>1.718</v>
      </c>
      <c r="W39" s="774">
        <v>2.9340000000000002</v>
      </c>
      <c r="X39" s="255">
        <v>3.3090000000000002</v>
      </c>
      <c r="Y39" s="255">
        <v>3.37</v>
      </c>
      <c r="Z39" s="773">
        <v>3.7839999999999998</v>
      </c>
      <c r="AA39" s="183">
        <v>12.284866468842722</v>
      </c>
      <c r="AB39" s="10" t="s">
        <v>313</v>
      </c>
    </row>
    <row r="40" spans="1:28" s="407" customFormat="1" ht="12.75" customHeight="1">
      <c r="A40" s="203"/>
      <c r="B40" s="119" t="s">
        <v>0</v>
      </c>
      <c r="C40" s="628">
        <v>1.0169999999999999</v>
      </c>
      <c r="D40" s="628">
        <v>0.46899999999999997</v>
      </c>
      <c r="E40" s="628">
        <v>0.29699999999999999</v>
      </c>
      <c r="F40" s="628"/>
      <c r="G40" s="628"/>
      <c r="H40" s="628"/>
      <c r="I40" s="628">
        <v>7.9000000000000001E-2</v>
      </c>
      <c r="J40" s="628">
        <v>2.4470000000000001</v>
      </c>
      <c r="K40" s="261">
        <v>3.1760000000000002</v>
      </c>
      <c r="L40" s="262">
        <v>6.4290000000000003</v>
      </c>
      <c r="M40" s="628">
        <v>4.7619999999999996</v>
      </c>
      <c r="N40" s="628">
        <v>3.15</v>
      </c>
      <c r="O40" s="628">
        <v>3.633</v>
      </c>
      <c r="P40" s="628">
        <v>3.3929999999999998</v>
      </c>
      <c r="Q40" s="628">
        <v>2.786</v>
      </c>
      <c r="R40" s="628">
        <v>2.5539999999999998</v>
      </c>
      <c r="S40" s="628">
        <v>2.391</v>
      </c>
      <c r="T40" s="628">
        <v>3.516</v>
      </c>
      <c r="U40" s="628">
        <v>5.6580000000000004</v>
      </c>
      <c r="V40" s="628">
        <v>3.0369999999999999</v>
      </c>
      <c r="W40" s="628">
        <v>3.1520000000000001</v>
      </c>
      <c r="X40" s="260">
        <v>4.0999999999999996</v>
      </c>
      <c r="Y40" s="260">
        <v>4.7190000000000003</v>
      </c>
      <c r="Z40" s="269">
        <v>5.9189999999999996</v>
      </c>
      <c r="AA40" s="206">
        <v>25.429116338207237</v>
      </c>
      <c r="AB40" s="119" t="s">
        <v>0</v>
      </c>
    </row>
    <row r="41" spans="1:28" s="407" customFormat="1" ht="12.75" customHeight="1">
      <c r="A41" s="203"/>
      <c r="B41" s="10" t="s">
        <v>145</v>
      </c>
      <c r="C41" s="256"/>
      <c r="D41" s="774"/>
      <c r="E41" s="774"/>
      <c r="F41" s="774"/>
      <c r="G41" s="774"/>
      <c r="H41" s="774"/>
      <c r="I41" s="774"/>
      <c r="J41" s="774"/>
      <c r="K41" s="774"/>
      <c r="L41" s="774"/>
      <c r="M41" s="774"/>
      <c r="N41" s="774"/>
      <c r="O41" s="774"/>
      <c r="P41" s="774"/>
      <c r="Q41" s="774"/>
      <c r="R41" s="774"/>
      <c r="S41" s="774"/>
      <c r="T41" s="774"/>
      <c r="U41" s="774"/>
      <c r="V41" s="774"/>
      <c r="W41" s="774"/>
      <c r="X41" s="255"/>
      <c r="Y41" s="255"/>
      <c r="Z41" s="773"/>
      <c r="AA41" s="183"/>
      <c r="AB41" s="10" t="s">
        <v>145</v>
      </c>
    </row>
    <row r="42" spans="1:28" s="407" customFormat="1" ht="12.75" customHeight="1">
      <c r="A42" s="203"/>
      <c r="B42" s="119" t="s">
        <v>138</v>
      </c>
      <c r="C42" s="628"/>
      <c r="D42" s="628"/>
      <c r="E42" s="628"/>
      <c r="F42" s="628"/>
      <c r="G42" s="628"/>
      <c r="H42" s="628"/>
      <c r="I42" s="628"/>
      <c r="J42" s="628"/>
      <c r="K42" s="628"/>
      <c r="L42" s="628"/>
      <c r="M42" s="628"/>
      <c r="N42" s="628">
        <v>8.0069999999999997</v>
      </c>
      <c r="O42" s="628">
        <v>4.7789999999999999</v>
      </c>
      <c r="P42" s="628">
        <v>5.109</v>
      </c>
      <c r="Q42" s="628">
        <v>4.883</v>
      </c>
      <c r="R42" s="628">
        <v>4.0940000000000003</v>
      </c>
      <c r="S42" s="628">
        <v>3.9329999999999998</v>
      </c>
      <c r="T42" s="628">
        <v>2.681</v>
      </c>
      <c r="U42" s="628">
        <v>3.1339999999999999</v>
      </c>
      <c r="V42" s="628">
        <v>3.7040000000000002</v>
      </c>
      <c r="W42" s="628">
        <v>3.9470000000000001</v>
      </c>
      <c r="X42" s="260">
        <v>5.93</v>
      </c>
      <c r="Y42" s="260">
        <v>5.9269999999999996</v>
      </c>
      <c r="Z42" s="269">
        <v>7.0960000000000001</v>
      </c>
      <c r="AA42" s="206">
        <v>19.723300151847496</v>
      </c>
      <c r="AB42" s="119" t="s">
        <v>138</v>
      </c>
    </row>
    <row r="43" spans="1:28" s="407" customFormat="1" ht="12.75" customHeight="1">
      <c r="A43" s="203"/>
      <c r="B43" s="10" t="s">
        <v>40</v>
      </c>
      <c r="C43" s="256"/>
      <c r="D43" s="255"/>
      <c r="E43" s="255"/>
      <c r="F43" s="255">
        <v>12.86</v>
      </c>
      <c r="G43" s="255">
        <v>21.521000000000001</v>
      </c>
      <c r="H43" s="255">
        <v>92.186999999999998</v>
      </c>
      <c r="I43" s="255">
        <v>227.65700000000001</v>
      </c>
      <c r="J43" s="255">
        <v>389.50299999999999</v>
      </c>
      <c r="K43" s="255">
        <v>191.81</v>
      </c>
      <c r="L43" s="255">
        <v>192.53399999999999</v>
      </c>
      <c r="M43" s="255">
        <v>141.66300000000001</v>
      </c>
      <c r="N43" s="255">
        <v>135.608</v>
      </c>
      <c r="O43" s="255">
        <v>199.083</v>
      </c>
      <c r="P43" s="255">
        <v>179.226</v>
      </c>
      <c r="Q43" s="255">
        <v>184.863</v>
      </c>
      <c r="R43" s="255">
        <v>178.19900000000001</v>
      </c>
      <c r="S43" s="255">
        <v>162.79499999999999</v>
      </c>
      <c r="T43" s="255">
        <v>140.20599999999999</v>
      </c>
      <c r="U43" s="255">
        <v>139.74299999999999</v>
      </c>
      <c r="V43" s="255">
        <v>110.387</v>
      </c>
      <c r="W43" s="255">
        <v>94.522000000000006</v>
      </c>
      <c r="X43" s="255">
        <v>107.92</v>
      </c>
      <c r="Y43" s="255">
        <v>139.80000000000001</v>
      </c>
      <c r="Z43" s="773">
        <v>205.84800000000001</v>
      </c>
      <c r="AA43" s="183">
        <v>47.244635193133036</v>
      </c>
      <c r="AB43" s="10" t="s">
        <v>40</v>
      </c>
    </row>
    <row r="44" spans="1:28" s="407" customFormat="1" ht="12.75" customHeight="1">
      <c r="A44" s="203"/>
      <c r="B44" s="120" t="s">
        <v>312</v>
      </c>
      <c r="C44" s="264"/>
      <c r="D44" s="265"/>
      <c r="E44" s="265"/>
      <c r="F44" s="265"/>
      <c r="G44" s="265"/>
      <c r="H44" s="265"/>
      <c r="I44" s="265"/>
      <c r="J44" s="265"/>
      <c r="K44" s="265"/>
      <c r="L44" s="265"/>
      <c r="M44" s="265"/>
      <c r="N44" s="265"/>
      <c r="O44" s="265"/>
      <c r="P44" s="265"/>
      <c r="Q44" s="265"/>
      <c r="R44" s="265"/>
      <c r="S44" s="265"/>
      <c r="T44" s="265"/>
      <c r="U44" s="265"/>
      <c r="V44" s="265"/>
      <c r="W44" s="265"/>
      <c r="X44" s="260"/>
      <c r="Y44" s="265"/>
      <c r="Z44" s="271"/>
      <c r="AA44" s="532"/>
      <c r="AB44" s="120" t="s">
        <v>312</v>
      </c>
    </row>
    <row r="45" spans="1:28" s="407" customFormat="1" ht="12.75" customHeight="1">
      <c r="A45" s="203"/>
      <c r="B45" s="11" t="s">
        <v>44</v>
      </c>
      <c r="C45" s="266"/>
      <c r="D45" s="267">
        <v>121.908</v>
      </c>
      <c r="E45" s="267">
        <v>123.866</v>
      </c>
      <c r="F45" s="267">
        <v>123.39100000000001</v>
      </c>
      <c r="G45" s="267">
        <v>119.348</v>
      </c>
      <c r="H45" s="267">
        <v>106.39100000000001</v>
      </c>
      <c r="I45" s="267">
        <v>108.05800000000001</v>
      </c>
      <c r="J45" s="267">
        <v>109.527</v>
      </c>
      <c r="K45" s="267">
        <v>119.863</v>
      </c>
      <c r="L45" s="267">
        <v>114.474</v>
      </c>
      <c r="M45" s="267">
        <v>95.230999999999995</v>
      </c>
      <c r="N45" s="267">
        <v>81.305000000000007</v>
      </c>
      <c r="O45" s="267">
        <v>79.144999999999996</v>
      </c>
      <c r="P45" s="267">
        <v>80.028999999999996</v>
      </c>
      <c r="Q45" s="267">
        <v>80.950999999999993</v>
      </c>
      <c r="R45" s="267">
        <v>91.492000000000004</v>
      </c>
      <c r="S45" s="267">
        <v>105.717</v>
      </c>
      <c r="T45" s="267">
        <v>119.889</v>
      </c>
      <c r="U45" s="267">
        <v>97.712999999999994</v>
      </c>
      <c r="V45" s="267">
        <v>100.411</v>
      </c>
      <c r="W45" s="267">
        <v>101.273</v>
      </c>
      <c r="X45" s="778">
        <v>97.337999999999994</v>
      </c>
      <c r="Y45" s="267">
        <v>107.27</v>
      </c>
      <c r="Z45" s="272">
        <v>109.327</v>
      </c>
      <c r="AA45" s="186">
        <v>1.9175911251980864</v>
      </c>
      <c r="AB45" s="11" t="s">
        <v>44</v>
      </c>
    </row>
    <row r="46" spans="1:28">
      <c r="A46" s="69"/>
      <c r="B46" s="1294" t="s">
        <v>337</v>
      </c>
      <c r="C46" s="1294"/>
      <c r="D46" s="1294"/>
      <c r="E46" s="1294"/>
      <c r="F46" s="1294"/>
      <c r="G46" s="1294"/>
      <c r="H46" s="1294"/>
      <c r="I46" s="1294"/>
      <c r="J46" s="1294"/>
      <c r="K46" s="1294"/>
      <c r="L46" s="1294"/>
      <c r="M46" s="1294"/>
      <c r="N46" s="1294"/>
      <c r="O46" s="1294"/>
      <c r="P46" s="1294"/>
      <c r="Q46" s="1294"/>
      <c r="R46" s="1294"/>
      <c r="S46" s="1294"/>
      <c r="T46" s="604"/>
      <c r="U46" s="604"/>
      <c r="V46" s="604"/>
      <c r="W46" s="604"/>
      <c r="X46" s="603"/>
      <c r="Y46" s="603"/>
      <c r="Z46" s="898"/>
      <c r="AA46" s="456"/>
    </row>
    <row r="47" spans="1:28">
      <c r="B47" s="1289" t="s">
        <v>299</v>
      </c>
      <c r="C47" s="1289"/>
      <c r="D47" s="1289"/>
      <c r="E47" s="1289"/>
      <c r="F47" s="1289"/>
      <c r="G47" s="1289"/>
      <c r="H47" s="1289"/>
      <c r="I47" s="1289"/>
      <c r="J47" s="1289"/>
      <c r="K47" s="1289"/>
      <c r="L47" s="1289"/>
      <c r="M47" s="1289"/>
      <c r="N47" s="1289"/>
      <c r="O47" s="1289"/>
      <c r="P47" s="1289"/>
      <c r="Q47" s="1289"/>
      <c r="R47" s="1289"/>
      <c r="S47" s="1289"/>
      <c r="T47" s="604"/>
      <c r="U47" s="604"/>
      <c r="V47" s="604"/>
      <c r="W47" s="604"/>
      <c r="X47" s="604"/>
      <c r="Y47" s="604"/>
      <c r="Z47" s="899"/>
    </row>
    <row r="48" spans="1:28">
      <c r="B48" s="1295" t="s">
        <v>294</v>
      </c>
      <c r="C48" s="1295"/>
      <c r="D48" s="1295"/>
      <c r="E48" s="1295"/>
      <c r="F48" s="1295"/>
      <c r="G48" s="1295"/>
      <c r="H48" s="1295"/>
      <c r="I48" s="1295"/>
      <c r="J48" s="1295"/>
      <c r="O48" s="400"/>
      <c r="Y48" s="605"/>
    </row>
  </sheetData>
  <mergeCells count="5">
    <mergeCell ref="B48:J48"/>
    <mergeCell ref="B2:AB2"/>
    <mergeCell ref="B3:AB3"/>
    <mergeCell ref="B46:S46"/>
    <mergeCell ref="B47:S47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scale="58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92">
    <pageSetUpPr fitToPage="1"/>
  </sheetPr>
  <dimension ref="A1:AB50"/>
  <sheetViews>
    <sheetView workbookViewId="0">
      <selection activeCell="AD13" sqref="AD13"/>
    </sheetView>
  </sheetViews>
  <sheetFormatPr defaultRowHeight="12.75"/>
  <cols>
    <col min="1" max="1" width="5.85546875" customWidth="1"/>
    <col min="2" max="2" width="8.42578125" style="5" customWidth="1"/>
    <col min="3" max="3" width="8.7109375" style="5" hidden="1" customWidth="1"/>
    <col min="4" max="6" width="8.7109375" style="5" customWidth="1"/>
    <col min="7" max="7" width="7.42578125" style="5" customWidth="1"/>
    <col min="8" max="15" width="8.7109375" style="5" customWidth="1"/>
    <col min="16" max="16" width="8.42578125" style="144" customWidth="1"/>
    <col min="17" max="17" width="7.28515625" style="144" customWidth="1"/>
    <col min="18" max="18" width="8.5703125" style="144" customWidth="1"/>
    <col min="19" max="24" width="7.85546875" style="144" customWidth="1"/>
    <col min="25" max="26" width="7.140625" style="144" customWidth="1"/>
    <col min="27" max="27" width="6.7109375" style="5" customWidth="1"/>
    <col min="28" max="28" width="6" customWidth="1"/>
  </cols>
  <sheetData>
    <row r="1" spans="1:28" ht="14.25" customHeight="1">
      <c r="B1" s="141"/>
      <c r="C1" s="141"/>
      <c r="D1" s="141"/>
      <c r="E1" s="141"/>
      <c r="F1" s="141"/>
      <c r="J1" s="611"/>
      <c r="K1" s="611"/>
      <c r="L1" s="611"/>
      <c r="M1" s="611"/>
      <c r="N1" s="611"/>
      <c r="O1" s="611"/>
      <c r="P1" s="142"/>
      <c r="Q1" s="142"/>
      <c r="R1" s="142"/>
      <c r="S1" s="142"/>
      <c r="T1" s="142"/>
      <c r="U1" s="142"/>
      <c r="V1" s="142"/>
      <c r="W1" s="142"/>
      <c r="X1" s="142"/>
      <c r="Y1" s="142"/>
      <c r="Z1" s="142"/>
      <c r="AA1" s="611" t="s">
        <v>111</v>
      </c>
    </row>
    <row r="2" spans="1:28" s="615" customFormat="1" ht="30" customHeight="1">
      <c r="B2" s="1352" t="s">
        <v>74</v>
      </c>
      <c r="C2" s="1352"/>
      <c r="D2" s="1352"/>
      <c r="E2" s="1352"/>
      <c r="F2" s="1352"/>
      <c r="G2" s="1352"/>
      <c r="H2" s="1352"/>
      <c r="I2" s="1352"/>
      <c r="J2" s="1352"/>
      <c r="K2" s="1352"/>
      <c r="L2" s="1352"/>
      <c r="M2" s="1352"/>
      <c r="N2" s="1352"/>
      <c r="O2" s="1352"/>
      <c r="P2" s="1352"/>
      <c r="Q2" s="1352"/>
      <c r="R2" s="1352"/>
      <c r="S2" s="1352"/>
      <c r="T2" s="1352"/>
      <c r="U2" s="1352"/>
      <c r="V2" s="1352"/>
      <c r="W2" s="1352"/>
      <c r="X2" s="1352"/>
      <c r="Y2" s="1352"/>
      <c r="Z2" s="1352"/>
      <c r="AA2" s="1352"/>
    </row>
    <row r="3" spans="1:28" ht="15" customHeight="1">
      <c r="B3" s="1355" t="s">
        <v>75</v>
      </c>
      <c r="C3" s="1355"/>
      <c r="D3" s="1355"/>
      <c r="E3" s="1355"/>
      <c r="F3" s="1355"/>
      <c r="G3" s="1355"/>
      <c r="H3" s="1355"/>
      <c r="I3" s="1355"/>
      <c r="J3" s="1355"/>
      <c r="K3" s="1355"/>
      <c r="L3" s="1355"/>
      <c r="M3" s="1355"/>
      <c r="N3" s="1355"/>
      <c r="O3" s="1355"/>
      <c r="P3" s="1355"/>
      <c r="Q3" s="1355"/>
      <c r="R3" s="1355"/>
      <c r="S3" s="1355"/>
      <c r="T3" s="1355"/>
      <c r="U3" s="1355"/>
      <c r="V3" s="1355"/>
      <c r="W3" s="1355"/>
      <c r="X3" s="1355"/>
      <c r="Y3" s="1355"/>
      <c r="Z3" s="1355"/>
      <c r="AA3" s="1355"/>
    </row>
    <row r="4" spans="1:28" ht="12.75" customHeight="1">
      <c r="L4" s="617"/>
      <c r="M4" s="617"/>
      <c r="N4" s="617"/>
      <c r="O4" s="617"/>
      <c r="Q4" s="617"/>
      <c r="R4" s="617"/>
      <c r="S4" s="617"/>
      <c r="T4" s="617"/>
      <c r="X4" s="617"/>
      <c r="Y4" s="1354" t="s">
        <v>1</v>
      </c>
      <c r="Z4" s="1354"/>
      <c r="AA4" s="1354"/>
    </row>
    <row r="5" spans="1:28" ht="37.5" customHeight="1">
      <c r="C5" s="45">
        <v>1995</v>
      </c>
      <c r="D5" s="45">
        <v>2000</v>
      </c>
      <c r="E5" s="46">
        <v>2001</v>
      </c>
      <c r="F5" s="46">
        <v>2002</v>
      </c>
      <c r="G5" s="46">
        <v>2003</v>
      </c>
      <c r="H5" s="46">
        <v>2004</v>
      </c>
      <c r="I5" s="46">
        <v>2005</v>
      </c>
      <c r="J5" s="46">
        <v>2006</v>
      </c>
      <c r="K5" s="46">
        <v>2007</v>
      </c>
      <c r="L5" s="46">
        <v>2008</v>
      </c>
      <c r="M5" s="46">
        <v>2009</v>
      </c>
      <c r="N5" s="46">
        <v>2010</v>
      </c>
      <c r="O5" s="46">
        <v>2011</v>
      </c>
      <c r="P5" s="46">
        <v>2012</v>
      </c>
      <c r="Q5" s="46">
        <v>2013</v>
      </c>
      <c r="R5" s="46">
        <v>2014</v>
      </c>
      <c r="S5" s="46">
        <v>2015</v>
      </c>
      <c r="T5" s="46">
        <v>2016</v>
      </c>
      <c r="U5" s="46">
        <v>2017</v>
      </c>
      <c r="V5" s="46">
        <v>2018</v>
      </c>
      <c r="W5" s="46">
        <v>2019</v>
      </c>
      <c r="X5" s="46">
        <v>2020</v>
      </c>
      <c r="Y5" s="46">
        <v>2021</v>
      </c>
      <c r="Z5" s="47">
        <v>2022</v>
      </c>
      <c r="AA5" s="145" t="s">
        <v>323</v>
      </c>
      <c r="AB5" s="635"/>
    </row>
    <row r="6" spans="1:28" ht="12.75" customHeight="1">
      <c r="B6" s="118" t="s">
        <v>238</v>
      </c>
      <c r="C6" s="147"/>
      <c r="D6" s="249"/>
      <c r="E6" s="249"/>
      <c r="F6" s="249"/>
      <c r="G6" s="249"/>
      <c r="H6" s="249"/>
      <c r="I6" s="249"/>
      <c r="J6" s="249"/>
      <c r="K6" s="249"/>
      <c r="L6" s="249"/>
      <c r="M6" s="250"/>
      <c r="N6" s="250"/>
      <c r="O6" s="380">
        <f>SUM(O7:O33)+0.015</f>
        <v>575.53020831598917</v>
      </c>
      <c r="P6" s="380">
        <f>SUM(P7:P33)+0.015</f>
        <v>479.68045515394908</v>
      </c>
      <c r="Q6" s="380">
        <f t="shared" ref="Q6:Z6" si="0">SUM(Q7:Q33)</f>
        <v>386.35603709520956</v>
      </c>
      <c r="R6" s="380">
        <f t="shared" si="0"/>
        <v>357.65415943810393</v>
      </c>
      <c r="S6" s="380">
        <f t="shared" si="0"/>
        <v>337.779334969525</v>
      </c>
      <c r="T6" s="380">
        <f t="shared" si="0"/>
        <v>328.17843899455539</v>
      </c>
      <c r="U6" s="380">
        <f t="shared" si="0"/>
        <v>422.82248513026849</v>
      </c>
      <c r="V6" s="380">
        <f t="shared" si="0"/>
        <v>290.41841969811622</v>
      </c>
      <c r="W6" s="380">
        <f t="shared" si="0"/>
        <v>327.27211460764676</v>
      </c>
      <c r="X6" s="380">
        <f t="shared" si="0"/>
        <v>373.3</v>
      </c>
      <c r="Y6" s="380">
        <f t="shared" si="0"/>
        <v>333.71385147535892</v>
      </c>
      <c r="Z6" s="380">
        <f t="shared" si="0"/>
        <v>325.56555970124242</v>
      </c>
      <c r="AA6" s="454">
        <f>Z6/Y6*100-100</f>
        <v>-2.4417001985661244</v>
      </c>
      <c r="AB6" s="118" t="s">
        <v>238</v>
      </c>
    </row>
    <row r="7" spans="1:28" ht="12.75" customHeight="1">
      <c r="B7" s="582" t="s">
        <v>45</v>
      </c>
      <c r="C7" s="636">
        <v>27.582000000000001</v>
      </c>
      <c r="D7" s="621">
        <v>33.191000000000003</v>
      </c>
      <c r="E7" s="621">
        <v>30.190999999999999</v>
      </c>
      <c r="F7" s="621">
        <v>26.651</v>
      </c>
      <c r="G7" s="621">
        <v>20.581</v>
      </c>
      <c r="H7" s="621">
        <v>17.751000000000001</v>
      </c>
      <c r="I7" s="621">
        <v>17.347000000000001</v>
      </c>
      <c r="J7" s="621">
        <v>20.279</v>
      </c>
      <c r="K7" s="621">
        <v>21.434000000000001</v>
      </c>
      <c r="L7" s="621">
        <v>19.614000000000001</v>
      </c>
      <c r="M7" s="621">
        <v>17.044</v>
      </c>
      <c r="N7" s="621">
        <v>14.209</v>
      </c>
      <c r="O7" s="621">
        <f>12.125</f>
        <v>12.125</v>
      </c>
      <c r="P7" s="621">
        <v>10.385999999999999</v>
      </c>
      <c r="Q7" s="621">
        <v>8.8239999999999998</v>
      </c>
      <c r="R7" s="621">
        <v>10.936</v>
      </c>
      <c r="S7" s="621">
        <v>12.384</v>
      </c>
      <c r="T7" s="621">
        <v>10.599</v>
      </c>
      <c r="U7" s="621">
        <v>18.760999999999999</v>
      </c>
      <c r="V7" s="621">
        <v>21.390999999999998</v>
      </c>
      <c r="W7" s="621">
        <v>27.073</v>
      </c>
      <c r="X7" s="621">
        <v>28.535</v>
      </c>
      <c r="Y7" s="621">
        <v>26.82</v>
      </c>
      <c r="Z7" s="622">
        <v>31.995999999999999</v>
      </c>
      <c r="AA7" s="637">
        <f t="shared" ref="AA7:AA45" si="1">Z7/Y7*100-100</f>
        <v>19.299030574198355</v>
      </c>
      <c r="AB7" s="638" t="s">
        <v>45</v>
      </c>
    </row>
    <row r="8" spans="1:28" ht="12.75" customHeight="1">
      <c r="B8" s="43" t="s">
        <v>28</v>
      </c>
      <c r="C8" s="143"/>
      <c r="D8" s="623">
        <v>2.052</v>
      </c>
      <c r="E8" s="623">
        <v>2.1989999999999998</v>
      </c>
      <c r="F8" s="623">
        <v>2.4119999999999999</v>
      </c>
      <c r="G8" s="623">
        <v>2.6219999999999999</v>
      </c>
      <c r="H8" s="624">
        <f>AVERAGE(G8,I8)</f>
        <v>1.8434999999999999</v>
      </c>
      <c r="I8" s="623">
        <v>1.0649999999999999</v>
      </c>
      <c r="J8" s="623">
        <v>1.4890000000000001</v>
      </c>
      <c r="K8" s="623">
        <v>2.101</v>
      </c>
      <c r="L8" s="623">
        <v>3.9649999999999999</v>
      </c>
      <c r="M8" s="623">
        <v>2.4910000000000001</v>
      </c>
      <c r="N8" s="623">
        <v>2.1469999999999998</v>
      </c>
      <c r="O8" s="623">
        <v>1.6839999999999999</v>
      </c>
      <c r="P8" s="623">
        <v>1.7270000000000001</v>
      </c>
      <c r="Q8" s="623">
        <v>1.272</v>
      </c>
      <c r="R8" s="623">
        <v>1.0780000000000001</v>
      </c>
      <c r="S8" s="623">
        <v>0.80700000000000005</v>
      </c>
      <c r="T8" s="623">
        <f>0.776</f>
        <v>0.77600000000000002</v>
      </c>
      <c r="U8" s="623">
        <v>1.034</v>
      </c>
      <c r="V8" s="623">
        <v>0.83199999999999996</v>
      </c>
      <c r="W8" s="623">
        <v>1.042</v>
      </c>
      <c r="X8" s="253">
        <v>0.44400000000000001</v>
      </c>
      <c r="Y8" s="253">
        <v>0.45800000000000002</v>
      </c>
      <c r="Z8" s="268">
        <v>0.70799999999999996</v>
      </c>
      <c r="AA8" s="449">
        <f t="shared" si="1"/>
        <v>54.585152838427916</v>
      </c>
      <c r="AB8" s="52" t="s">
        <v>28</v>
      </c>
    </row>
    <row r="9" spans="1:28" ht="12.75" customHeight="1">
      <c r="A9" s="8"/>
      <c r="B9" s="585" t="s">
        <v>30</v>
      </c>
      <c r="C9" s="639"/>
      <c r="D9" s="626"/>
      <c r="E9" s="626"/>
      <c r="F9" s="626"/>
      <c r="G9" s="626">
        <v>7.7240000000000002</v>
      </c>
      <c r="H9" s="626">
        <v>6.9029999999999996</v>
      </c>
      <c r="I9" s="626">
        <v>8.0169999999999995</v>
      </c>
      <c r="J9" s="626">
        <v>6.0789999999999997</v>
      </c>
      <c r="K9" s="626">
        <v>6.1210000000000004</v>
      </c>
      <c r="L9" s="626">
        <v>5.7069999999999999</v>
      </c>
      <c r="M9" s="626">
        <v>4.327</v>
      </c>
      <c r="N9" s="626">
        <v>2.8530000000000002</v>
      </c>
      <c r="O9" s="626">
        <f>2.142</f>
        <v>2.1419999999999999</v>
      </c>
      <c r="P9" s="626">
        <v>2.3420000000000001</v>
      </c>
      <c r="Q9" s="631">
        <f>AVERAGE(P9,S9)</f>
        <v>1.923</v>
      </c>
      <c r="R9" s="626">
        <v>1.806</v>
      </c>
      <c r="S9" s="626">
        <v>1.504</v>
      </c>
      <c r="T9" s="626">
        <v>1.06</v>
      </c>
      <c r="U9" s="626">
        <v>1.417</v>
      </c>
      <c r="V9" s="626">
        <v>0.92200000000000004</v>
      </c>
      <c r="W9" s="626">
        <v>1.137</v>
      </c>
      <c r="X9" s="776">
        <v>1.1499999999999999</v>
      </c>
      <c r="Y9" s="776">
        <v>1.1768869999999998</v>
      </c>
      <c r="Z9" s="627">
        <f>Y9*mbike_reg!Z9/mbike_reg!Y9</f>
        <v>1.2370921138975965</v>
      </c>
      <c r="AA9" s="640">
        <f t="shared" si="1"/>
        <v>5.1156240061787344</v>
      </c>
      <c r="AB9" s="641" t="s">
        <v>30</v>
      </c>
    </row>
    <row r="10" spans="1:28" ht="12.75" customHeight="1">
      <c r="A10" s="8"/>
      <c r="B10" s="43" t="s">
        <v>41</v>
      </c>
      <c r="C10" s="143">
        <v>10.818</v>
      </c>
      <c r="D10" s="623">
        <v>9.766</v>
      </c>
      <c r="E10" s="623">
        <v>6.7960000000000003</v>
      </c>
      <c r="F10" s="623">
        <v>5.048</v>
      </c>
      <c r="G10" s="623">
        <v>3.758</v>
      </c>
      <c r="H10" s="623">
        <v>4.1970000000000001</v>
      </c>
      <c r="I10" s="623">
        <v>4.9160000000000004</v>
      </c>
      <c r="J10" s="623">
        <v>4.4619999999999997</v>
      </c>
      <c r="K10" s="623">
        <v>4.5179999999999998</v>
      </c>
      <c r="L10" s="623">
        <v>3.67</v>
      </c>
      <c r="M10" s="258">
        <v>18.792000000000002</v>
      </c>
      <c r="N10" s="623">
        <v>17.634</v>
      </c>
      <c r="O10" s="623">
        <v>15.086</v>
      </c>
      <c r="P10" s="623">
        <v>12.698</v>
      </c>
      <c r="Q10" s="623">
        <v>8.9239999999999995</v>
      </c>
      <c r="R10" s="623">
        <v>8.2669999999999995</v>
      </c>
      <c r="S10" s="623">
        <v>7.9870000000000001</v>
      </c>
      <c r="T10" s="623">
        <v>8.5790000000000006</v>
      </c>
      <c r="U10" s="623">
        <v>15.375999999999999</v>
      </c>
      <c r="V10" s="623">
        <v>5.5709999999999997</v>
      </c>
      <c r="W10" s="623">
        <v>6.09</v>
      </c>
      <c r="X10" s="253">
        <v>8.5670000000000002</v>
      </c>
      <c r="Y10" s="253">
        <v>7.8529999999999998</v>
      </c>
      <c r="Z10" s="268">
        <v>7.5910000000000002</v>
      </c>
      <c r="AA10" s="449">
        <f t="shared" si="1"/>
        <v>-3.3363045969693133</v>
      </c>
      <c r="AB10" s="52" t="s">
        <v>41</v>
      </c>
    </row>
    <row r="11" spans="1:28" ht="12.75" customHeight="1">
      <c r="A11" s="8"/>
      <c r="B11" s="585" t="s">
        <v>46</v>
      </c>
      <c r="C11" s="639">
        <v>124.497</v>
      </c>
      <c r="D11" s="626">
        <v>108.67100000000001</v>
      </c>
      <c r="E11" s="626">
        <v>112.322</v>
      </c>
      <c r="F11" s="626">
        <v>94.576999999999998</v>
      </c>
      <c r="G11" s="626">
        <v>93.02</v>
      </c>
      <c r="H11" s="626">
        <v>81.28</v>
      </c>
      <c r="I11" s="626">
        <v>97.332999999999998</v>
      </c>
      <c r="J11" s="626">
        <v>109.90600000000001</v>
      </c>
      <c r="K11" s="626">
        <v>94.215000000000003</v>
      </c>
      <c r="L11" s="626">
        <v>79.56</v>
      </c>
      <c r="M11" s="626">
        <v>74.688000000000002</v>
      </c>
      <c r="N11" s="626">
        <v>64.938999999999993</v>
      </c>
      <c r="O11" s="626">
        <f>57.367</f>
        <v>57.366999999999997</v>
      </c>
      <c r="P11" s="626">
        <v>50.59</v>
      </c>
      <c r="Q11" s="626">
        <v>41.36</v>
      </c>
      <c r="R11" s="626">
        <v>34.203000000000003</v>
      </c>
      <c r="S11" s="626">
        <v>32.637999999999998</v>
      </c>
      <c r="T11" s="626">
        <v>30.11</v>
      </c>
      <c r="U11" s="626">
        <v>33.253999999999998</v>
      </c>
      <c r="V11" s="626">
        <v>25.634</v>
      </c>
      <c r="W11" s="626">
        <v>25.247</v>
      </c>
      <c r="X11" s="772">
        <v>23.923999999999999</v>
      </c>
      <c r="Y11" s="772">
        <v>24.113</v>
      </c>
      <c r="Z11" s="629">
        <v>29.617000000000001</v>
      </c>
      <c r="AA11" s="640">
        <f t="shared" si="1"/>
        <v>22.825861568448573</v>
      </c>
      <c r="AB11" s="641" t="s">
        <v>46</v>
      </c>
    </row>
    <row r="12" spans="1:28" ht="12.75" customHeight="1">
      <c r="A12" s="8"/>
      <c r="B12" s="43" t="s">
        <v>31</v>
      </c>
      <c r="C12" s="143"/>
      <c r="D12" s="623"/>
      <c r="E12" s="623"/>
      <c r="F12" s="623"/>
      <c r="G12" s="623"/>
      <c r="H12" s="623">
        <v>6.9029999999999996</v>
      </c>
      <c r="I12" s="623">
        <v>8.0169999999999995</v>
      </c>
      <c r="J12" s="623">
        <v>6.0789999999999997</v>
      </c>
      <c r="K12" s="623">
        <v>6.1210000000000004</v>
      </c>
      <c r="L12" s="623">
        <v>5.7069999999999999</v>
      </c>
      <c r="M12" s="258">
        <v>2.3E-2</v>
      </c>
      <c r="N12" s="623">
        <v>1.6E-2</v>
      </c>
      <c r="O12" s="623">
        <f>0.003</f>
        <v>3.0000000000000001E-3</v>
      </c>
      <c r="P12" s="258">
        <v>0.66200000000000003</v>
      </c>
      <c r="Q12" s="623">
        <v>0.66200000000000003</v>
      </c>
      <c r="R12" s="623">
        <v>0.749</v>
      </c>
      <c r="S12" s="623">
        <v>0.66600000000000004</v>
      </c>
      <c r="T12" s="623">
        <v>0.60299999999999998</v>
      </c>
      <c r="U12" s="623">
        <v>0.58799999999999997</v>
      </c>
      <c r="V12" s="623">
        <v>0.64800000000000002</v>
      </c>
      <c r="W12" s="623">
        <v>0.56000000000000005</v>
      </c>
      <c r="X12" s="253">
        <v>0.47099999999999997</v>
      </c>
      <c r="Y12" s="253">
        <v>0.46200000000000002</v>
      </c>
      <c r="Z12" s="268">
        <v>0.45100000000000001</v>
      </c>
      <c r="AA12" s="449">
        <f t="shared" si="1"/>
        <v>-2.3809523809523796</v>
      </c>
      <c r="AB12" s="52" t="s">
        <v>31</v>
      </c>
    </row>
    <row r="13" spans="1:28" ht="12.75" customHeight="1">
      <c r="A13" s="8"/>
      <c r="B13" s="585" t="s">
        <v>49</v>
      </c>
      <c r="C13" s="639">
        <v>0.437</v>
      </c>
      <c r="D13" s="626">
        <v>3.0230000000000001</v>
      </c>
      <c r="E13" s="626">
        <v>2.214</v>
      </c>
      <c r="F13" s="626">
        <v>2.3490000000000002</v>
      </c>
      <c r="G13" s="626">
        <v>2.14</v>
      </c>
      <c r="H13" s="626">
        <v>1.2989999999999999</v>
      </c>
      <c r="I13" s="626">
        <v>0.84899999999999998</v>
      </c>
      <c r="J13" s="626">
        <v>0.69799999999999995</v>
      </c>
      <c r="K13" s="626">
        <v>0.64100000000000001</v>
      </c>
      <c r="L13" s="626">
        <v>0.54900000000000004</v>
      </c>
      <c r="M13" s="626">
        <v>0.44700000000000001</v>
      </c>
      <c r="N13" s="626">
        <v>0.20599999999999999</v>
      </c>
      <c r="O13" s="626">
        <f>0.201</f>
        <v>0.20100000000000001</v>
      </c>
      <c r="P13" s="626">
        <v>0.18099999999999999</v>
      </c>
      <c r="Q13" s="626">
        <v>0.16900000000000001</v>
      </c>
      <c r="R13" s="626">
        <v>0.14099999999999999</v>
      </c>
      <c r="S13" s="626">
        <v>0.22700000000000001</v>
      </c>
      <c r="T13" s="626">
        <v>0.21199999999999999</v>
      </c>
      <c r="U13" s="626">
        <v>0.158</v>
      </c>
      <c r="V13" s="626">
        <v>0.22700000000000001</v>
      </c>
      <c r="W13" s="626">
        <v>0.223</v>
      </c>
      <c r="X13" s="772">
        <v>0.155</v>
      </c>
      <c r="Y13" s="772">
        <v>0.20100000000000001</v>
      </c>
      <c r="Z13" s="629">
        <v>0.14799999999999999</v>
      </c>
      <c r="AA13" s="640">
        <f t="shared" si="1"/>
        <v>-26.368159203980113</v>
      </c>
      <c r="AB13" s="641" t="s">
        <v>49</v>
      </c>
    </row>
    <row r="14" spans="1:28" ht="12.75" customHeight="1">
      <c r="A14" s="8"/>
      <c r="B14" s="43" t="s">
        <v>42</v>
      </c>
      <c r="C14" s="143">
        <v>13.5</v>
      </c>
      <c r="D14" s="623">
        <v>19.242999999999999</v>
      </c>
      <c r="E14" s="623">
        <v>21.149000000000001</v>
      </c>
      <c r="F14" s="623">
        <v>20.221</v>
      </c>
      <c r="G14" s="623">
        <v>20.920999999999999</v>
      </c>
      <c r="H14" s="623">
        <v>21.856000000000002</v>
      </c>
      <c r="I14" s="623">
        <v>24.106999999999999</v>
      </c>
      <c r="J14" s="623">
        <v>36.295000000000002</v>
      </c>
      <c r="K14" s="623">
        <v>21.899000000000001</v>
      </c>
      <c r="L14" s="623">
        <v>25.01</v>
      </c>
      <c r="M14" s="623">
        <v>20.387</v>
      </c>
      <c r="N14" s="623">
        <v>18.858000000000001</v>
      </c>
      <c r="O14" s="623">
        <f>17.257</f>
        <v>17.257000000000001</v>
      </c>
      <c r="P14" s="623">
        <v>13.276</v>
      </c>
      <c r="Q14" s="623">
        <v>9.9250000000000007</v>
      </c>
      <c r="R14" s="623">
        <v>8.2010000000000005</v>
      </c>
      <c r="S14" s="623">
        <v>8.5500000000000007</v>
      </c>
      <c r="T14" s="623">
        <v>6.6360000000000001</v>
      </c>
      <c r="U14" s="623">
        <v>4.5170000000000003</v>
      </c>
      <c r="V14" s="623">
        <v>3.3860000000000001</v>
      </c>
      <c r="W14" s="623">
        <v>2.3679999999999999</v>
      </c>
      <c r="X14" s="777">
        <v>2.71</v>
      </c>
      <c r="Y14" s="777">
        <v>3.395676460636138</v>
      </c>
      <c r="Z14" s="570">
        <f>Y14*mbike_reg!Z14/mbike_reg!Y14</f>
        <v>4.2534406722309948</v>
      </c>
      <c r="AA14" s="449">
        <f t="shared" si="1"/>
        <v>25.260481130589369</v>
      </c>
      <c r="AB14" s="52" t="s">
        <v>42</v>
      </c>
    </row>
    <row r="15" spans="1:28" ht="12.75" customHeight="1">
      <c r="A15" s="8"/>
      <c r="B15" s="585" t="s">
        <v>47</v>
      </c>
      <c r="C15" s="639">
        <v>155.22999999999999</v>
      </c>
      <c r="D15" s="626">
        <v>248.63300000000001</v>
      </c>
      <c r="E15" s="626">
        <v>176.489</v>
      </c>
      <c r="F15" s="626">
        <v>113.756</v>
      </c>
      <c r="G15" s="626">
        <v>110.42100000000001</v>
      </c>
      <c r="H15" s="626">
        <v>118.128</v>
      </c>
      <c r="I15" s="626">
        <v>115.142</v>
      </c>
      <c r="J15" s="626">
        <v>137.46</v>
      </c>
      <c r="K15" s="626">
        <v>125.86199999999999</v>
      </c>
      <c r="L15" s="626">
        <v>84.221999999999994</v>
      </c>
      <c r="M15" s="626">
        <v>43.954000000000001</v>
      </c>
      <c r="N15" s="626">
        <v>34.186999999999998</v>
      </c>
      <c r="O15" s="626">
        <f>23.26</f>
        <v>23.26</v>
      </c>
      <c r="P15" s="626">
        <v>18.710999999999999</v>
      </c>
      <c r="Q15" s="626">
        <v>15.416</v>
      </c>
      <c r="R15" s="626">
        <v>14.81</v>
      </c>
      <c r="S15" s="626">
        <v>15.956</v>
      </c>
      <c r="T15" s="626">
        <v>17.172999999999998</v>
      </c>
      <c r="U15" s="626">
        <v>21.713000000000001</v>
      </c>
      <c r="V15" s="626">
        <v>16.13</v>
      </c>
      <c r="W15" s="626">
        <v>18.731000000000002</v>
      </c>
      <c r="X15" s="772">
        <v>22.69</v>
      </c>
      <c r="Y15" s="772">
        <v>18.882999999999999</v>
      </c>
      <c r="Z15" s="629">
        <v>17.463999999999999</v>
      </c>
      <c r="AA15" s="640">
        <f t="shared" si="1"/>
        <v>-7.5146957580892888</v>
      </c>
      <c r="AB15" s="641" t="s">
        <v>47</v>
      </c>
    </row>
    <row r="16" spans="1:28" ht="12.75" customHeight="1">
      <c r="A16" s="8"/>
      <c r="B16" s="43" t="s">
        <v>48</v>
      </c>
      <c r="C16" s="143">
        <v>218.19800000000001</v>
      </c>
      <c r="D16" s="623">
        <v>192.273</v>
      </c>
      <c r="E16" s="623">
        <v>184.666</v>
      </c>
      <c r="F16" s="623">
        <v>166.124</v>
      </c>
      <c r="G16" s="623">
        <v>166.12700000000001</v>
      </c>
      <c r="H16" s="623">
        <v>166.00299999999999</v>
      </c>
      <c r="I16" s="623">
        <v>154.922</v>
      </c>
      <c r="J16" s="623">
        <v>184.869</v>
      </c>
      <c r="K16" s="623">
        <v>209.45099999999999</v>
      </c>
      <c r="L16" s="623">
        <v>190.315</v>
      </c>
      <c r="M16" s="623">
        <v>156.96299999999999</v>
      </c>
      <c r="N16" s="623">
        <v>144.46700000000001</v>
      </c>
      <c r="O16" s="623">
        <f>146.442</f>
        <v>146.44200000000001</v>
      </c>
      <c r="P16" s="623">
        <v>127.20099999999999</v>
      </c>
      <c r="Q16" s="623">
        <v>106.054</v>
      </c>
      <c r="R16" s="623">
        <v>98.177999999999997</v>
      </c>
      <c r="S16" s="623">
        <v>89.646000000000001</v>
      </c>
      <c r="T16" s="623">
        <v>89.731999999999999</v>
      </c>
      <c r="U16" s="623">
        <v>107.322</v>
      </c>
      <c r="V16" s="623">
        <v>72.94</v>
      </c>
      <c r="W16" s="623">
        <v>91.043000000000006</v>
      </c>
      <c r="X16" s="253">
        <v>99.082999999999998</v>
      </c>
      <c r="Y16" s="253">
        <v>100.929</v>
      </c>
      <c r="Z16" s="268">
        <v>93.272999999999996</v>
      </c>
      <c r="AA16" s="449">
        <f t="shared" si="1"/>
        <v>-7.5855304223761237</v>
      </c>
      <c r="AB16" s="52" t="s">
        <v>48</v>
      </c>
    </row>
    <row r="17" spans="1:28" ht="12.75" customHeight="1">
      <c r="A17" s="8"/>
      <c r="B17" s="585" t="s">
        <v>59</v>
      </c>
      <c r="C17" s="639"/>
      <c r="D17" s="626"/>
      <c r="E17" s="626"/>
      <c r="F17" s="626"/>
      <c r="G17" s="626"/>
      <c r="H17" s="626"/>
      <c r="I17" s="626">
        <v>13.233000000000001</v>
      </c>
      <c r="J17" s="626">
        <v>15.228</v>
      </c>
      <c r="K17" s="626">
        <v>18.158999999999999</v>
      </c>
      <c r="L17" s="626">
        <v>19.785</v>
      </c>
      <c r="M17" s="626">
        <v>10.57</v>
      </c>
      <c r="N17" s="626">
        <v>6.4420000000000002</v>
      </c>
      <c r="O17" s="626">
        <f>5.352</f>
        <v>5.3520000000000003</v>
      </c>
      <c r="P17" s="626">
        <v>4.05</v>
      </c>
      <c r="Q17" s="630">
        <v>3.1579999999999999</v>
      </c>
      <c r="R17" s="626">
        <v>3.4279999999999999</v>
      </c>
      <c r="S17" s="626">
        <v>2.64</v>
      </c>
      <c r="T17" s="626">
        <v>2.7050000000000001</v>
      </c>
      <c r="U17" s="626">
        <v>2.581</v>
      </c>
      <c r="V17" s="626">
        <v>3.3809999999999998</v>
      </c>
      <c r="W17" s="626">
        <v>2.9209999999999998</v>
      </c>
      <c r="X17" s="772">
        <v>2.109</v>
      </c>
      <c r="Y17" s="772">
        <v>0.53100000000000003</v>
      </c>
      <c r="Z17" s="629">
        <v>1.111</v>
      </c>
      <c r="AA17" s="640">
        <f t="shared" si="1"/>
        <v>109.22787193973633</v>
      </c>
      <c r="AB17" s="641" t="s">
        <v>59</v>
      </c>
    </row>
    <row r="18" spans="1:28" ht="12.75" customHeight="1">
      <c r="A18" s="8"/>
      <c r="B18" s="119" t="s">
        <v>50</v>
      </c>
      <c r="C18" s="213">
        <v>575.11199999999997</v>
      </c>
      <c r="D18" s="628">
        <v>311.83600000000001</v>
      </c>
      <c r="E18" s="628">
        <v>175.54300000000001</v>
      </c>
      <c r="F18" s="628">
        <v>166.755</v>
      </c>
      <c r="G18" s="628">
        <v>161.893</v>
      </c>
      <c r="H18" s="628">
        <v>132.36699999999999</v>
      </c>
      <c r="I18" s="628">
        <v>128.28399999999999</v>
      </c>
      <c r="J18" s="628">
        <v>109.85</v>
      </c>
      <c r="K18" s="628">
        <v>130.696</v>
      </c>
      <c r="L18" s="628">
        <v>123.11</v>
      </c>
      <c r="M18" s="628">
        <v>114.36799999999999</v>
      </c>
      <c r="N18" s="628">
        <v>90.191000000000003</v>
      </c>
      <c r="O18" s="628">
        <f>75.419</f>
        <v>75.418999999999997</v>
      </c>
      <c r="P18" s="628">
        <v>51.755000000000003</v>
      </c>
      <c r="Q18" s="628">
        <v>33.597999999999999</v>
      </c>
      <c r="R18" s="628">
        <v>28.388000000000002</v>
      </c>
      <c r="S18" s="628">
        <v>24.637</v>
      </c>
      <c r="T18" s="628">
        <v>24.593</v>
      </c>
      <c r="U18" s="628">
        <v>26.030999999999999</v>
      </c>
      <c r="V18" s="628">
        <v>21.326000000000001</v>
      </c>
      <c r="W18" s="628">
        <v>21.132999999999999</v>
      </c>
      <c r="X18" s="260">
        <v>21.359000000000002</v>
      </c>
      <c r="Y18" s="260">
        <v>20.164000000000001</v>
      </c>
      <c r="Z18" s="269">
        <v>21.608000000000001</v>
      </c>
      <c r="AA18" s="525">
        <f t="shared" si="1"/>
        <v>7.1612775243007292</v>
      </c>
      <c r="AB18" s="209" t="s">
        <v>50</v>
      </c>
    </row>
    <row r="19" spans="1:28" ht="12.75" customHeight="1">
      <c r="A19" s="8"/>
      <c r="B19" s="585" t="s">
        <v>29</v>
      </c>
      <c r="C19" s="639"/>
      <c r="D19" s="626"/>
      <c r="E19" s="626"/>
      <c r="F19" s="626">
        <v>2.3149999999999999</v>
      </c>
      <c r="G19" s="626">
        <v>2.6520000000000001</v>
      </c>
      <c r="H19" s="626">
        <v>2.4119999999999999</v>
      </c>
      <c r="I19" s="626">
        <v>2.08</v>
      </c>
      <c r="J19" s="626">
        <v>1.7390000000000001</v>
      </c>
      <c r="K19" s="626">
        <v>1.7470000000000001</v>
      </c>
      <c r="L19" s="626">
        <v>1.7310000000000001</v>
      </c>
      <c r="M19" s="626">
        <v>1.4159999999999999</v>
      </c>
      <c r="N19" s="626">
        <v>0.45700000000000002</v>
      </c>
      <c r="O19" s="626">
        <f>0.447</f>
        <v>0.44700000000000001</v>
      </c>
      <c r="P19" s="626">
        <v>0.26400000000000001</v>
      </c>
      <c r="Q19" s="626">
        <v>0.20699999999999999</v>
      </c>
      <c r="R19" s="626">
        <v>0.19700000000000001</v>
      </c>
      <c r="S19" s="626">
        <v>0.154</v>
      </c>
      <c r="T19" s="626">
        <v>0.192</v>
      </c>
      <c r="U19" s="626">
        <v>0.24299999999999999</v>
      </c>
      <c r="V19" s="626">
        <v>0.29699999999999999</v>
      </c>
      <c r="W19" s="626">
        <v>0.26900000000000002</v>
      </c>
      <c r="X19" s="772">
        <v>0.23200000000000001</v>
      </c>
      <c r="Y19" s="772">
        <v>0.23300000000000001</v>
      </c>
      <c r="Z19" s="629">
        <v>0.217</v>
      </c>
      <c r="AA19" s="640">
        <f t="shared" si="1"/>
        <v>-6.8669527896995817</v>
      </c>
      <c r="AB19" s="641" t="s">
        <v>29</v>
      </c>
    </row>
    <row r="20" spans="1:28" ht="12.75" customHeight="1">
      <c r="A20" s="8"/>
      <c r="B20" s="119" t="s">
        <v>33</v>
      </c>
      <c r="C20" s="213"/>
      <c r="D20" s="628"/>
      <c r="E20" s="628"/>
      <c r="F20" s="628"/>
      <c r="G20" s="628"/>
      <c r="H20" s="628">
        <v>0.45700000000000002</v>
      </c>
      <c r="I20" s="628">
        <v>0.63700000000000001</v>
      </c>
      <c r="J20" s="628">
        <v>1.7110000000000001</v>
      </c>
      <c r="K20" s="628">
        <v>3.464</v>
      </c>
      <c r="L20" s="628">
        <v>3.73</v>
      </c>
      <c r="M20" s="628">
        <v>0.64900000000000002</v>
      </c>
      <c r="N20" s="628">
        <v>0.97</v>
      </c>
      <c r="O20" s="628">
        <f>1.343</f>
        <v>1.343</v>
      </c>
      <c r="P20" s="628">
        <v>1.6539999999999999</v>
      </c>
      <c r="Q20" s="628">
        <v>1.556</v>
      </c>
      <c r="R20" s="628">
        <v>1.212</v>
      </c>
      <c r="S20" s="628">
        <v>0.999</v>
      </c>
      <c r="T20" s="628">
        <v>0.93500000000000005</v>
      </c>
      <c r="U20" s="628">
        <v>1.2689999999999999</v>
      </c>
      <c r="V20" s="628">
        <v>0.63600000000000001</v>
      </c>
      <c r="W20" s="628">
        <v>0.78900000000000003</v>
      </c>
      <c r="X20" s="260">
        <v>0.67300000000000004</v>
      </c>
      <c r="Y20" s="260">
        <v>0.62</v>
      </c>
      <c r="Z20" s="269">
        <v>0.53300000000000003</v>
      </c>
      <c r="AA20" s="525">
        <f t="shared" si="1"/>
        <v>-14.032258064516128</v>
      </c>
      <c r="AB20" s="209" t="s">
        <v>33</v>
      </c>
    </row>
    <row r="21" spans="1:28" ht="12.75" customHeight="1">
      <c r="A21" s="8"/>
      <c r="B21" s="585" t="s">
        <v>34</v>
      </c>
      <c r="C21" s="639"/>
      <c r="D21" s="626"/>
      <c r="E21" s="626"/>
      <c r="F21" s="626"/>
      <c r="G21" s="626"/>
      <c r="H21" s="626"/>
      <c r="I21" s="626"/>
      <c r="J21" s="626"/>
      <c r="K21" s="626"/>
      <c r="L21" s="626">
        <v>5.4039999999999999</v>
      </c>
      <c r="M21" s="626">
        <v>3.4990000000000001</v>
      </c>
      <c r="N21" s="626">
        <v>1.18</v>
      </c>
      <c r="O21" s="626">
        <f>1.319</f>
        <v>1.319</v>
      </c>
      <c r="P21" s="626">
        <v>0.96899999999999997</v>
      </c>
      <c r="Q21" s="630">
        <v>1.988</v>
      </c>
      <c r="R21" s="626">
        <v>1.8660000000000001</v>
      </c>
      <c r="S21" s="626">
        <v>1.6859999999999999</v>
      </c>
      <c r="T21" s="626">
        <v>1.4410000000000001</v>
      </c>
      <c r="U21" s="626">
        <v>1.657</v>
      </c>
      <c r="V21" s="626">
        <v>1.254</v>
      </c>
      <c r="W21" s="626">
        <v>1.3029999999999999</v>
      </c>
      <c r="X21" s="626">
        <v>0.59499999999999997</v>
      </c>
      <c r="Y21" s="772">
        <v>0.86299999999999999</v>
      </c>
      <c r="Z21" s="629">
        <v>0.92800000000000005</v>
      </c>
      <c r="AA21" s="640">
        <f t="shared" si="1"/>
        <v>7.5318655851680347</v>
      </c>
      <c r="AB21" s="641" t="s">
        <v>34</v>
      </c>
    </row>
    <row r="22" spans="1:28" ht="12.75" customHeight="1">
      <c r="A22" s="8"/>
      <c r="B22" s="119" t="s">
        <v>51</v>
      </c>
      <c r="C22" s="213"/>
      <c r="D22" s="628">
        <v>0.45400000000000001</v>
      </c>
      <c r="E22" s="628">
        <v>0.437</v>
      </c>
      <c r="F22" s="628">
        <v>0.48299999999999998</v>
      </c>
      <c r="G22" s="628">
        <v>0.63</v>
      </c>
      <c r="H22" s="628">
        <v>0.55200000000000005</v>
      </c>
      <c r="I22" s="628">
        <v>0.52800000000000002</v>
      </c>
      <c r="J22" s="628">
        <v>0.65700000000000003</v>
      </c>
      <c r="K22" s="628">
        <v>0.60399999999999998</v>
      </c>
      <c r="L22" s="628">
        <v>0.67700000000000005</v>
      </c>
      <c r="M22" s="628">
        <v>0.64500000000000002</v>
      </c>
      <c r="N22" s="628">
        <v>0.70299999999999996</v>
      </c>
      <c r="O22" s="628">
        <f>0.885</f>
        <v>0.88500000000000001</v>
      </c>
      <c r="P22" s="628">
        <v>0.97899999999999998</v>
      </c>
      <c r="Q22" s="628">
        <v>1.08</v>
      </c>
      <c r="R22" s="628">
        <v>1.008</v>
      </c>
      <c r="S22" s="628">
        <v>0.92400000000000004</v>
      </c>
      <c r="T22" s="628">
        <v>0.92600000000000005</v>
      </c>
      <c r="U22" s="628">
        <v>0.49</v>
      </c>
      <c r="V22" s="628">
        <v>0.27300000000000002</v>
      </c>
      <c r="W22" s="628">
        <v>0.35799999999999998</v>
      </c>
      <c r="X22" s="260">
        <v>0.42699999999999999</v>
      </c>
      <c r="Y22" s="260">
        <v>0.42699999999999999</v>
      </c>
      <c r="Z22" s="269">
        <v>0.314</v>
      </c>
      <c r="AA22" s="525">
        <f t="shared" si="1"/>
        <v>-26.463700234192032</v>
      </c>
      <c r="AB22" s="209" t="s">
        <v>51</v>
      </c>
    </row>
    <row r="23" spans="1:28" ht="12.75" customHeight="1">
      <c r="A23" s="8"/>
      <c r="B23" s="585" t="s">
        <v>32</v>
      </c>
      <c r="C23" s="639"/>
      <c r="D23" s="626"/>
      <c r="E23" s="626"/>
      <c r="F23" s="626"/>
      <c r="G23" s="626"/>
      <c r="H23" s="626"/>
      <c r="I23" s="626"/>
      <c r="J23" s="626"/>
      <c r="K23" s="626"/>
      <c r="L23" s="631">
        <v>11.088659415107342</v>
      </c>
      <c r="M23" s="631">
        <v>5.4334189540724775</v>
      </c>
      <c r="N23" s="631">
        <v>3.5558148443735038</v>
      </c>
      <c r="O23" s="631">
        <v>2.9422083159890851</v>
      </c>
      <c r="P23" s="631">
        <v>3.1834551539491303</v>
      </c>
      <c r="Q23" s="631">
        <v>3.3980370952094967</v>
      </c>
      <c r="R23" s="631">
        <f>AVERAGE(N23:P23)</f>
        <v>3.2271594381039059</v>
      </c>
      <c r="S23" s="631">
        <f>AVERAGE(N23:R23)</f>
        <v>3.2613349695250244</v>
      </c>
      <c r="T23" s="631">
        <f>AVERAGE(O23:S23)</f>
        <v>3.2024389945553287</v>
      </c>
      <c r="U23" s="631">
        <f>AVERAGE(P23:T23)</f>
        <v>3.2544851302685771</v>
      </c>
      <c r="V23" s="631">
        <v>3.2394196981163099</v>
      </c>
      <c r="W23" s="631">
        <v>3.2321146076467389</v>
      </c>
      <c r="X23" s="776">
        <v>3.7</v>
      </c>
      <c r="Y23" s="776">
        <v>3.9842880147227966</v>
      </c>
      <c r="Z23" s="627">
        <f>Y23*mbike_reg!Z23/mbike_reg!Y23</f>
        <v>4.4890269151138709</v>
      </c>
      <c r="AA23" s="640">
        <f t="shared" si="1"/>
        <v>12.66823328348643</v>
      </c>
      <c r="AB23" s="641" t="s">
        <v>32</v>
      </c>
    </row>
    <row r="24" spans="1:28" ht="12.75" customHeight="1">
      <c r="A24" s="8"/>
      <c r="B24" s="119" t="s">
        <v>35</v>
      </c>
      <c r="C24" s="213"/>
      <c r="D24" s="628"/>
      <c r="E24" s="628"/>
      <c r="F24" s="628"/>
      <c r="G24" s="628"/>
      <c r="H24" s="628"/>
      <c r="I24" s="628"/>
      <c r="J24" s="628"/>
      <c r="K24" s="628"/>
      <c r="L24" s="624"/>
      <c r="M24" s="624"/>
      <c r="N24" s="624"/>
      <c r="O24" s="624"/>
      <c r="P24" s="624"/>
      <c r="Q24" s="642">
        <v>1.6E-2</v>
      </c>
      <c r="R24" s="643">
        <v>2.4E-2</v>
      </c>
      <c r="S24" s="628">
        <v>3.5999999999999997E-2</v>
      </c>
      <c r="T24" s="628">
        <v>5.7000000000000002E-2</v>
      </c>
      <c r="U24" s="628">
        <v>4.9000000000000002E-2</v>
      </c>
      <c r="V24" s="628">
        <v>0.107</v>
      </c>
      <c r="W24" s="628">
        <v>0.69399999999999995</v>
      </c>
      <c r="X24" s="260">
        <v>0.12</v>
      </c>
      <c r="Y24" s="260">
        <v>0.86</v>
      </c>
      <c r="Z24" s="269">
        <v>1.08</v>
      </c>
      <c r="AA24" s="525">
        <f t="shared" si="1"/>
        <v>25.581395348837205</v>
      </c>
      <c r="AB24" s="209" t="s">
        <v>35</v>
      </c>
    </row>
    <row r="25" spans="1:28" ht="12.75" customHeight="1">
      <c r="A25" s="8"/>
      <c r="B25" s="585" t="s">
        <v>43</v>
      </c>
      <c r="C25" s="639">
        <v>59.152999999999999</v>
      </c>
      <c r="D25" s="626">
        <v>66.941000000000003</v>
      </c>
      <c r="E25" s="626">
        <v>56.206000000000003</v>
      </c>
      <c r="F25" s="626">
        <v>53.856999999999999</v>
      </c>
      <c r="G25" s="626">
        <v>45.878</v>
      </c>
      <c r="H25" s="626">
        <v>39.131</v>
      </c>
      <c r="I25" s="626">
        <v>40.857999999999997</v>
      </c>
      <c r="J25" s="626">
        <v>48.776000000000003</v>
      </c>
      <c r="K25" s="626">
        <v>57.427</v>
      </c>
      <c r="L25" s="626">
        <v>69.593999999999994</v>
      </c>
      <c r="M25" s="626">
        <v>93.820999999999998</v>
      </c>
      <c r="N25" s="626">
        <v>90.662000000000006</v>
      </c>
      <c r="O25" s="626">
        <f>82.21</f>
        <v>82.21</v>
      </c>
      <c r="P25" s="626">
        <v>68.548000000000002</v>
      </c>
      <c r="Q25" s="626">
        <v>59.381</v>
      </c>
      <c r="R25" s="626">
        <v>62.954999999999998</v>
      </c>
      <c r="S25" s="626">
        <v>65.951999999999998</v>
      </c>
      <c r="T25" s="626">
        <f>67.842</f>
        <v>67.841999999999999</v>
      </c>
      <c r="U25" s="626">
        <v>86.825999999999993</v>
      </c>
      <c r="V25" s="626">
        <v>59.386000000000003</v>
      </c>
      <c r="W25" s="626">
        <v>62.34</v>
      </c>
      <c r="X25" s="772">
        <v>84.734999999999999</v>
      </c>
      <c r="Y25" s="772">
        <v>73.971000000000004</v>
      </c>
      <c r="Z25" s="629">
        <v>61.951000000000001</v>
      </c>
      <c r="AA25" s="640">
        <f t="shared" si="1"/>
        <v>-16.249611334171504</v>
      </c>
      <c r="AB25" s="641" t="s">
        <v>43</v>
      </c>
    </row>
    <row r="26" spans="1:28" ht="12.75" customHeight="1">
      <c r="A26" s="8"/>
      <c r="B26" s="119" t="s">
        <v>52</v>
      </c>
      <c r="C26" s="213">
        <v>10.742000000000001</v>
      </c>
      <c r="D26" s="628">
        <v>21.335000000000001</v>
      </c>
      <c r="E26" s="628">
        <v>20.459</v>
      </c>
      <c r="F26" s="628">
        <v>16.277999999999999</v>
      </c>
      <c r="G26" s="628">
        <v>19.914000000000001</v>
      </c>
      <c r="H26" s="628">
        <v>21.710999999999999</v>
      </c>
      <c r="I26" s="628">
        <v>27.728000000000002</v>
      </c>
      <c r="J26" s="628">
        <v>28.292000000000002</v>
      </c>
      <c r="K26" s="628">
        <v>30.933</v>
      </c>
      <c r="L26" s="628">
        <v>30.97</v>
      </c>
      <c r="M26" s="628">
        <v>26.056999999999999</v>
      </c>
      <c r="N26" s="628">
        <v>24.905999999999999</v>
      </c>
      <c r="O26" s="628">
        <f>23.916</f>
        <v>23.916</v>
      </c>
      <c r="P26" s="628">
        <v>21.094999999999999</v>
      </c>
      <c r="Q26" s="628">
        <v>16.927</v>
      </c>
      <c r="R26" s="628">
        <v>15.192</v>
      </c>
      <c r="S26" s="628">
        <v>13.76</v>
      </c>
      <c r="T26" s="628">
        <v>13.693</v>
      </c>
      <c r="U26" s="628">
        <v>15.641999999999999</v>
      </c>
      <c r="V26" s="628">
        <v>11.949</v>
      </c>
      <c r="W26" s="628">
        <v>13.026</v>
      </c>
      <c r="X26" s="260">
        <v>13.977</v>
      </c>
      <c r="Y26" s="260">
        <v>12.587999999999999</v>
      </c>
      <c r="Z26" s="269">
        <v>11.038</v>
      </c>
      <c r="AA26" s="525">
        <f t="shared" si="1"/>
        <v>-12.313314267556393</v>
      </c>
      <c r="AB26" s="209" t="s">
        <v>52</v>
      </c>
    </row>
    <row r="27" spans="1:28" ht="12.75" customHeight="1">
      <c r="A27" s="8"/>
      <c r="B27" s="585" t="s">
        <v>36</v>
      </c>
      <c r="C27" s="639"/>
      <c r="D27" s="626"/>
      <c r="E27" s="626"/>
      <c r="F27" s="626"/>
      <c r="G27" s="626"/>
      <c r="H27" s="626"/>
      <c r="I27" s="626">
        <v>23.309000000000001</v>
      </c>
      <c r="J27" s="626">
        <v>43.57</v>
      </c>
      <c r="K27" s="626">
        <v>91.912999999999997</v>
      </c>
      <c r="L27" s="626">
        <v>135.994</v>
      </c>
      <c r="M27" s="626">
        <v>94.031000000000006</v>
      </c>
      <c r="N27" s="626">
        <v>72.186000000000007</v>
      </c>
      <c r="O27" s="626">
        <f>69.26</f>
        <v>69.260000000000005</v>
      </c>
      <c r="P27" s="626">
        <v>59.991</v>
      </c>
      <c r="Q27" s="626">
        <v>48.749000000000002</v>
      </c>
      <c r="R27" s="626">
        <v>40.715000000000003</v>
      </c>
      <c r="S27" s="626">
        <v>30.431000000000001</v>
      </c>
      <c r="T27" s="626">
        <v>23.908000000000001</v>
      </c>
      <c r="U27" s="626">
        <v>29.632999999999999</v>
      </c>
      <c r="V27" s="626">
        <v>16.41</v>
      </c>
      <c r="W27" s="626">
        <v>19.065999999999999</v>
      </c>
      <c r="X27" s="772">
        <v>18.34</v>
      </c>
      <c r="Y27" s="772">
        <v>12.71</v>
      </c>
      <c r="Z27" s="629">
        <v>11.414</v>
      </c>
      <c r="AA27" s="640">
        <f t="shared" si="1"/>
        <v>-10.196695515342256</v>
      </c>
      <c r="AB27" s="641" t="s">
        <v>36</v>
      </c>
    </row>
    <row r="28" spans="1:28" ht="12.75" customHeight="1">
      <c r="A28" s="8"/>
      <c r="B28" s="119" t="s">
        <v>53</v>
      </c>
      <c r="C28" s="213">
        <v>42</v>
      </c>
      <c r="D28" s="628">
        <v>14.968999999999999</v>
      </c>
      <c r="E28" s="628">
        <v>7.6360000000000001</v>
      </c>
      <c r="F28" s="628"/>
      <c r="G28" s="628"/>
      <c r="H28" s="628"/>
      <c r="I28" s="628"/>
      <c r="J28" s="628">
        <v>1.982</v>
      </c>
      <c r="K28" s="628">
        <v>7.8860000000000001</v>
      </c>
      <c r="L28" s="628">
        <v>7.2359999999999998</v>
      </c>
      <c r="M28" s="628">
        <v>5.6929999999999996</v>
      </c>
      <c r="N28" s="628">
        <v>4.6459999999999999</v>
      </c>
      <c r="O28" s="628">
        <f>3.791</f>
        <v>3.7909999999999999</v>
      </c>
      <c r="P28" s="628">
        <v>3.2330000000000001</v>
      </c>
      <c r="Q28" s="628">
        <v>2.4510000000000001</v>
      </c>
      <c r="R28" s="628">
        <v>2.3170000000000002</v>
      </c>
      <c r="S28" s="628">
        <v>2.5939999999999999</v>
      </c>
      <c r="T28" s="628">
        <v>2.6150000000000002</v>
      </c>
      <c r="U28" s="628">
        <v>3.0910000000000002</v>
      </c>
      <c r="V28" s="628">
        <v>2.5150000000000001</v>
      </c>
      <c r="W28" s="628">
        <v>2.2170000000000001</v>
      </c>
      <c r="X28" s="260">
        <v>2.278</v>
      </c>
      <c r="Y28" s="260">
        <v>1.81</v>
      </c>
      <c r="Z28" s="269">
        <v>1.867</v>
      </c>
      <c r="AA28" s="525">
        <f t="shared" si="1"/>
        <v>3.1491712707182273</v>
      </c>
      <c r="AB28" s="209" t="s">
        <v>53</v>
      </c>
    </row>
    <row r="29" spans="1:28" ht="12.75" customHeight="1">
      <c r="A29" s="8"/>
      <c r="B29" s="585" t="s">
        <v>37</v>
      </c>
      <c r="C29" s="639"/>
      <c r="D29" s="626"/>
      <c r="E29" s="626"/>
      <c r="F29" s="626"/>
      <c r="G29" s="626"/>
      <c r="H29" s="626"/>
      <c r="I29" s="626"/>
      <c r="J29" s="626"/>
      <c r="K29" s="626"/>
      <c r="L29" s="631"/>
      <c r="M29" s="631"/>
      <c r="N29" s="631">
        <v>1.075</v>
      </c>
      <c r="O29" s="631">
        <v>0.84500000000000008</v>
      </c>
      <c r="P29" s="631">
        <v>0.65699999999999992</v>
      </c>
      <c r="Q29" s="630">
        <v>0.106</v>
      </c>
      <c r="R29" s="626">
        <v>4.8000000000000001E-2</v>
      </c>
      <c r="S29" s="626">
        <v>2.7E-2</v>
      </c>
      <c r="T29" s="626">
        <v>2.9000000000000001E-2</v>
      </c>
      <c r="U29" s="626">
        <v>1.7999999999999999E-2</v>
      </c>
      <c r="V29" s="626">
        <v>2.9000000000000001E-2</v>
      </c>
      <c r="W29" s="626">
        <v>1.7999999999999999E-2</v>
      </c>
      <c r="X29" s="772">
        <v>1.0999999999999999E-2</v>
      </c>
      <c r="Y29" s="772">
        <v>1.2E-2</v>
      </c>
      <c r="Z29" s="629">
        <v>1E-3</v>
      </c>
      <c r="AA29" s="640">
        <f t="shared" si="1"/>
        <v>-91.666666666666671</v>
      </c>
      <c r="AB29" s="641" t="s">
        <v>37</v>
      </c>
    </row>
    <row r="30" spans="1:28" ht="12.75" customHeight="1">
      <c r="A30" s="8"/>
      <c r="B30" s="119" t="s">
        <v>39</v>
      </c>
      <c r="C30" s="213"/>
      <c r="D30" s="628"/>
      <c r="E30" s="628"/>
      <c r="F30" s="628">
        <v>1.7410000000000001</v>
      </c>
      <c r="G30" s="628">
        <v>1.3979999999999999</v>
      </c>
      <c r="H30" s="628">
        <v>2.2149999999999999</v>
      </c>
      <c r="I30" s="628">
        <v>3.121</v>
      </c>
      <c r="J30" s="628">
        <v>4.6890000000000001</v>
      </c>
      <c r="K30" s="628">
        <v>5.7350000000000003</v>
      </c>
      <c r="L30" s="628">
        <v>5.86</v>
      </c>
      <c r="M30" s="628">
        <v>4.5659999999999998</v>
      </c>
      <c r="N30" s="628">
        <v>3.4740000000000002</v>
      </c>
      <c r="O30" s="628">
        <v>3.4550000000000001</v>
      </c>
      <c r="P30" s="628">
        <v>2.6779999999999999</v>
      </c>
      <c r="Q30" s="260">
        <v>2.238</v>
      </c>
      <c r="R30" s="623">
        <v>2.194</v>
      </c>
      <c r="S30" s="628">
        <v>2.2639999999999998</v>
      </c>
      <c r="T30" s="260">
        <v>2.4700000000000002</v>
      </c>
      <c r="U30" s="261">
        <v>18.588999999999999</v>
      </c>
      <c r="V30" s="628">
        <v>5.2</v>
      </c>
      <c r="W30" s="628">
        <v>4.9009999999999998</v>
      </c>
      <c r="X30" s="260">
        <v>5.2380000000000004</v>
      </c>
      <c r="Y30" s="260">
        <v>5.6760000000000002</v>
      </c>
      <c r="Z30" s="269">
        <v>5.4420000000000002</v>
      </c>
      <c r="AA30" s="525">
        <f t="shared" si="1"/>
        <v>-4.1226215644820314</v>
      </c>
      <c r="AB30" s="209" t="s">
        <v>39</v>
      </c>
    </row>
    <row r="31" spans="1:28" ht="12.75" customHeight="1">
      <c r="A31" s="8"/>
      <c r="B31" s="585" t="s">
        <v>38</v>
      </c>
      <c r="C31" s="639"/>
      <c r="D31" s="626"/>
      <c r="E31" s="626"/>
      <c r="F31" s="626"/>
      <c r="G31" s="626"/>
      <c r="H31" s="626">
        <v>1.7629999999999999</v>
      </c>
      <c r="I31" s="626">
        <v>2.0369999999999999</v>
      </c>
      <c r="J31" s="626">
        <v>2.577</v>
      </c>
      <c r="K31" s="626">
        <v>3.0169999999999999</v>
      </c>
      <c r="L31" s="626">
        <v>2.6160000000000001</v>
      </c>
      <c r="M31" s="626">
        <v>2.0760000000000001</v>
      </c>
      <c r="N31" s="626">
        <v>1.8320000000000001</v>
      </c>
      <c r="O31" s="626">
        <f>1.612</f>
        <v>1.6120000000000001</v>
      </c>
      <c r="P31" s="626">
        <v>1.512</v>
      </c>
      <c r="Q31" s="630">
        <v>0.79800000000000004</v>
      </c>
      <c r="R31" s="626">
        <v>0.59399999999999997</v>
      </c>
      <c r="S31" s="626">
        <v>0.41699999999999998</v>
      </c>
      <c r="T31" s="626">
        <v>0.34300000000000003</v>
      </c>
      <c r="U31" s="626">
        <v>0.25600000000000001</v>
      </c>
      <c r="V31" s="626">
        <v>0.21</v>
      </c>
      <c r="W31" s="626">
        <v>0.26900000000000002</v>
      </c>
      <c r="X31" s="626">
        <v>0.218</v>
      </c>
      <c r="Y31" s="772">
        <v>0.27</v>
      </c>
      <c r="Z31" s="629">
        <v>0.29899999999999999</v>
      </c>
      <c r="AA31" s="640">
        <f t="shared" si="1"/>
        <v>10.740740740740733</v>
      </c>
      <c r="AB31" s="641" t="s">
        <v>38</v>
      </c>
    </row>
    <row r="32" spans="1:28" ht="12.75" customHeight="1">
      <c r="A32" s="8"/>
      <c r="B32" s="119" t="s">
        <v>54</v>
      </c>
      <c r="C32" s="213"/>
      <c r="D32" s="628">
        <v>6.423</v>
      </c>
      <c r="E32" s="628">
        <v>6.7050000000000001</v>
      </c>
      <c r="F32" s="628">
        <v>8.8350000000000009</v>
      </c>
      <c r="G32" s="628">
        <v>12.750999999999999</v>
      </c>
      <c r="H32" s="628">
        <v>17.808</v>
      </c>
      <c r="I32" s="628">
        <v>20.895</v>
      </c>
      <c r="J32" s="628">
        <v>25.693000000000001</v>
      </c>
      <c r="K32" s="628">
        <v>27.448</v>
      </c>
      <c r="L32" s="628">
        <v>25.254999999999999</v>
      </c>
      <c r="M32" s="628">
        <v>21.1</v>
      </c>
      <c r="N32" s="628">
        <v>17.936</v>
      </c>
      <c r="O32" s="628">
        <f>17.25</f>
        <v>17.25</v>
      </c>
      <c r="P32" s="628">
        <v>12.547000000000001</v>
      </c>
      <c r="Q32" s="628">
        <v>8.26</v>
      </c>
      <c r="R32" s="628">
        <v>7.2380000000000004</v>
      </c>
      <c r="S32" s="628">
        <v>7.0039999999999996</v>
      </c>
      <c r="T32" s="628">
        <v>5.1660000000000004</v>
      </c>
      <c r="U32" s="628">
        <v>6.8929999999999998</v>
      </c>
      <c r="V32" s="628">
        <v>4.8949999999999996</v>
      </c>
      <c r="W32" s="628">
        <v>5.1959999999999997</v>
      </c>
      <c r="X32" s="261">
        <v>6.8940000000000001</v>
      </c>
      <c r="Y32" s="260">
        <v>4.38</v>
      </c>
      <c r="Z32" s="269">
        <v>4.2549999999999999</v>
      </c>
      <c r="AA32" s="525">
        <f t="shared" si="1"/>
        <v>-2.8538812785388217</v>
      </c>
      <c r="AB32" s="209" t="s">
        <v>54</v>
      </c>
    </row>
    <row r="33" spans="1:28" ht="12.75" customHeight="1">
      <c r="A33" s="8"/>
      <c r="B33" s="592" t="s">
        <v>55</v>
      </c>
      <c r="C33" s="644">
        <v>5.7</v>
      </c>
      <c r="D33" s="633">
        <v>9.9770000000000003</v>
      </c>
      <c r="E33" s="633">
        <v>10.01</v>
      </c>
      <c r="F33" s="633">
        <v>21.297000000000001</v>
      </c>
      <c r="G33" s="633">
        <v>19.846</v>
      </c>
      <c r="H33" s="633">
        <v>13.608000000000001</v>
      </c>
      <c r="I33" s="633">
        <v>15.365</v>
      </c>
      <c r="J33" s="633">
        <v>14.994999999999999</v>
      </c>
      <c r="K33" s="633">
        <v>31.852</v>
      </c>
      <c r="L33" s="633">
        <v>31.148</v>
      </c>
      <c r="M33" s="633">
        <v>21.443000000000001</v>
      </c>
      <c r="N33" s="633">
        <v>13.253</v>
      </c>
      <c r="O33" s="633">
        <v>9.9019999999999992</v>
      </c>
      <c r="P33" s="633">
        <v>8.7759999999999998</v>
      </c>
      <c r="Q33" s="633">
        <v>7.9160000000000004</v>
      </c>
      <c r="R33" s="633">
        <v>8.6820000000000004</v>
      </c>
      <c r="S33" s="633">
        <v>10.628</v>
      </c>
      <c r="T33" s="633">
        <v>12.581</v>
      </c>
      <c r="U33" s="633">
        <v>22.16</v>
      </c>
      <c r="V33" s="633">
        <v>11.63</v>
      </c>
      <c r="W33" s="633">
        <v>16.026</v>
      </c>
      <c r="X33" s="633">
        <v>24.664999999999999</v>
      </c>
      <c r="Y33" s="633">
        <v>10.323</v>
      </c>
      <c r="Z33" s="645">
        <v>12.28</v>
      </c>
      <c r="AA33" s="646">
        <f t="shared" si="1"/>
        <v>18.957667344764118</v>
      </c>
      <c r="AB33" s="647" t="s">
        <v>55</v>
      </c>
    </row>
    <row r="34" spans="1:28" ht="12.75" customHeight="1">
      <c r="A34" s="8"/>
      <c r="B34" s="118" t="s">
        <v>26</v>
      </c>
      <c r="C34" s="273"/>
      <c r="D34" s="351"/>
      <c r="E34" s="351"/>
      <c r="F34" s="351"/>
      <c r="G34" s="351"/>
      <c r="H34" s="351"/>
      <c r="I34" s="351"/>
      <c r="J34" s="351"/>
      <c r="K34" s="351"/>
      <c r="L34" s="351"/>
      <c r="M34" s="351"/>
      <c r="N34" s="351"/>
      <c r="O34" s="351"/>
      <c r="P34" s="351"/>
      <c r="Q34" s="628"/>
      <c r="R34" s="628"/>
      <c r="S34" s="628"/>
      <c r="T34" s="351"/>
      <c r="U34" s="628">
        <v>2.5000000000000001E-2</v>
      </c>
      <c r="V34" s="628">
        <v>1.6E-2</v>
      </c>
      <c r="W34" s="628">
        <v>3.3000000000000002E-2</v>
      </c>
      <c r="X34" s="260">
        <v>0.47299999999999998</v>
      </c>
      <c r="Y34" s="260">
        <v>0.189</v>
      </c>
      <c r="Z34" s="771">
        <f>Y34</f>
        <v>0.189</v>
      </c>
      <c r="AA34" s="206">
        <f t="shared" si="1"/>
        <v>0</v>
      </c>
      <c r="AB34" s="119" t="s">
        <v>26</v>
      </c>
    </row>
    <row r="35" spans="1:28" ht="12.75" customHeight="1">
      <c r="A35" s="8"/>
      <c r="B35" s="585" t="s">
        <v>56</v>
      </c>
      <c r="C35" s="639"/>
      <c r="D35" s="626"/>
      <c r="E35" s="626"/>
      <c r="F35" s="626">
        <v>13.64</v>
      </c>
      <c r="G35" s="626">
        <v>15.009</v>
      </c>
      <c r="H35" s="626">
        <v>16.37</v>
      </c>
      <c r="I35" s="626">
        <v>11.856999999999999</v>
      </c>
      <c r="J35" s="626">
        <v>11.02</v>
      </c>
      <c r="K35" s="626">
        <v>10.534000000000001</v>
      </c>
      <c r="L35" s="626">
        <v>11.438000000000001</v>
      </c>
      <c r="M35" s="626">
        <v>9.0329999999999995</v>
      </c>
      <c r="N35" s="626">
        <v>8.0579999999999998</v>
      </c>
      <c r="O35" s="626">
        <f>8.453</f>
        <v>8.4529999999999994</v>
      </c>
      <c r="P35" s="626">
        <v>8.99</v>
      </c>
      <c r="Q35" s="626">
        <v>7.5410000000000004</v>
      </c>
      <c r="R35" s="626">
        <v>7.383</v>
      </c>
      <c r="S35" s="626">
        <v>7.3550000000000004</v>
      </c>
      <c r="T35" s="626">
        <v>5.9459999999999997</v>
      </c>
      <c r="U35" s="626">
        <v>5.258</v>
      </c>
      <c r="V35" s="626">
        <v>4.1769999999999996</v>
      </c>
      <c r="W35" s="626">
        <v>3.2509999999999999</v>
      </c>
      <c r="X35" s="772">
        <v>3.39</v>
      </c>
      <c r="Y35" s="772">
        <v>2.996</v>
      </c>
      <c r="Z35" s="629">
        <v>3.0920000000000001</v>
      </c>
      <c r="AA35" s="596">
        <f t="shared" si="1"/>
        <v>3.2042723631508636</v>
      </c>
      <c r="AB35" s="585" t="s">
        <v>56</v>
      </c>
    </row>
    <row r="36" spans="1:28" ht="12.75" customHeight="1">
      <c r="A36" s="8"/>
      <c r="B36" s="120" t="s">
        <v>27</v>
      </c>
      <c r="C36" s="214"/>
      <c r="D36" s="265">
        <v>19.358000000000001</v>
      </c>
      <c r="E36" s="265">
        <v>19.43</v>
      </c>
      <c r="F36" s="265">
        <v>18.425000000000001</v>
      </c>
      <c r="G36" s="265">
        <v>6.6420000000000003</v>
      </c>
      <c r="H36" s="265">
        <v>3.4340000000000002</v>
      </c>
      <c r="I36" s="265">
        <v>3.0859999999999999</v>
      </c>
      <c r="J36" s="265">
        <v>3.0139999999999998</v>
      </c>
      <c r="K36" s="265">
        <v>2.738</v>
      </c>
      <c r="L36" s="265">
        <v>3.1269999999999998</v>
      </c>
      <c r="M36" s="265">
        <v>2.863</v>
      </c>
      <c r="N36" s="265">
        <v>3.0990000000000002</v>
      </c>
      <c r="O36" s="265">
        <v>2.3079999999999998</v>
      </c>
      <c r="P36" s="265">
        <v>1.8740000000000001</v>
      </c>
      <c r="Q36" s="265">
        <v>1.1299999999999999</v>
      </c>
      <c r="R36" s="265">
        <v>0.86499999999999999</v>
      </c>
      <c r="S36" s="265">
        <v>0.83</v>
      </c>
      <c r="T36" s="265">
        <v>0.749</v>
      </c>
      <c r="U36" s="265">
        <v>0.67</v>
      </c>
      <c r="V36" s="628">
        <v>0.83699999999999997</v>
      </c>
      <c r="W36" s="265">
        <v>0.94299999999999995</v>
      </c>
      <c r="X36" s="265">
        <v>1.0269999999999999</v>
      </c>
      <c r="Y36" s="265">
        <v>1.405</v>
      </c>
      <c r="Z36" s="271">
        <f>1.94</f>
        <v>1.94</v>
      </c>
      <c r="AA36" s="532">
        <f t="shared" si="1"/>
        <v>38.078291814946624</v>
      </c>
      <c r="AB36" s="120" t="s">
        <v>27</v>
      </c>
    </row>
    <row r="37" spans="1:28" s="407" customFormat="1" ht="12.75" customHeight="1">
      <c r="A37" s="203" t="s">
        <v>57</v>
      </c>
      <c r="B37" s="10" t="s">
        <v>311</v>
      </c>
      <c r="C37" s="779"/>
      <c r="D37" s="255"/>
      <c r="E37" s="255"/>
      <c r="F37" s="255"/>
      <c r="G37" s="255"/>
      <c r="H37" s="255"/>
      <c r="I37" s="255"/>
      <c r="J37" s="255"/>
      <c r="K37" s="255"/>
      <c r="L37" s="255"/>
      <c r="M37" s="255"/>
      <c r="N37" s="255"/>
      <c r="O37" s="255"/>
      <c r="P37" s="255"/>
      <c r="Q37" s="255"/>
      <c r="R37" s="255"/>
      <c r="S37" s="255"/>
      <c r="T37" s="255">
        <v>0.86399999999999999</v>
      </c>
      <c r="U37" s="255">
        <v>1.0629999999999999</v>
      </c>
      <c r="V37" s="251">
        <v>1.222</v>
      </c>
      <c r="W37" s="255">
        <v>0.70099999999999996</v>
      </c>
      <c r="X37" s="255">
        <v>0.79300000000000004</v>
      </c>
      <c r="Y37" s="251">
        <v>0.82299999999999995</v>
      </c>
      <c r="Z37" s="773">
        <v>1.079</v>
      </c>
      <c r="AA37" s="183">
        <f t="shared" si="1"/>
        <v>31.105710814094778</v>
      </c>
      <c r="AB37" s="10" t="s">
        <v>311</v>
      </c>
    </row>
    <row r="38" spans="1:28" ht="12.75" customHeight="1">
      <c r="A38" s="8"/>
      <c r="B38" s="119" t="s">
        <v>139</v>
      </c>
      <c r="C38" s="213"/>
      <c r="D38" s="260"/>
      <c r="E38" s="260"/>
      <c r="F38" s="260"/>
      <c r="G38" s="260"/>
      <c r="H38" s="260"/>
      <c r="I38" s="260"/>
      <c r="J38" s="260"/>
      <c r="K38" s="260"/>
      <c r="L38" s="260"/>
      <c r="M38" s="260"/>
      <c r="N38" s="260"/>
      <c r="O38" s="260"/>
      <c r="P38" s="260"/>
      <c r="Q38" s="260"/>
      <c r="R38" s="260"/>
      <c r="S38" s="260"/>
      <c r="T38" s="260"/>
      <c r="U38" s="260"/>
      <c r="V38" s="260"/>
      <c r="W38" s="628"/>
      <c r="X38" s="260"/>
      <c r="Y38" s="260"/>
      <c r="Z38" s="269"/>
      <c r="AA38" s="206"/>
      <c r="AB38" s="119" t="s">
        <v>139</v>
      </c>
    </row>
    <row r="39" spans="1:28" s="407" customFormat="1" ht="12.75" customHeight="1">
      <c r="A39" s="203"/>
      <c r="B39" s="10" t="s">
        <v>313</v>
      </c>
      <c r="C39" s="779"/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774"/>
      <c r="X39" s="255"/>
      <c r="Y39" s="255"/>
      <c r="Z39" s="773"/>
      <c r="AA39" s="183"/>
      <c r="AB39" s="10" t="s">
        <v>313</v>
      </c>
    </row>
    <row r="40" spans="1:28" ht="12.75" customHeight="1">
      <c r="A40" s="8"/>
      <c r="B40" s="119" t="s">
        <v>0</v>
      </c>
      <c r="C40" s="213"/>
      <c r="D40" s="628"/>
      <c r="E40" s="628"/>
      <c r="F40" s="628"/>
      <c r="G40" s="628"/>
      <c r="H40" s="628"/>
      <c r="I40" s="628"/>
      <c r="J40" s="628"/>
      <c r="K40" s="628"/>
      <c r="L40" s="628"/>
      <c r="M40" s="628"/>
      <c r="N40" s="628"/>
      <c r="O40" s="628"/>
      <c r="P40" s="628"/>
      <c r="Q40" s="628"/>
      <c r="R40" s="628"/>
      <c r="S40" s="628"/>
      <c r="T40" s="628"/>
      <c r="U40" s="628"/>
      <c r="V40" s="628"/>
      <c r="W40" s="628"/>
      <c r="X40" s="260"/>
      <c r="Y40" s="260"/>
      <c r="Z40" s="269"/>
      <c r="AA40" s="206"/>
      <c r="AB40" s="119" t="s">
        <v>0</v>
      </c>
    </row>
    <row r="41" spans="1:28" s="407" customFormat="1" ht="12.75" customHeight="1">
      <c r="A41" s="203"/>
      <c r="B41" s="10" t="s">
        <v>145</v>
      </c>
      <c r="C41" s="779"/>
      <c r="D41" s="774"/>
      <c r="E41" s="774"/>
      <c r="F41" s="774"/>
      <c r="G41" s="774"/>
      <c r="H41" s="774"/>
      <c r="I41" s="774"/>
      <c r="J41" s="774"/>
      <c r="K41" s="774"/>
      <c r="L41" s="774"/>
      <c r="M41" s="774"/>
      <c r="N41" s="774"/>
      <c r="O41" s="774"/>
      <c r="P41" s="774"/>
      <c r="Q41" s="774"/>
      <c r="R41" s="774"/>
      <c r="S41" s="774"/>
      <c r="T41" s="774"/>
      <c r="U41" s="774"/>
      <c r="V41" s="774"/>
      <c r="W41" s="774">
        <v>3.3029999999999999</v>
      </c>
      <c r="X41" s="255">
        <v>3.4089999999999998</v>
      </c>
      <c r="Y41" s="255">
        <v>4.0919999999999996</v>
      </c>
      <c r="Z41" s="773">
        <v>4.7720000000000002</v>
      </c>
      <c r="AA41" s="183">
        <f t="shared" si="1"/>
        <v>16.617790811339205</v>
      </c>
      <c r="AB41" s="10" t="s">
        <v>145</v>
      </c>
    </row>
    <row r="42" spans="1:28" ht="12.75" customHeight="1">
      <c r="A42" s="8"/>
      <c r="B42" s="119" t="s">
        <v>138</v>
      </c>
      <c r="C42" s="213"/>
      <c r="D42" s="628"/>
      <c r="E42" s="628"/>
      <c r="F42" s="628"/>
      <c r="G42" s="628"/>
      <c r="H42" s="628"/>
      <c r="I42" s="628"/>
      <c r="J42" s="628"/>
      <c r="K42" s="628"/>
      <c r="L42" s="628"/>
      <c r="M42" s="628"/>
      <c r="N42" s="628">
        <v>8.7829999999999995</v>
      </c>
      <c r="O42" s="628">
        <v>6.25</v>
      </c>
      <c r="P42" s="628">
        <v>6.6219999999999999</v>
      </c>
      <c r="Q42" s="628">
        <v>5.6550000000000002</v>
      </c>
      <c r="R42" s="628">
        <f>0.532+1.338+1.134+1.935</f>
        <v>4.9390000000000001</v>
      </c>
      <c r="S42" s="628">
        <v>2.4220000000000002</v>
      </c>
      <c r="T42" s="628">
        <v>1.302</v>
      </c>
      <c r="U42" s="628">
        <v>1.6779999999999999</v>
      </c>
      <c r="V42" s="628">
        <v>1.895</v>
      </c>
      <c r="W42" s="628">
        <v>2.2330000000000001</v>
      </c>
      <c r="X42" s="261">
        <v>2</v>
      </c>
      <c r="Y42" s="260">
        <f>1.857</f>
        <v>1.857</v>
      </c>
      <c r="Z42" s="269">
        <f>(570+1600+594+131)/1000</f>
        <v>2.895</v>
      </c>
      <c r="AA42" s="206">
        <f t="shared" si="1"/>
        <v>55.896607431340897</v>
      </c>
      <c r="AB42" s="119" t="s">
        <v>138</v>
      </c>
    </row>
    <row r="43" spans="1:28" s="407" customFormat="1" ht="12.75" customHeight="1">
      <c r="A43" s="203"/>
      <c r="B43" s="10" t="s">
        <v>40</v>
      </c>
      <c r="C43" s="779"/>
      <c r="D43" s="255"/>
      <c r="E43" s="255"/>
      <c r="F43" s="255"/>
      <c r="G43" s="255"/>
      <c r="H43" s="255"/>
      <c r="I43" s="255"/>
      <c r="J43" s="255"/>
      <c r="K43" s="255"/>
      <c r="L43" s="255"/>
      <c r="M43" s="255">
        <v>2.4409999999999998</v>
      </c>
      <c r="N43" s="255">
        <v>1.5069999999999999</v>
      </c>
      <c r="O43" s="255">
        <f>1.537</f>
        <v>1.5369999999999999</v>
      </c>
      <c r="P43" s="255">
        <v>0.624</v>
      </c>
      <c r="Q43" s="255">
        <v>0.64400000000000002</v>
      </c>
      <c r="R43" s="255">
        <v>1.8109999999999999</v>
      </c>
      <c r="S43" s="255">
        <v>2.3319999999999999</v>
      </c>
      <c r="T43" s="255">
        <v>3.472</v>
      </c>
      <c r="U43" s="255">
        <v>18.036000000000001</v>
      </c>
      <c r="V43" s="255">
        <v>46.625</v>
      </c>
      <c r="W43" s="255">
        <v>60.104999999999997</v>
      </c>
      <c r="X43" s="255">
        <v>100.54</v>
      </c>
      <c r="Y43" s="255">
        <f>116.161</f>
        <v>116.161</v>
      </c>
      <c r="Z43" s="773">
        <v>209.696</v>
      </c>
      <c r="AA43" s="183">
        <f t="shared" si="1"/>
        <v>80.521861898571814</v>
      </c>
      <c r="AB43" s="10" t="s">
        <v>40</v>
      </c>
    </row>
    <row r="44" spans="1:28" ht="12" customHeight="1">
      <c r="A44" s="8"/>
      <c r="B44" s="120" t="s">
        <v>312</v>
      </c>
      <c r="C44" s="214"/>
      <c r="D44" s="265"/>
      <c r="E44" s="265"/>
      <c r="F44" s="265"/>
      <c r="G44" s="265"/>
      <c r="H44" s="265"/>
      <c r="I44" s="265"/>
      <c r="J44" s="265"/>
      <c r="K44" s="265"/>
      <c r="L44" s="265"/>
      <c r="M44" s="265"/>
      <c r="N44" s="265"/>
      <c r="O44" s="265"/>
      <c r="P44" s="265"/>
      <c r="Q44" s="265"/>
      <c r="R44" s="265"/>
      <c r="S44" s="265"/>
      <c r="T44" s="265"/>
      <c r="U44" s="265"/>
      <c r="V44" s="265"/>
      <c r="W44" s="265"/>
      <c r="X44" s="265"/>
      <c r="Y44" s="265"/>
      <c r="Z44" s="271"/>
      <c r="AA44" s="532"/>
      <c r="AB44" s="120" t="s">
        <v>312</v>
      </c>
    </row>
    <row r="45" spans="1:28" s="407" customFormat="1" ht="13.5" customHeight="1">
      <c r="B45" s="11" t="s">
        <v>44</v>
      </c>
      <c r="C45" s="780">
        <v>6.2919999999999998</v>
      </c>
      <c r="D45" s="267">
        <v>48.164000000000001</v>
      </c>
      <c r="E45" s="267">
        <v>45.374000000000002</v>
      </c>
      <c r="F45" s="267">
        <v>36.271000000000001</v>
      </c>
      <c r="G45" s="267">
        <v>36.344999999999999</v>
      </c>
      <c r="H45" s="267">
        <v>27.547000000000001</v>
      </c>
      <c r="I45" s="267">
        <v>24.745000000000001</v>
      </c>
      <c r="J45" s="267">
        <v>23.55</v>
      </c>
      <c r="K45" s="267">
        <v>24.562000000000001</v>
      </c>
      <c r="L45" s="267">
        <v>24.952999999999999</v>
      </c>
      <c r="M45" s="267">
        <v>16.443999999999999</v>
      </c>
      <c r="N45" s="267">
        <v>14.53</v>
      </c>
      <c r="O45" s="267">
        <f>14.466</f>
        <v>14.465999999999999</v>
      </c>
      <c r="P45" s="267">
        <v>13.422000000000001</v>
      </c>
      <c r="Q45" s="267">
        <v>10.73</v>
      </c>
      <c r="R45" s="267">
        <v>10.628</v>
      </c>
      <c r="S45" s="267">
        <v>9.4019999999999992</v>
      </c>
      <c r="T45" s="267">
        <v>8.7479999999999993</v>
      </c>
      <c r="U45" s="267">
        <v>7.7519999999999998</v>
      </c>
      <c r="V45" s="778">
        <v>5.3819999999999997</v>
      </c>
      <c r="W45" s="778">
        <v>6.1130000000000004</v>
      </c>
      <c r="X45" s="793">
        <v>6.1130000000000004</v>
      </c>
      <c r="Y45" s="778">
        <v>7.0880000000000001</v>
      </c>
      <c r="Z45" s="775">
        <v>7.1890000000000001</v>
      </c>
      <c r="AA45" s="568">
        <f t="shared" si="1"/>
        <v>1.4249435665914234</v>
      </c>
      <c r="AB45" s="569" t="s">
        <v>44</v>
      </c>
    </row>
    <row r="46" spans="1:28">
      <c r="B46" s="1292" t="s">
        <v>338</v>
      </c>
      <c r="C46" s="1292"/>
      <c r="D46" s="1292"/>
      <c r="E46" s="1292"/>
      <c r="F46" s="1292"/>
      <c r="G46" s="1292"/>
      <c r="H46" s="1292"/>
      <c r="I46" s="1292"/>
      <c r="J46" s="1292"/>
      <c r="K46" s="1292"/>
      <c r="L46" s="1292"/>
      <c r="M46" s="1292"/>
      <c r="N46" s="1292"/>
      <c r="O46" s="1292"/>
      <c r="P46" s="1292"/>
      <c r="Q46" s="1292"/>
      <c r="R46" s="1292"/>
      <c r="S46" s="1292"/>
      <c r="T46" s="1292"/>
      <c r="U46" s="1292"/>
      <c r="V46" s="1292"/>
      <c r="W46" s="1292"/>
      <c r="X46" s="1292"/>
      <c r="Y46" s="1292"/>
      <c r="Z46" s="1292"/>
      <c r="AA46" s="1292"/>
    </row>
    <row r="47" spans="1:28">
      <c r="B47" s="138" t="s">
        <v>290</v>
      </c>
    </row>
    <row r="48" spans="1:28">
      <c r="B48" s="1353" t="s">
        <v>339</v>
      </c>
      <c r="C48" s="1353"/>
      <c r="D48" s="1353"/>
      <c r="E48" s="1353"/>
      <c r="F48" s="1353"/>
      <c r="G48" s="1353"/>
      <c r="H48" s="1353"/>
      <c r="I48" s="1353"/>
      <c r="J48" s="1353"/>
      <c r="K48" s="1353"/>
      <c r="L48" s="1353"/>
      <c r="M48" s="1353"/>
      <c r="N48" s="1353"/>
      <c r="O48" s="1353"/>
      <c r="P48" s="1353"/>
      <c r="Q48" s="1353"/>
      <c r="R48" s="1353"/>
      <c r="S48" s="1353"/>
      <c r="T48" s="1353"/>
    </row>
    <row r="49" spans="2:27">
      <c r="B49" s="1353" t="s">
        <v>340</v>
      </c>
      <c r="C49" s="1353"/>
      <c r="D49" s="1353"/>
      <c r="E49" s="1353"/>
      <c r="F49" s="1353"/>
      <c r="G49" s="1353"/>
      <c r="H49" s="1353"/>
      <c r="I49" s="1353"/>
      <c r="J49" s="1353"/>
      <c r="K49" s="1353"/>
      <c r="L49" s="1353"/>
      <c r="M49" s="1353"/>
      <c r="N49" s="1353"/>
      <c r="O49" s="1353"/>
      <c r="P49" s="1353"/>
      <c r="Q49" s="1353"/>
      <c r="R49" s="1353"/>
      <c r="S49" s="1353"/>
      <c r="T49" s="1353"/>
    </row>
    <row r="50" spans="2:27">
      <c r="AA50" s="400"/>
    </row>
  </sheetData>
  <mergeCells count="6">
    <mergeCell ref="B48:T48"/>
    <mergeCell ref="B46:AA46"/>
    <mergeCell ref="B49:T49"/>
    <mergeCell ref="Y4:AA4"/>
    <mergeCell ref="B2:AA2"/>
    <mergeCell ref="B3:AA3"/>
  </mergeCells>
  <phoneticPr fontId="9" type="noConversion"/>
  <printOptions horizontalCentered="1"/>
  <pageMargins left="0.6692913385826772" right="0.28000000000000003" top="0.51181102362204722" bottom="0.27559055118110237" header="0" footer="0"/>
  <pageSetup paperSize="9" scale="45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83"/>
  <dimension ref="A1:L50"/>
  <sheetViews>
    <sheetView zoomScaleNormal="100" workbookViewId="0">
      <selection activeCell="S47" sqref="S47"/>
    </sheetView>
  </sheetViews>
  <sheetFormatPr defaultRowHeight="11.25"/>
  <cols>
    <col min="1" max="1" width="4.28515625" style="540" customWidth="1"/>
    <col min="2" max="2" width="4.140625" style="3" customWidth="1"/>
    <col min="3" max="3" width="10.85546875" style="3" customWidth="1"/>
    <col min="4" max="4" width="10" style="3" customWidth="1"/>
    <col min="5" max="10" width="8.7109375" style="3" customWidth="1"/>
    <col min="11" max="11" width="4.5703125" style="3" customWidth="1"/>
    <col min="12" max="12" width="4.5703125" style="534" customWidth="1"/>
    <col min="13" max="16384" width="9.140625" style="534"/>
  </cols>
  <sheetData>
    <row r="1" spans="1:12" ht="14.25" customHeight="1">
      <c r="A1" s="533"/>
      <c r="B1" s="648"/>
      <c r="C1" s="648"/>
      <c r="D1" s="648"/>
      <c r="E1" s="648"/>
      <c r="F1" s="648"/>
      <c r="G1" s="648"/>
      <c r="H1" s="648"/>
      <c r="I1" s="648"/>
      <c r="K1" s="611" t="s">
        <v>112</v>
      </c>
      <c r="L1" s="535"/>
    </row>
    <row r="2" spans="1:12" s="537" customFormat="1" ht="30" customHeight="1">
      <c r="A2" s="536"/>
      <c r="B2" s="1359" t="s">
        <v>264</v>
      </c>
      <c r="C2" s="1359"/>
      <c r="D2" s="1359"/>
      <c r="E2" s="1359"/>
      <c r="F2" s="1359"/>
      <c r="G2" s="1359"/>
      <c r="H2" s="1359"/>
      <c r="I2" s="1359"/>
      <c r="J2" s="1359"/>
      <c r="K2" s="1359"/>
      <c r="L2" s="556"/>
    </row>
    <row r="3" spans="1:12" s="539" customFormat="1" ht="15" customHeight="1">
      <c r="A3" s="538"/>
      <c r="B3" s="1342" t="s">
        <v>170</v>
      </c>
      <c r="C3" s="1342"/>
      <c r="D3" s="1342"/>
      <c r="E3" s="1342"/>
      <c r="F3" s="1342"/>
      <c r="G3" s="1342"/>
      <c r="H3" s="1342"/>
      <c r="I3" s="1342"/>
      <c r="J3" s="1342"/>
      <c r="K3" s="1342"/>
      <c r="L3" s="557"/>
    </row>
    <row r="4" spans="1:12" s="539" customFormat="1" ht="12.75" customHeight="1">
      <c r="A4" s="538"/>
      <c r="B4" s="1360" t="s">
        <v>349</v>
      </c>
      <c r="C4" s="1360"/>
      <c r="D4" s="1360"/>
      <c r="E4" s="1360"/>
      <c r="F4" s="1360"/>
      <c r="G4" s="1360"/>
      <c r="H4" s="1360"/>
      <c r="I4" s="1360"/>
      <c r="J4" s="1360"/>
      <c r="K4" s="1360"/>
      <c r="L4" s="558"/>
    </row>
    <row r="5" spans="1:12" ht="30" customHeight="1">
      <c r="C5" s="1346" t="s">
        <v>5</v>
      </c>
      <c r="D5" s="1348"/>
      <c r="E5" s="1346" t="s">
        <v>315</v>
      </c>
      <c r="F5" s="1348"/>
      <c r="G5" s="1346" t="s">
        <v>316</v>
      </c>
      <c r="H5" s="1348"/>
      <c r="I5" s="1346" t="s">
        <v>137</v>
      </c>
      <c r="J5" s="1348"/>
      <c r="K5" s="649"/>
      <c r="L5" s="541"/>
    </row>
    <row r="6" spans="1:12" ht="15" customHeight="1">
      <c r="A6" s="534"/>
      <c r="B6"/>
      <c r="C6" s="650" t="s">
        <v>6</v>
      </c>
      <c r="D6" s="651" t="s">
        <v>301</v>
      </c>
      <c r="E6" s="650" t="s">
        <v>6</v>
      </c>
      <c r="F6" s="542" t="s">
        <v>301</v>
      </c>
      <c r="G6" s="652" t="s">
        <v>6</v>
      </c>
      <c r="H6" s="653" t="s">
        <v>301</v>
      </c>
      <c r="I6" s="652" t="s">
        <v>6</v>
      </c>
      <c r="J6" s="653" t="s">
        <v>302</v>
      </c>
      <c r="K6" s="654"/>
      <c r="L6" s="537"/>
    </row>
    <row r="7" spans="1:12" ht="12.75" customHeight="1">
      <c r="A7" s="543"/>
      <c r="B7" s="684" t="s">
        <v>238</v>
      </c>
      <c r="C7" s="656">
        <f>SUM(C8:C34)</f>
        <v>12469</v>
      </c>
      <c r="D7" s="685">
        <f t="shared" ref="D7:H7" si="0">SUM(D8:D34)</f>
        <v>690517</v>
      </c>
      <c r="E7" s="686">
        <f t="shared" si="0"/>
        <v>2662</v>
      </c>
      <c r="F7" s="685">
        <f t="shared" si="0"/>
        <v>114303</v>
      </c>
      <c r="G7" s="686">
        <f t="shared" si="0"/>
        <v>9807</v>
      </c>
      <c r="H7" s="685">
        <f t="shared" si="0"/>
        <v>576214</v>
      </c>
      <c r="I7" s="687">
        <f>G7/C7</f>
        <v>0.78651054615446303</v>
      </c>
      <c r="J7" s="688">
        <f>H7/D7</f>
        <v>0.83446750767902889</v>
      </c>
      <c r="K7" s="655" t="s">
        <v>238</v>
      </c>
      <c r="L7" s="537"/>
    </row>
    <row r="8" spans="1:12" ht="12.75" customHeight="1">
      <c r="A8" s="544"/>
      <c r="B8" s="689" t="s">
        <v>45</v>
      </c>
      <c r="C8" s="969">
        <f>E8+G8</f>
        <v>179</v>
      </c>
      <c r="D8" s="578">
        <f>F8+H8</f>
        <v>22367</v>
      </c>
      <c r="E8" s="658">
        <v>67</v>
      </c>
      <c r="F8" s="578">
        <v>8047</v>
      </c>
      <c r="G8" s="658">
        <v>112</v>
      </c>
      <c r="H8" s="578">
        <v>14320</v>
      </c>
      <c r="I8" s="690">
        <f t="shared" ref="I8:I47" si="1">G8/C8</f>
        <v>0.62569832402234637</v>
      </c>
      <c r="J8" s="680">
        <f t="shared" ref="J8:J47" si="2">H8/D8</f>
        <v>0.64022890866007953</v>
      </c>
      <c r="K8" s="657" t="s">
        <v>45</v>
      </c>
      <c r="L8" s="537"/>
    </row>
    <row r="9" spans="1:12" ht="12.75" customHeight="1">
      <c r="A9" s="545"/>
      <c r="B9" s="691" t="s">
        <v>28</v>
      </c>
      <c r="C9" s="964">
        <f t="shared" ref="C9:C47" si="3">E9+G9</f>
        <v>70</v>
      </c>
      <c r="D9" s="494">
        <f t="shared" ref="D9:D47" si="4">F9+H9</f>
        <v>1906</v>
      </c>
      <c r="E9" s="660">
        <v>10</v>
      </c>
      <c r="F9" s="494">
        <v>83</v>
      </c>
      <c r="G9" s="660">
        <v>60</v>
      </c>
      <c r="H9" s="494">
        <v>1823</v>
      </c>
      <c r="I9" s="668">
        <f t="shared" si="1"/>
        <v>0.8571428571428571</v>
      </c>
      <c r="J9" s="668">
        <f t="shared" si="2"/>
        <v>0.95645330535152151</v>
      </c>
      <c r="K9" s="659" t="s">
        <v>28</v>
      </c>
      <c r="L9" s="537"/>
    </row>
    <row r="10" spans="1:12" ht="12.75" customHeight="1">
      <c r="A10" s="545"/>
      <c r="B10" s="689" t="s">
        <v>30</v>
      </c>
      <c r="C10" s="680" t="s">
        <v>58</v>
      </c>
      <c r="D10" s="683" t="s">
        <v>58</v>
      </c>
      <c r="E10" s="600" t="s">
        <v>58</v>
      </c>
      <c r="F10" s="683" t="s">
        <v>58</v>
      </c>
      <c r="G10" s="600" t="s">
        <v>58</v>
      </c>
      <c r="H10" s="683" t="s">
        <v>58</v>
      </c>
      <c r="I10" s="680" t="s">
        <v>58</v>
      </c>
      <c r="J10" s="971" t="s">
        <v>58</v>
      </c>
      <c r="K10" s="657" t="s">
        <v>30</v>
      </c>
      <c r="L10" s="537"/>
    </row>
    <row r="11" spans="1:12" ht="12.75" customHeight="1">
      <c r="A11" s="545"/>
      <c r="B11" s="691" t="s">
        <v>41</v>
      </c>
      <c r="C11" s="964">
        <f t="shared" si="3"/>
        <v>798</v>
      </c>
      <c r="D11" s="494">
        <f t="shared" si="4"/>
        <v>42361</v>
      </c>
      <c r="E11" s="660">
        <v>363</v>
      </c>
      <c r="F11" s="494">
        <v>21099</v>
      </c>
      <c r="G11" s="660">
        <v>435</v>
      </c>
      <c r="H11" s="494">
        <v>21262</v>
      </c>
      <c r="I11" s="668">
        <f t="shared" si="1"/>
        <v>0.54511278195488722</v>
      </c>
      <c r="J11" s="668">
        <f t="shared" si="2"/>
        <v>0.50192393947262814</v>
      </c>
      <c r="K11" s="659" t="s">
        <v>41</v>
      </c>
      <c r="L11" s="537"/>
    </row>
    <row r="12" spans="1:12" ht="12.75" customHeight="1">
      <c r="A12" s="545"/>
      <c r="B12" s="689" t="s">
        <v>46</v>
      </c>
      <c r="C12" s="969">
        <f t="shared" si="3"/>
        <v>2240</v>
      </c>
      <c r="D12" s="578">
        <f t="shared" si="4"/>
        <v>76758</v>
      </c>
      <c r="E12" s="658">
        <v>148</v>
      </c>
      <c r="F12" s="578">
        <v>6689</v>
      </c>
      <c r="G12" s="658">
        <v>2092</v>
      </c>
      <c r="H12" s="578">
        <v>70069</v>
      </c>
      <c r="I12" s="968">
        <f t="shared" si="1"/>
        <v>0.93392857142857144</v>
      </c>
      <c r="J12" s="680">
        <f t="shared" si="2"/>
        <v>0.91285598895229159</v>
      </c>
      <c r="K12" s="657" t="s">
        <v>46</v>
      </c>
      <c r="L12" s="537"/>
    </row>
    <row r="13" spans="1:12" ht="12.75" customHeight="1">
      <c r="A13" s="545"/>
      <c r="B13" s="691" t="s">
        <v>31</v>
      </c>
      <c r="C13" s="964">
        <f t="shared" si="3"/>
        <v>94</v>
      </c>
      <c r="D13" s="494">
        <f t="shared" si="4"/>
        <v>1253</v>
      </c>
      <c r="E13" s="660">
        <v>9</v>
      </c>
      <c r="F13" s="494">
        <v>17</v>
      </c>
      <c r="G13" s="660">
        <v>85</v>
      </c>
      <c r="H13" s="494">
        <v>1236</v>
      </c>
      <c r="I13" s="668">
        <f t="shared" si="1"/>
        <v>0.9042553191489362</v>
      </c>
      <c r="J13" s="668">
        <f t="shared" si="2"/>
        <v>0.98643256185155626</v>
      </c>
      <c r="K13" s="659" t="s">
        <v>31</v>
      </c>
      <c r="L13" s="537"/>
    </row>
    <row r="14" spans="1:12" ht="12.75" customHeight="1">
      <c r="A14" s="545"/>
      <c r="B14" s="689" t="s">
        <v>49</v>
      </c>
      <c r="C14" s="969">
        <f t="shared" si="3"/>
        <v>95</v>
      </c>
      <c r="D14" s="578">
        <f t="shared" si="4"/>
        <v>1601</v>
      </c>
      <c r="E14" s="658">
        <v>38</v>
      </c>
      <c r="F14" s="578">
        <v>369</v>
      </c>
      <c r="G14" s="658">
        <v>57</v>
      </c>
      <c r="H14" s="578">
        <v>1232</v>
      </c>
      <c r="I14" s="690">
        <f t="shared" si="1"/>
        <v>0.6</v>
      </c>
      <c r="J14" s="680">
        <f t="shared" si="2"/>
        <v>0.76951905059337911</v>
      </c>
      <c r="K14" s="657" t="s">
        <v>49</v>
      </c>
      <c r="L14" s="537"/>
    </row>
    <row r="15" spans="1:12" ht="12.75" customHeight="1">
      <c r="A15" s="545"/>
      <c r="B15" s="691" t="s">
        <v>42</v>
      </c>
      <c r="C15" s="964">
        <f t="shared" si="3"/>
        <v>5186</v>
      </c>
      <c r="D15" s="494">
        <f t="shared" si="4"/>
        <v>424893</v>
      </c>
      <c r="E15" s="660">
        <v>602</v>
      </c>
      <c r="F15" s="494">
        <v>56196</v>
      </c>
      <c r="G15" s="660">
        <v>4584</v>
      </c>
      <c r="H15" s="494">
        <v>368697</v>
      </c>
      <c r="I15" s="668">
        <f t="shared" si="1"/>
        <v>0.88391824141920561</v>
      </c>
      <c r="J15" s="668">
        <f t="shared" si="2"/>
        <v>0.86774081945336823</v>
      </c>
      <c r="K15" s="659" t="s">
        <v>42</v>
      </c>
      <c r="L15" s="537"/>
    </row>
    <row r="16" spans="1:12" ht="12.75" customHeight="1">
      <c r="A16" s="545"/>
      <c r="B16" s="689" t="s">
        <v>47</v>
      </c>
      <c r="C16" s="969">
        <f t="shared" si="3"/>
        <v>200</v>
      </c>
      <c r="D16" s="578">
        <f t="shared" si="4"/>
        <v>4487</v>
      </c>
      <c r="E16" s="658">
        <v>79</v>
      </c>
      <c r="F16" s="578">
        <v>433</v>
      </c>
      <c r="G16" s="658">
        <v>121</v>
      </c>
      <c r="H16" s="578">
        <v>4054</v>
      </c>
      <c r="I16" s="690">
        <f t="shared" si="1"/>
        <v>0.60499999999999998</v>
      </c>
      <c r="J16" s="680">
        <f t="shared" si="2"/>
        <v>0.90349899710274129</v>
      </c>
      <c r="K16" s="657" t="s">
        <v>47</v>
      </c>
      <c r="L16" s="537"/>
    </row>
    <row r="17" spans="1:12" ht="12.75" customHeight="1">
      <c r="A17" s="545"/>
      <c r="B17" s="691" t="s">
        <v>48</v>
      </c>
      <c r="C17" s="964">
        <f t="shared" si="3"/>
        <v>381</v>
      </c>
      <c r="D17" s="494">
        <f t="shared" si="4"/>
        <v>19404</v>
      </c>
      <c r="E17" s="660">
        <v>110</v>
      </c>
      <c r="F17" s="494">
        <v>3743</v>
      </c>
      <c r="G17" s="660">
        <v>271</v>
      </c>
      <c r="H17" s="494">
        <v>15661</v>
      </c>
      <c r="I17" s="668">
        <f t="shared" si="1"/>
        <v>0.71128608923884518</v>
      </c>
      <c r="J17" s="668">
        <f t="shared" si="2"/>
        <v>0.80710162853019995</v>
      </c>
      <c r="K17" s="659" t="s">
        <v>48</v>
      </c>
      <c r="L17" s="537"/>
    </row>
    <row r="18" spans="1:12" ht="12.75" customHeight="1">
      <c r="A18" s="545"/>
      <c r="B18" s="692" t="s">
        <v>59</v>
      </c>
      <c r="C18" s="969">
        <f t="shared" si="3"/>
        <v>76</v>
      </c>
      <c r="D18" s="662">
        <f t="shared" si="4"/>
        <v>2283</v>
      </c>
      <c r="E18" s="963">
        <v>54</v>
      </c>
      <c r="F18" s="662">
        <v>1405</v>
      </c>
      <c r="G18" s="963">
        <v>22</v>
      </c>
      <c r="H18" s="662">
        <v>878</v>
      </c>
      <c r="I18" s="690">
        <f t="shared" si="1"/>
        <v>0.28947368421052633</v>
      </c>
      <c r="J18" s="680">
        <f t="shared" si="2"/>
        <v>0.38458169075777487</v>
      </c>
      <c r="K18" s="661" t="s">
        <v>59</v>
      </c>
      <c r="L18" s="537"/>
    </row>
    <row r="19" spans="1:12" ht="12.75" customHeight="1">
      <c r="A19" s="545"/>
      <c r="B19" s="691" t="s">
        <v>50</v>
      </c>
      <c r="C19" s="964">
        <f t="shared" si="3"/>
        <v>1182</v>
      </c>
      <c r="D19" s="494">
        <f t="shared" si="4"/>
        <v>52837</v>
      </c>
      <c r="E19" s="660">
        <v>375</v>
      </c>
      <c r="F19" s="494">
        <v>6869</v>
      </c>
      <c r="G19" s="660">
        <v>807</v>
      </c>
      <c r="H19" s="494">
        <v>45968</v>
      </c>
      <c r="I19" s="668">
        <f t="shared" si="1"/>
        <v>0.68274111675126903</v>
      </c>
      <c r="J19" s="668">
        <f t="shared" si="2"/>
        <v>0.86999640403505119</v>
      </c>
      <c r="K19" s="659" t="s">
        <v>50</v>
      </c>
      <c r="L19" s="537"/>
    </row>
    <row r="20" spans="1:12" ht="12.75" customHeight="1">
      <c r="A20" s="545"/>
      <c r="B20" s="692" t="s">
        <v>29</v>
      </c>
      <c r="C20" s="969">
        <f t="shared" si="3"/>
        <v>233</v>
      </c>
      <c r="D20" s="662">
        <f t="shared" si="4"/>
        <v>10395</v>
      </c>
      <c r="E20" s="963">
        <v>57</v>
      </c>
      <c r="F20" s="662">
        <v>2297</v>
      </c>
      <c r="G20" s="963">
        <v>176</v>
      </c>
      <c r="H20" s="662">
        <v>8098</v>
      </c>
      <c r="I20" s="690">
        <f t="shared" si="1"/>
        <v>0.75536480686695284</v>
      </c>
      <c r="J20" s="680">
        <f t="shared" si="2"/>
        <v>0.77902837902837907</v>
      </c>
      <c r="K20" s="661" t="s">
        <v>29</v>
      </c>
      <c r="L20" s="537"/>
    </row>
    <row r="21" spans="1:12" ht="12.75" customHeight="1">
      <c r="A21" s="545"/>
      <c r="B21" s="691" t="s">
        <v>33</v>
      </c>
      <c r="C21" s="964">
        <f t="shared" si="3"/>
        <v>65</v>
      </c>
      <c r="D21" s="494">
        <f t="shared" si="4"/>
        <v>450</v>
      </c>
      <c r="E21" s="660">
        <v>3</v>
      </c>
      <c r="F21" s="494">
        <v>8</v>
      </c>
      <c r="G21" s="660">
        <v>62</v>
      </c>
      <c r="H21" s="494">
        <v>442</v>
      </c>
      <c r="I21" s="668">
        <f t="shared" si="1"/>
        <v>0.9538461538461539</v>
      </c>
      <c r="J21" s="668">
        <f t="shared" si="2"/>
        <v>0.98222222222222222</v>
      </c>
      <c r="K21" s="659" t="s">
        <v>33</v>
      </c>
      <c r="L21" s="537"/>
    </row>
    <row r="22" spans="1:12" ht="12.75" customHeight="1">
      <c r="A22" s="545"/>
      <c r="B22" s="692" t="s">
        <v>34</v>
      </c>
      <c r="C22" s="969">
        <f t="shared" si="3"/>
        <v>60</v>
      </c>
      <c r="D22" s="662">
        <f t="shared" si="4"/>
        <v>259</v>
      </c>
      <c r="E22" s="963">
        <v>15</v>
      </c>
      <c r="F22" s="662">
        <v>83</v>
      </c>
      <c r="G22" s="963">
        <v>45</v>
      </c>
      <c r="H22" s="662">
        <v>176</v>
      </c>
      <c r="I22" s="690">
        <f t="shared" si="1"/>
        <v>0.75</v>
      </c>
      <c r="J22" s="680">
        <f t="shared" si="2"/>
        <v>0.67953667953667951</v>
      </c>
      <c r="K22" s="661" t="s">
        <v>34</v>
      </c>
      <c r="L22" s="537"/>
    </row>
    <row r="23" spans="1:12" ht="12.75" customHeight="1">
      <c r="A23" s="545"/>
      <c r="B23" s="691" t="s">
        <v>51</v>
      </c>
      <c r="C23" s="954">
        <f t="shared" si="3"/>
        <v>68</v>
      </c>
      <c r="D23" s="663">
        <f t="shared" si="4"/>
        <v>3978</v>
      </c>
      <c r="E23" s="664">
        <v>1</v>
      </c>
      <c r="F23" s="663">
        <v>6</v>
      </c>
      <c r="G23" s="660">
        <v>67</v>
      </c>
      <c r="H23" s="494">
        <v>3972</v>
      </c>
      <c r="I23" s="668">
        <f t="shared" si="1"/>
        <v>0.98529411764705888</v>
      </c>
      <c r="J23" s="668">
        <f t="shared" si="2"/>
        <v>0.99849170437405732</v>
      </c>
      <c r="K23" s="659" t="s">
        <v>51</v>
      </c>
      <c r="L23" s="537"/>
    </row>
    <row r="24" spans="1:12" ht="12.75" customHeight="1">
      <c r="A24" s="545"/>
      <c r="B24" s="692" t="s">
        <v>32</v>
      </c>
      <c r="C24" s="680" t="s">
        <v>58</v>
      </c>
      <c r="D24" s="683" t="s">
        <v>58</v>
      </c>
      <c r="E24" s="600" t="s">
        <v>58</v>
      </c>
      <c r="F24" s="683" t="s">
        <v>58</v>
      </c>
      <c r="G24" s="600" t="s">
        <v>58</v>
      </c>
      <c r="H24" s="683" t="s">
        <v>58</v>
      </c>
      <c r="I24" s="680" t="s">
        <v>58</v>
      </c>
      <c r="J24" s="971" t="s">
        <v>58</v>
      </c>
      <c r="K24" s="585" t="s">
        <v>32</v>
      </c>
      <c r="L24" s="537"/>
    </row>
    <row r="25" spans="1:12" ht="12.75" customHeight="1">
      <c r="A25" s="545"/>
      <c r="B25" s="691" t="s">
        <v>35</v>
      </c>
      <c r="C25" s="964">
        <f t="shared" si="3"/>
        <v>72</v>
      </c>
      <c r="D25" s="494">
        <f t="shared" si="4"/>
        <v>1364</v>
      </c>
      <c r="E25" s="660">
        <v>40</v>
      </c>
      <c r="F25" s="494">
        <v>728</v>
      </c>
      <c r="G25" s="660">
        <v>32</v>
      </c>
      <c r="H25" s="494">
        <v>636</v>
      </c>
      <c r="I25" s="668">
        <f t="shared" si="1"/>
        <v>0.44444444444444442</v>
      </c>
      <c r="J25" s="668">
        <f t="shared" si="2"/>
        <v>0.4662756598240469</v>
      </c>
      <c r="K25" s="659" t="s">
        <v>35</v>
      </c>
      <c r="L25" s="537"/>
    </row>
    <row r="26" spans="1:12" ht="12.75" customHeight="1">
      <c r="A26" s="545"/>
      <c r="B26" s="692" t="s">
        <v>43</v>
      </c>
      <c r="C26" s="969">
        <f t="shared" si="3"/>
        <v>858</v>
      </c>
      <c r="D26" s="662">
        <f t="shared" si="4"/>
        <v>11932</v>
      </c>
      <c r="E26" s="963">
        <v>527</v>
      </c>
      <c r="F26" s="662">
        <v>4505</v>
      </c>
      <c r="G26" s="963">
        <v>331</v>
      </c>
      <c r="H26" s="662">
        <v>7427</v>
      </c>
      <c r="I26" s="690">
        <f t="shared" si="1"/>
        <v>0.38578088578088576</v>
      </c>
      <c r="J26" s="680">
        <f t="shared" si="2"/>
        <v>0.62244384847468992</v>
      </c>
      <c r="K26" s="661" t="s">
        <v>43</v>
      </c>
      <c r="L26" s="537"/>
    </row>
    <row r="27" spans="1:12" ht="12.75" customHeight="1">
      <c r="A27" s="545"/>
      <c r="B27" s="691" t="s">
        <v>52</v>
      </c>
      <c r="C27" s="952">
        <f t="shared" si="3"/>
        <v>4</v>
      </c>
      <c r="D27" s="663">
        <f t="shared" si="4"/>
        <v>31</v>
      </c>
      <c r="E27" s="664">
        <v>0</v>
      </c>
      <c r="F27" s="663"/>
      <c r="G27" s="660">
        <v>4</v>
      </c>
      <c r="H27" s="494">
        <v>31</v>
      </c>
      <c r="I27" s="668">
        <f t="shared" si="1"/>
        <v>1</v>
      </c>
      <c r="J27" s="668">
        <f t="shared" si="2"/>
        <v>1</v>
      </c>
      <c r="K27" s="659" t="s">
        <v>52</v>
      </c>
      <c r="L27" s="537"/>
    </row>
    <row r="28" spans="1:12" ht="12.75" customHeight="1">
      <c r="A28" s="545"/>
      <c r="B28" s="692" t="s">
        <v>36</v>
      </c>
      <c r="C28" s="969">
        <f t="shared" si="3"/>
        <v>94</v>
      </c>
      <c r="D28" s="662">
        <f t="shared" si="4"/>
        <v>2526</v>
      </c>
      <c r="E28" s="963">
        <v>5</v>
      </c>
      <c r="F28" s="662">
        <v>15</v>
      </c>
      <c r="G28" s="963">
        <v>89</v>
      </c>
      <c r="H28" s="662">
        <v>2511</v>
      </c>
      <c r="I28" s="690">
        <f t="shared" si="1"/>
        <v>0.94680851063829785</v>
      </c>
      <c r="J28" s="680">
        <f t="shared" si="2"/>
        <v>0.99406175771971494</v>
      </c>
      <c r="K28" s="661" t="s">
        <v>36</v>
      </c>
      <c r="L28" s="537"/>
    </row>
    <row r="29" spans="1:12" ht="12.75" customHeight="1">
      <c r="A29" s="545"/>
      <c r="B29" s="691" t="s">
        <v>53</v>
      </c>
      <c r="C29" s="964">
        <f t="shared" si="3"/>
        <v>47</v>
      </c>
      <c r="D29" s="494">
        <f t="shared" si="4"/>
        <v>1139</v>
      </c>
      <c r="E29" s="660">
        <v>25</v>
      </c>
      <c r="F29" s="494">
        <v>147</v>
      </c>
      <c r="G29" s="660">
        <v>22</v>
      </c>
      <c r="H29" s="494">
        <v>992</v>
      </c>
      <c r="I29" s="668">
        <f t="shared" si="1"/>
        <v>0.46808510638297873</v>
      </c>
      <c r="J29" s="668">
        <f t="shared" si="2"/>
        <v>0.87093942054433715</v>
      </c>
      <c r="K29" s="659" t="s">
        <v>53</v>
      </c>
      <c r="L29" s="537"/>
    </row>
    <row r="30" spans="1:12" ht="12.75" customHeight="1">
      <c r="A30" s="545"/>
      <c r="B30" s="692" t="s">
        <v>37</v>
      </c>
      <c r="C30" s="969">
        <f t="shared" si="3"/>
        <v>102</v>
      </c>
      <c r="D30" s="662">
        <f t="shared" si="4"/>
        <v>1482</v>
      </c>
      <c r="E30" s="963">
        <v>2</v>
      </c>
      <c r="F30" s="662">
        <v>24</v>
      </c>
      <c r="G30" s="963">
        <v>100</v>
      </c>
      <c r="H30" s="662">
        <v>1458</v>
      </c>
      <c r="I30" s="690">
        <f t="shared" si="1"/>
        <v>0.98039215686274506</v>
      </c>
      <c r="J30" s="680">
        <f t="shared" si="2"/>
        <v>0.98380566801619429</v>
      </c>
      <c r="K30" s="661" t="s">
        <v>37</v>
      </c>
      <c r="L30" s="537"/>
    </row>
    <row r="31" spans="1:12" ht="12.75" customHeight="1">
      <c r="A31" s="545"/>
      <c r="B31" s="691" t="s">
        <v>39</v>
      </c>
      <c r="C31" s="954">
        <f t="shared" si="3"/>
        <v>1</v>
      </c>
      <c r="D31" s="663">
        <f t="shared" si="4"/>
        <v>6</v>
      </c>
      <c r="E31" s="664"/>
      <c r="F31" s="663"/>
      <c r="G31" s="964">
        <v>1</v>
      </c>
      <c r="H31" s="494">
        <v>6</v>
      </c>
      <c r="I31" s="668">
        <f t="shared" si="1"/>
        <v>1</v>
      </c>
      <c r="J31" s="668">
        <f t="shared" si="2"/>
        <v>1</v>
      </c>
      <c r="K31" s="659" t="s">
        <v>39</v>
      </c>
      <c r="L31" s="537"/>
    </row>
    <row r="32" spans="1:12" ht="12.75" customHeight="1">
      <c r="A32" s="545"/>
      <c r="B32" s="692" t="s">
        <v>38</v>
      </c>
      <c r="C32" s="680" t="s">
        <v>58</v>
      </c>
      <c r="D32" s="683" t="s">
        <v>58</v>
      </c>
      <c r="E32" s="600" t="s">
        <v>58</v>
      </c>
      <c r="F32" s="683" t="s">
        <v>58</v>
      </c>
      <c r="G32" s="600" t="s">
        <v>58</v>
      </c>
      <c r="H32" s="683" t="s">
        <v>58</v>
      </c>
      <c r="I32" s="680" t="s">
        <v>58</v>
      </c>
      <c r="J32" s="971" t="s">
        <v>58</v>
      </c>
      <c r="K32" s="585" t="s">
        <v>38</v>
      </c>
      <c r="L32" s="537"/>
    </row>
    <row r="33" spans="1:12" ht="12.75" customHeight="1">
      <c r="A33" s="545"/>
      <c r="B33" s="691" t="s">
        <v>54</v>
      </c>
      <c r="C33" s="964">
        <f t="shared" si="3"/>
        <v>109</v>
      </c>
      <c r="D33" s="494">
        <f t="shared" si="4"/>
        <v>2157</v>
      </c>
      <c r="E33" s="660">
        <v>63</v>
      </c>
      <c r="F33" s="494">
        <v>754</v>
      </c>
      <c r="G33" s="660">
        <v>46</v>
      </c>
      <c r="H33" s="494">
        <v>1403</v>
      </c>
      <c r="I33" s="668">
        <f t="shared" si="1"/>
        <v>0.42201834862385323</v>
      </c>
      <c r="J33" s="668">
        <f t="shared" si="2"/>
        <v>0.65044042651831246</v>
      </c>
      <c r="K33" s="659" t="s">
        <v>54</v>
      </c>
      <c r="L33" s="537"/>
    </row>
    <row r="34" spans="1:12" ht="12.75" customHeight="1">
      <c r="A34" s="545"/>
      <c r="B34" s="693" t="s">
        <v>55</v>
      </c>
      <c r="C34" s="973">
        <f t="shared" si="3"/>
        <v>255</v>
      </c>
      <c r="D34" s="669">
        <f t="shared" si="4"/>
        <v>4648</v>
      </c>
      <c r="E34" s="960">
        <v>69</v>
      </c>
      <c r="F34" s="669">
        <v>786</v>
      </c>
      <c r="G34" s="960">
        <v>186</v>
      </c>
      <c r="H34" s="669">
        <v>3862</v>
      </c>
      <c r="I34" s="694">
        <f t="shared" si="1"/>
        <v>0.72941176470588232</v>
      </c>
      <c r="J34" s="695">
        <f t="shared" si="2"/>
        <v>0.83089500860585197</v>
      </c>
      <c r="K34" s="667" t="s">
        <v>55</v>
      </c>
      <c r="L34" s="537"/>
    </row>
    <row r="35" spans="1:12" ht="12.75" customHeight="1">
      <c r="A35" s="545"/>
      <c r="B35" s="691" t="s">
        <v>26</v>
      </c>
      <c r="C35" s="964">
        <f t="shared" si="3"/>
        <v>12</v>
      </c>
      <c r="D35" s="494">
        <f t="shared" si="4"/>
        <v>104</v>
      </c>
      <c r="E35" s="660">
        <v>2</v>
      </c>
      <c r="F35" s="932">
        <v>8</v>
      </c>
      <c r="G35" s="660">
        <v>10</v>
      </c>
      <c r="H35" s="494">
        <v>96</v>
      </c>
      <c r="I35" s="668">
        <f t="shared" si="1"/>
        <v>0.83333333333333337</v>
      </c>
      <c r="J35" s="668">
        <f t="shared" si="2"/>
        <v>0.92307692307692313</v>
      </c>
      <c r="K35" s="659" t="s">
        <v>26</v>
      </c>
      <c r="L35" s="537"/>
    </row>
    <row r="36" spans="1:12" ht="12.75" customHeight="1">
      <c r="A36" s="545"/>
      <c r="B36" s="692" t="s">
        <v>56</v>
      </c>
      <c r="C36" s="969">
        <f t="shared" si="3"/>
        <v>1682</v>
      </c>
      <c r="D36" s="662">
        <f t="shared" si="4"/>
        <v>77286</v>
      </c>
      <c r="E36" s="963">
        <v>651</v>
      </c>
      <c r="F36" s="662">
        <v>15917</v>
      </c>
      <c r="G36" s="963">
        <v>1031</v>
      </c>
      <c r="H36" s="662">
        <v>61369</v>
      </c>
      <c r="I36" s="690">
        <f t="shared" si="1"/>
        <v>0.61296076099881092</v>
      </c>
      <c r="J36" s="680">
        <f t="shared" si="2"/>
        <v>0.79405066894392262</v>
      </c>
      <c r="K36" s="661" t="s">
        <v>56</v>
      </c>
      <c r="L36" s="537"/>
    </row>
    <row r="37" spans="1:12" ht="12.75" customHeight="1">
      <c r="A37" s="545"/>
      <c r="B37" s="696" t="s">
        <v>27</v>
      </c>
      <c r="C37" s="966">
        <f t="shared" si="3"/>
        <v>199</v>
      </c>
      <c r="D37" s="579">
        <f t="shared" si="4"/>
        <v>11698</v>
      </c>
      <c r="E37" s="967">
        <v>14</v>
      </c>
      <c r="F37" s="579">
        <v>836</v>
      </c>
      <c r="G37" s="967">
        <v>185</v>
      </c>
      <c r="H37" s="579">
        <v>10862</v>
      </c>
      <c r="I37" s="697">
        <f t="shared" si="1"/>
        <v>0.92964824120603018</v>
      </c>
      <c r="J37" s="698">
        <f t="shared" si="2"/>
        <v>0.92853479227218327</v>
      </c>
      <c r="K37" s="148" t="s">
        <v>27</v>
      </c>
      <c r="L37" s="537"/>
    </row>
    <row r="38" spans="1:12" ht="12.75" customHeight="1">
      <c r="A38" s="545"/>
      <c r="B38" s="699" t="s">
        <v>311</v>
      </c>
      <c r="C38" s="680" t="s">
        <v>58</v>
      </c>
      <c r="D38" s="683" t="s">
        <v>58</v>
      </c>
      <c r="E38" s="600" t="s">
        <v>58</v>
      </c>
      <c r="F38" s="683" t="s">
        <v>58</v>
      </c>
      <c r="G38" s="600" t="s">
        <v>58</v>
      </c>
      <c r="H38" s="683" t="s">
        <v>58</v>
      </c>
      <c r="I38" s="680" t="s">
        <v>58</v>
      </c>
      <c r="J38" s="971" t="s">
        <v>58</v>
      </c>
      <c r="K38" s="215" t="s">
        <v>311</v>
      </c>
      <c r="L38" s="537"/>
    </row>
    <row r="39" spans="1:12" ht="12.75" customHeight="1">
      <c r="A39" s="545"/>
      <c r="B39" s="701" t="s">
        <v>139</v>
      </c>
      <c r="C39" s="954">
        <f t="shared" si="3"/>
        <v>5</v>
      </c>
      <c r="D39" s="663">
        <f t="shared" si="4"/>
        <v>153</v>
      </c>
      <c r="E39" s="664">
        <v>4</v>
      </c>
      <c r="F39" s="663">
        <v>140</v>
      </c>
      <c r="G39" s="673">
        <v>1</v>
      </c>
      <c r="H39" s="663">
        <v>13</v>
      </c>
      <c r="I39" s="668">
        <f t="shared" si="1"/>
        <v>0.2</v>
      </c>
      <c r="J39" s="668">
        <f t="shared" si="2"/>
        <v>8.4967320261437912E-2</v>
      </c>
      <c r="K39" s="659" t="s">
        <v>139</v>
      </c>
      <c r="L39" s="537"/>
    </row>
    <row r="40" spans="1:12" ht="12.75" customHeight="1">
      <c r="A40" s="545"/>
      <c r="B40" s="699" t="s">
        <v>0</v>
      </c>
      <c r="C40" s="680" t="s">
        <v>58</v>
      </c>
      <c r="D40" s="683" t="s">
        <v>58</v>
      </c>
      <c r="E40" s="600" t="s">
        <v>58</v>
      </c>
      <c r="F40" s="683" t="s">
        <v>58</v>
      </c>
      <c r="G40" s="600" t="s">
        <v>58</v>
      </c>
      <c r="H40" s="683" t="s">
        <v>58</v>
      </c>
      <c r="I40" s="680" t="s">
        <v>58</v>
      </c>
      <c r="J40" s="971" t="s">
        <v>58</v>
      </c>
      <c r="K40" s="215" t="s">
        <v>0</v>
      </c>
      <c r="L40" s="537"/>
    </row>
    <row r="41" spans="1:12" ht="12.75" customHeight="1">
      <c r="A41" s="545"/>
      <c r="B41" s="701" t="s">
        <v>313</v>
      </c>
      <c r="C41" s="972">
        <f t="shared" si="3"/>
        <v>15</v>
      </c>
      <c r="D41" s="702">
        <f t="shared" si="4"/>
        <v>1141</v>
      </c>
      <c r="E41" s="682"/>
      <c r="F41" s="702"/>
      <c r="G41" s="682">
        <v>15</v>
      </c>
      <c r="H41" s="702">
        <v>1141</v>
      </c>
      <c r="I41" s="970">
        <f t="shared" si="1"/>
        <v>1</v>
      </c>
      <c r="J41" s="668">
        <f t="shared" si="2"/>
        <v>1</v>
      </c>
      <c r="K41" s="119" t="s">
        <v>313</v>
      </c>
      <c r="L41" s="537"/>
    </row>
    <row r="42" spans="1:12" ht="12.75" customHeight="1">
      <c r="A42" s="544"/>
      <c r="B42" s="699" t="s">
        <v>346</v>
      </c>
      <c r="C42" s="931">
        <f t="shared" si="3"/>
        <v>19</v>
      </c>
      <c r="D42" s="700">
        <f t="shared" si="4"/>
        <v>976</v>
      </c>
      <c r="E42" s="930"/>
      <c r="F42" s="700"/>
      <c r="G42" s="930">
        <v>19</v>
      </c>
      <c r="H42" s="700">
        <v>976</v>
      </c>
      <c r="I42" s="929">
        <f t="shared" si="1"/>
        <v>1</v>
      </c>
      <c r="J42" s="681">
        <f t="shared" si="2"/>
        <v>1</v>
      </c>
      <c r="K42" s="935" t="s">
        <v>346</v>
      </c>
      <c r="L42" s="537"/>
    </row>
    <row r="43" spans="1:12" ht="12.75" customHeight="1">
      <c r="A43" s="544"/>
      <c r="B43" s="677" t="s">
        <v>145</v>
      </c>
      <c r="C43" s="673">
        <f t="shared" si="3"/>
        <v>30</v>
      </c>
      <c r="D43" s="663">
        <f t="shared" si="4"/>
        <v>102</v>
      </c>
      <c r="E43" s="664">
        <v>9</v>
      </c>
      <c r="F43" s="663">
        <v>23</v>
      </c>
      <c r="G43" s="958">
        <v>21</v>
      </c>
      <c r="H43" s="494">
        <v>79</v>
      </c>
      <c r="I43" s="668">
        <f t="shared" si="1"/>
        <v>0.7</v>
      </c>
      <c r="J43" s="668">
        <f t="shared" si="2"/>
        <v>0.77450980392156865</v>
      </c>
      <c r="K43" s="941" t="s">
        <v>145</v>
      </c>
      <c r="L43" s="537"/>
    </row>
    <row r="44" spans="1:12" s="927" customFormat="1" ht="12.75" customHeight="1">
      <c r="A44" s="675"/>
      <c r="B44" s="678" t="s">
        <v>138</v>
      </c>
      <c r="C44" s="961">
        <f t="shared" si="3"/>
        <v>1</v>
      </c>
      <c r="D44" s="671">
        <f t="shared" si="4"/>
        <v>7</v>
      </c>
      <c r="E44" s="672"/>
      <c r="F44" s="671"/>
      <c r="G44" s="962">
        <v>1</v>
      </c>
      <c r="H44" s="479">
        <v>7</v>
      </c>
      <c r="I44" s="681">
        <f t="shared" si="1"/>
        <v>1</v>
      </c>
      <c r="J44" s="681">
        <f t="shared" si="2"/>
        <v>1</v>
      </c>
      <c r="K44" s="951" t="s">
        <v>138</v>
      </c>
      <c r="L44" s="928"/>
    </row>
    <row r="45" spans="1:12" ht="12.75" customHeight="1">
      <c r="A45" s="675"/>
      <c r="B45" s="677" t="s">
        <v>40</v>
      </c>
      <c r="C45" s="673">
        <f t="shared" si="3"/>
        <v>1858</v>
      </c>
      <c r="D45" s="663">
        <f t="shared" si="4"/>
        <v>44895</v>
      </c>
      <c r="E45" s="664">
        <v>350</v>
      </c>
      <c r="F45" s="663">
        <v>5845</v>
      </c>
      <c r="G45" s="964">
        <v>1508</v>
      </c>
      <c r="H45" s="494">
        <v>39050</v>
      </c>
      <c r="I45" s="668">
        <f t="shared" si="1"/>
        <v>0.81162540365984925</v>
      </c>
      <c r="J45" s="668">
        <f t="shared" si="2"/>
        <v>0.8698073282102684</v>
      </c>
      <c r="K45" s="941" t="s">
        <v>40</v>
      </c>
      <c r="L45" s="537"/>
    </row>
    <row r="46" spans="1:12" s="927" customFormat="1" ht="12.75" customHeight="1">
      <c r="A46" s="675"/>
      <c r="B46" s="794" t="s">
        <v>312</v>
      </c>
      <c r="C46" s="553">
        <f t="shared" si="3"/>
        <v>277</v>
      </c>
      <c r="D46" s="795">
        <f t="shared" si="4"/>
        <v>3090</v>
      </c>
      <c r="E46" s="553">
        <v>66</v>
      </c>
      <c r="F46" s="795">
        <v>235</v>
      </c>
      <c r="G46" s="965">
        <v>211</v>
      </c>
      <c r="H46" s="577">
        <v>2855</v>
      </c>
      <c r="I46" s="926">
        <f t="shared" si="1"/>
        <v>0.76173285198555951</v>
      </c>
      <c r="J46" s="925">
        <f t="shared" si="2"/>
        <v>0.92394822006472488</v>
      </c>
      <c r="K46" s="955" t="s">
        <v>312</v>
      </c>
      <c r="L46" s="928"/>
    </row>
    <row r="47" spans="1:12" ht="12.75" customHeight="1">
      <c r="A47" s="545"/>
      <c r="B47" s="679" t="s">
        <v>44</v>
      </c>
      <c r="C47" s="674">
        <f t="shared" si="3"/>
        <v>814</v>
      </c>
      <c r="D47" s="676">
        <f t="shared" si="4"/>
        <v>42220</v>
      </c>
      <c r="E47" s="664">
        <v>160</v>
      </c>
      <c r="F47" s="663">
        <v>6585</v>
      </c>
      <c r="G47" s="964">
        <v>654</v>
      </c>
      <c r="H47" s="494">
        <v>35635</v>
      </c>
      <c r="I47" s="668">
        <f t="shared" si="1"/>
        <v>0.80343980343980348</v>
      </c>
      <c r="J47" s="668">
        <f t="shared" si="2"/>
        <v>0.84403126480341073</v>
      </c>
      <c r="K47" s="941" t="s">
        <v>44</v>
      </c>
      <c r="L47" s="537"/>
    </row>
    <row r="48" spans="1:12" ht="13.5" customHeight="1">
      <c r="B48" s="1356" t="s">
        <v>317</v>
      </c>
      <c r="C48" s="1356"/>
      <c r="D48" s="1356"/>
      <c r="E48" s="1356"/>
      <c r="F48" s="1356"/>
      <c r="G48" s="1356"/>
      <c r="H48" s="1356"/>
      <c r="I48" s="1356"/>
      <c r="J48" s="1356"/>
      <c r="K48" s="612"/>
      <c r="L48" s="537"/>
    </row>
    <row r="49" spans="2:11" ht="10.5" customHeight="1">
      <c r="B49" s="1357" t="s">
        <v>290</v>
      </c>
      <c r="C49" s="1357"/>
      <c r="D49" s="670"/>
      <c r="E49" s="670"/>
      <c r="F49" s="670"/>
      <c r="G49" s="670"/>
      <c r="H49" s="670"/>
      <c r="I49" s="670"/>
      <c r="J49" s="670"/>
      <c r="K49" s="670"/>
    </row>
    <row r="50" spans="2:11">
      <c r="B50" s="1358" t="s">
        <v>318</v>
      </c>
      <c r="C50" s="1358"/>
      <c r="D50" s="1358"/>
      <c r="E50" s="1358"/>
      <c r="F50" s="1358"/>
      <c r="G50" s="1358"/>
      <c r="H50" s="1358"/>
      <c r="I50" s="1358"/>
      <c r="J50" s="1358"/>
      <c r="K50" s="1358"/>
    </row>
  </sheetData>
  <mergeCells count="10">
    <mergeCell ref="B48:J48"/>
    <mergeCell ref="B49:C49"/>
    <mergeCell ref="B50:K50"/>
    <mergeCell ref="B2:K2"/>
    <mergeCell ref="B3:K3"/>
    <mergeCell ref="B4:K4"/>
    <mergeCell ref="C5:D5"/>
    <mergeCell ref="E5:F5"/>
    <mergeCell ref="G5:H5"/>
    <mergeCell ref="I5:J5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4"/>
  <dimension ref="A1:AB23"/>
  <sheetViews>
    <sheetView zoomScaleNormal="100" workbookViewId="0">
      <selection activeCell="AI16" sqref="AI16"/>
    </sheetView>
  </sheetViews>
  <sheetFormatPr defaultRowHeight="12.75"/>
  <cols>
    <col min="1" max="1" width="1.85546875" customWidth="1"/>
    <col min="2" max="2" width="17.140625" customWidth="1"/>
    <col min="3" max="12" width="9.7109375" hidden="1" customWidth="1"/>
    <col min="13" max="15" width="9.140625" hidden="1" customWidth="1"/>
    <col min="16" max="18" width="9.28515625" hidden="1" customWidth="1"/>
    <col min="19" max="19" width="10.42578125" hidden="1" customWidth="1"/>
    <col min="20" max="26" width="8.7109375" customWidth="1"/>
    <col min="27" max="27" width="8.42578125" style="933" customWidth="1"/>
    <col min="28" max="28" width="2" customWidth="1"/>
  </cols>
  <sheetData>
    <row r="1" spans="2:28" ht="14.25" customHeight="1">
      <c r="B1" s="1362"/>
      <c r="C1" s="1362"/>
      <c r="L1" s="16"/>
      <c r="M1" s="1314" t="s">
        <v>113</v>
      </c>
      <c r="N1" s="1314"/>
      <c r="O1" s="1314"/>
      <c r="P1" s="1314"/>
      <c r="Q1" s="1314"/>
      <c r="R1" s="1314"/>
      <c r="S1" s="1314"/>
      <c r="T1" s="1314"/>
      <c r="U1" s="1314"/>
      <c r="V1" s="1314"/>
      <c r="W1" s="1314"/>
      <c r="X1" s="1314"/>
      <c r="Y1" s="1314"/>
      <c r="Z1" s="1314"/>
      <c r="AA1" s="1314"/>
      <c r="AB1" s="1314"/>
    </row>
    <row r="2" spans="2:28" s="37" customFormat="1" ht="30" customHeight="1">
      <c r="B2" s="1371" t="s">
        <v>265</v>
      </c>
      <c r="C2" s="1371"/>
      <c r="D2" s="1371"/>
      <c r="E2" s="1371"/>
      <c r="F2" s="1371"/>
      <c r="G2" s="1371"/>
      <c r="H2" s="1371"/>
      <c r="I2" s="1371"/>
      <c r="J2" s="1371"/>
      <c r="K2" s="1371"/>
      <c r="L2" s="1371"/>
      <c r="M2" s="1371"/>
      <c r="N2" s="1371"/>
      <c r="O2" s="1371"/>
      <c r="P2" s="1371"/>
      <c r="Q2" s="1371"/>
      <c r="R2" s="1371"/>
      <c r="S2" s="1371"/>
      <c r="T2" s="1371"/>
      <c r="U2" s="1371"/>
      <c r="V2" s="1371"/>
      <c r="W2" s="1371"/>
      <c r="X2" s="461"/>
      <c r="Y2" s="490"/>
      <c r="Z2" s="602"/>
      <c r="AA2" s="938"/>
    </row>
    <row r="3" spans="2:28" ht="20.100000000000001" customHeight="1">
      <c r="B3" s="1365" t="s">
        <v>77</v>
      </c>
      <c r="C3" s="1366"/>
      <c r="D3" s="1366"/>
      <c r="E3" s="1366"/>
      <c r="F3" s="1366"/>
      <c r="G3" s="1366"/>
      <c r="H3" s="1366"/>
      <c r="I3" s="1366"/>
      <c r="J3" s="1366"/>
      <c r="K3" s="1366"/>
      <c r="L3" s="1366"/>
      <c r="M3" s="1366"/>
      <c r="N3" s="1366"/>
      <c r="O3" s="1366"/>
      <c r="P3" s="1366"/>
      <c r="Q3" s="1366"/>
      <c r="R3" s="1366"/>
      <c r="S3" s="1366"/>
      <c r="T3" s="1366"/>
      <c r="U3" s="1366"/>
      <c r="V3" s="1366"/>
      <c r="W3" s="1366"/>
      <c r="X3" s="1366"/>
      <c r="Y3" s="1366"/>
      <c r="Z3" s="1366"/>
      <c r="AA3" s="1366"/>
      <c r="AB3" s="1367"/>
    </row>
    <row r="4" spans="2:28" ht="9.75" customHeight="1">
      <c r="B4" s="1363" t="s">
        <v>78</v>
      </c>
      <c r="C4" s="149" t="s">
        <v>76</v>
      </c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463"/>
      <c r="Y4" s="492"/>
      <c r="Z4" s="608"/>
      <c r="AA4" s="940"/>
      <c r="AB4" s="140"/>
    </row>
    <row r="5" spans="2:28" ht="15" customHeight="1">
      <c r="B5" s="1363"/>
      <c r="C5" s="150">
        <v>1995</v>
      </c>
      <c r="D5" s="151">
        <v>2000</v>
      </c>
      <c r="E5" s="151">
        <v>2001</v>
      </c>
      <c r="F5" s="151">
        <v>2002</v>
      </c>
      <c r="G5" s="151">
        <v>2003</v>
      </c>
      <c r="H5" s="151">
        <v>2004</v>
      </c>
      <c r="I5" s="151">
        <v>2005</v>
      </c>
      <c r="J5" s="151">
        <v>2006</v>
      </c>
      <c r="K5" s="151">
        <v>2007</v>
      </c>
      <c r="L5" s="151">
        <v>2008</v>
      </c>
      <c r="M5" s="151">
        <v>2009</v>
      </c>
      <c r="N5" s="151">
        <v>2010</v>
      </c>
      <c r="O5" s="151">
        <v>2011</v>
      </c>
      <c r="P5" s="151">
        <v>2012</v>
      </c>
      <c r="Q5" s="151">
        <v>2013</v>
      </c>
      <c r="R5" s="151">
        <v>2014</v>
      </c>
      <c r="S5" s="151">
        <v>2015</v>
      </c>
      <c r="T5" s="151">
        <v>2016</v>
      </c>
      <c r="U5" s="151">
        <v>2017</v>
      </c>
      <c r="V5" s="151">
        <v>2018</v>
      </c>
      <c r="W5" s="151">
        <v>2019</v>
      </c>
      <c r="X5" s="151">
        <v>2020</v>
      </c>
      <c r="Y5" s="151">
        <v>2021</v>
      </c>
      <c r="Z5" s="151">
        <v>2022</v>
      </c>
      <c r="AA5" s="943">
        <v>2023</v>
      </c>
      <c r="AB5" s="152"/>
    </row>
    <row r="6" spans="2:28" ht="15" customHeight="1">
      <c r="B6" s="1364"/>
      <c r="C6" s="1368" t="s">
        <v>129</v>
      </c>
      <c r="D6" s="1369"/>
      <c r="E6" s="1369"/>
      <c r="F6" s="1369"/>
      <c r="G6" s="1369"/>
      <c r="H6" s="1369"/>
      <c r="I6" s="1369"/>
      <c r="J6" s="1369"/>
      <c r="K6" s="1369"/>
      <c r="L6" s="1369"/>
      <c r="M6" s="1369"/>
      <c r="N6" s="1369"/>
      <c r="O6" s="1369"/>
      <c r="P6" s="1369"/>
      <c r="Q6" s="1369"/>
      <c r="R6" s="1369"/>
      <c r="S6" s="1369"/>
      <c r="T6" s="1369"/>
      <c r="U6" s="1369"/>
      <c r="V6" s="1369"/>
      <c r="W6" s="1369"/>
      <c r="X6" s="1369"/>
      <c r="Y6" s="1369"/>
      <c r="Z6" s="1369"/>
      <c r="AA6" s="1369"/>
      <c r="AB6" s="1370"/>
    </row>
    <row r="7" spans="2:28" ht="20.100000000000001" customHeight="1">
      <c r="B7" s="153" t="s">
        <v>7</v>
      </c>
      <c r="C7" s="154">
        <v>311.24599999999998</v>
      </c>
      <c r="D7" s="155">
        <v>350.13600000000002</v>
      </c>
      <c r="E7" s="155">
        <v>361.42200000000003</v>
      </c>
      <c r="F7" s="155">
        <v>372.28</v>
      </c>
      <c r="G7" s="155">
        <v>371.67200000000003</v>
      </c>
      <c r="H7" s="155">
        <v>383.18099999999998</v>
      </c>
      <c r="I7" s="155">
        <v>400.947</v>
      </c>
      <c r="J7" s="155">
        <v>420.62400000000002</v>
      </c>
      <c r="K7" s="155">
        <v>465.14699999999999</v>
      </c>
      <c r="L7" s="155">
        <v>480.86900000000003</v>
      </c>
      <c r="M7" s="155">
        <v>507.666</v>
      </c>
      <c r="N7" s="155">
        <v>518.27599999999995</v>
      </c>
      <c r="O7" s="155">
        <v>552.96999999999991</v>
      </c>
      <c r="P7" s="155">
        <v>601.00900000000001</v>
      </c>
      <c r="Q7" s="155">
        <v>669.86400000000003</v>
      </c>
      <c r="R7" s="155">
        <v>696.4</v>
      </c>
      <c r="S7" s="155">
        <v>739.1</v>
      </c>
      <c r="T7" s="155">
        <v>773.53499999999997</v>
      </c>
      <c r="U7" s="155">
        <v>807.3889999999999</v>
      </c>
      <c r="V7" s="155">
        <v>805.649</v>
      </c>
      <c r="W7" s="155">
        <v>843.06200000000001</v>
      </c>
      <c r="X7" s="155">
        <v>866.23500000000001</v>
      </c>
      <c r="Y7" s="155">
        <v>871.76599999999996</v>
      </c>
      <c r="Z7" s="155">
        <f>(848105+sea_fleet_eu!D45)/1000</f>
        <v>893</v>
      </c>
      <c r="AA7" s="944">
        <f>(848097+sea_fleet_eu!D45+sea_fleet_eu!D42)/1000</f>
        <v>893.96799999999996</v>
      </c>
      <c r="AB7" s="156"/>
    </row>
    <row r="8" spans="2:28" ht="20.100000000000001" customHeight="1">
      <c r="B8" s="157" t="s">
        <v>245</v>
      </c>
      <c r="C8" s="158">
        <v>223.56400000000002</v>
      </c>
      <c r="D8" s="159">
        <v>257.97500000000002</v>
      </c>
      <c r="E8" s="159">
        <v>266.34699999999998</v>
      </c>
      <c r="F8" s="159">
        <v>274.61200000000002</v>
      </c>
      <c r="G8" s="159">
        <v>277.38600000000002</v>
      </c>
      <c r="H8" s="159">
        <v>292.79100000000005</v>
      </c>
      <c r="I8" s="159">
        <v>316.85000000000002</v>
      </c>
      <c r="J8" s="159">
        <v>332.11</v>
      </c>
      <c r="K8" s="159">
        <v>368.48599999999999</v>
      </c>
      <c r="L8" s="159">
        <v>392.05200000000002</v>
      </c>
      <c r="M8" s="159">
        <v>417.89499999999998</v>
      </c>
      <c r="N8" s="159">
        <v>432.24599999999998</v>
      </c>
      <c r="O8" s="159">
        <v>460.399</v>
      </c>
      <c r="P8" s="216">
        <v>468.30100000000004</v>
      </c>
      <c r="Q8" s="159">
        <v>523.19999999999993</v>
      </c>
      <c r="R8" s="159">
        <v>553.21899999999994</v>
      </c>
      <c r="S8" s="159">
        <v>578.15700000000004</v>
      </c>
      <c r="T8" s="159">
        <v>598.63300000000004</v>
      </c>
      <c r="U8" s="159">
        <v>615.56499999999994</v>
      </c>
      <c r="V8" s="159">
        <v>642.827</v>
      </c>
      <c r="W8" s="159">
        <v>654.90100000000007</v>
      </c>
      <c r="X8" s="159">
        <v>680.41899999999998</v>
      </c>
      <c r="Y8" s="159">
        <v>680.41899999999998</v>
      </c>
      <c r="Z8" s="159">
        <f>sea_fleet_eu!D7/1000</f>
        <v>690.51700000000005</v>
      </c>
      <c r="AA8" s="945">
        <f>sea_fleet_eu!D7/1000</f>
        <v>690.51700000000005</v>
      </c>
      <c r="AB8" s="160"/>
    </row>
    <row r="9" spans="2:28" ht="20.100000000000001" customHeight="1">
      <c r="B9" s="161" t="s">
        <v>8</v>
      </c>
      <c r="C9" s="162">
        <v>51.024000000000001</v>
      </c>
      <c r="D9" s="163">
        <v>49.412999999999997</v>
      </c>
      <c r="E9" s="163">
        <v>45.368000000000002</v>
      </c>
      <c r="F9" s="163">
        <v>42.62</v>
      </c>
      <c r="G9" s="163">
        <v>45.817999999999998</v>
      </c>
      <c r="H9" s="163">
        <v>49.67</v>
      </c>
      <c r="I9" s="163">
        <v>45.414000000000001</v>
      </c>
      <c r="J9" s="163">
        <v>51.569000000000003</v>
      </c>
      <c r="K9" s="163">
        <v>49.341999999999999</v>
      </c>
      <c r="L9" s="163">
        <v>49.689</v>
      </c>
      <c r="M9" s="163">
        <v>52.244</v>
      </c>
      <c r="N9" s="164">
        <v>50.539000000000001</v>
      </c>
      <c r="O9" s="164">
        <v>56.033000000000001</v>
      </c>
      <c r="P9" s="164">
        <v>62.972999999999999</v>
      </c>
      <c r="Q9" s="164">
        <v>69.063999999999993</v>
      </c>
      <c r="R9" s="164">
        <v>70.210999999999999</v>
      </c>
      <c r="S9" s="164">
        <v>82.881</v>
      </c>
      <c r="T9" s="164">
        <v>91.418999999999997</v>
      </c>
      <c r="U9" s="164">
        <v>97.637</v>
      </c>
      <c r="V9" s="164">
        <v>88.227999999999994</v>
      </c>
      <c r="W9" s="164">
        <v>93.242999999999995</v>
      </c>
      <c r="X9" s="164">
        <v>87.887</v>
      </c>
      <c r="Y9" s="164">
        <v>91.691000000000003</v>
      </c>
      <c r="Z9" s="164">
        <f>(60832+29754)/1000</f>
        <v>90.585999999999999</v>
      </c>
      <c r="AA9" s="947">
        <f>(56337+30867)/1000</f>
        <v>87.203999999999994</v>
      </c>
      <c r="AB9" s="165"/>
    </row>
    <row r="10" spans="2:28" ht="20.100000000000001" customHeight="1">
      <c r="B10" s="161" t="s">
        <v>9</v>
      </c>
      <c r="C10" s="162">
        <v>18.690999999999999</v>
      </c>
      <c r="D10" s="163">
        <v>15.679</v>
      </c>
      <c r="E10" s="163">
        <v>14.335000000000001</v>
      </c>
      <c r="F10" s="163">
        <v>15.473000000000001</v>
      </c>
      <c r="G10" s="163">
        <v>14.599</v>
      </c>
      <c r="H10" s="163">
        <v>12.605</v>
      </c>
      <c r="I10" s="163">
        <v>14.422000000000001</v>
      </c>
      <c r="J10" s="163">
        <v>12.314</v>
      </c>
      <c r="K10" s="163">
        <v>12.398</v>
      </c>
      <c r="L10" s="163">
        <v>13.47</v>
      </c>
      <c r="M10" s="163">
        <v>13.99</v>
      </c>
      <c r="N10" s="163">
        <v>30.867000000000004</v>
      </c>
      <c r="O10" s="163">
        <v>47.054999999999993</v>
      </c>
      <c r="P10" s="163">
        <v>47.548000000000002</v>
      </c>
      <c r="Q10" s="163">
        <v>22.651</v>
      </c>
      <c r="R10" s="163">
        <v>31.838000000000001</v>
      </c>
      <c r="S10" s="163">
        <v>29.608000000000004</v>
      </c>
      <c r="T10" s="163">
        <v>26.721000000000004</v>
      </c>
      <c r="U10" s="163">
        <v>26.254000000000005</v>
      </c>
      <c r="V10" s="163">
        <v>26.115000000000009</v>
      </c>
      <c r="W10" s="163">
        <v>27.835000000000008</v>
      </c>
      <c r="X10" s="163">
        <v>33.608999999999995</v>
      </c>
      <c r="Y10" s="163">
        <v>29.745999999999995</v>
      </c>
      <c r="Z10" s="163">
        <f>120.004-Z9</f>
        <v>29.418000000000006</v>
      </c>
      <c r="AA10" s="946">
        <f>(104739/1000-AA9)</f>
        <v>17.535000000000011</v>
      </c>
      <c r="AB10" s="165"/>
    </row>
    <row r="11" spans="2:28" ht="20.100000000000001" customHeight="1">
      <c r="B11" s="161" t="s">
        <v>10</v>
      </c>
      <c r="C11" s="162">
        <v>246.72200000000001</v>
      </c>
      <c r="D11" s="163">
        <v>292.72199999999998</v>
      </c>
      <c r="E11" s="163">
        <v>301.20699999999999</v>
      </c>
      <c r="F11" s="163">
        <v>304.7</v>
      </c>
      <c r="G11" s="163">
        <v>313.80799999999999</v>
      </c>
      <c r="H11" s="163">
        <v>329.48500000000001</v>
      </c>
      <c r="I11" s="163">
        <v>361.31099999999998</v>
      </c>
      <c r="J11" s="163">
        <v>399.41899999999998</v>
      </c>
      <c r="K11" s="163">
        <v>423.42500000000001</v>
      </c>
      <c r="L11" s="163">
        <v>462.661</v>
      </c>
      <c r="M11" s="163">
        <v>497.78800000000001</v>
      </c>
      <c r="N11" s="163">
        <v>532.44600000000003</v>
      </c>
      <c r="O11" s="163">
        <v>560.3900000000001</v>
      </c>
      <c r="P11" s="163">
        <v>607.47500000000002</v>
      </c>
      <c r="Q11" s="163">
        <v>748.36599999999999</v>
      </c>
      <c r="R11" s="163">
        <v>780.82600000000002</v>
      </c>
      <c r="S11" s="163">
        <v>805.59399999999994</v>
      </c>
      <c r="T11" s="163">
        <v>819.71199999999999</v>
      </c>
      <c r="U11" s="163">
        <v>855.30899999999997</v>
      </c>
      <c r="V11" s="163">
        <v>887.85</v>
      </c>
      <c r="W11" s="163">
        <v>931.77300000000002</v>
      </c>
      <c r="X11" s="163">
        <v>983.39</v>
      </c>
      <c r="Y11" s="163">
        <v>1037.3979999999999</v>
      </c>
      <c r="Z11" s="163">
        <f>(6286+1074808-30680)/1000</f>
        <v>1050.414</v>
      </c>
      <c r="AA11" s="946">
        <f>(1198038-sea_fleet_eu!D45-sea_fleet_eu!D42+5964)/1000</f>
        <v>1158.1310000000001</v>
      </c>
      <c r="AB11" s="165"/>
    </row>
    <row r="12" spans="2:28" ht="20.100000000000001" customHeight="1">
      <c r="B12" s="161" t="s">
        <v>11</v>
      </c>
      <c r="C12" s="162">
        <v>6.742</v>
      </c>
      <c r="D12" s="163">
        <v>7.1210000000000004</v>
      </c>
      <c r="E12" s="163">
        <v>5.4390000000000001</v>
      </c>
      <c r="F12" s="163">
        <v>5.1230000000000002</v>
      </c>
      <c r="G12" s="163">
        <v>4.8310000000000004</v>
      </c>
      <c r="H12" s="163">
        <v>4.7270000000000003</v>
      </c>
      <c r="I12" s="163">
        <v>5.1420000000000003</v>
      </c>
      <c r="J12" s="163">
        <v>5.0389999999999997</v>
      </c>
      <c r="K12" s="163">
        <v>5.016</v>
      </c>
      <c r="L12" s="163">
        <v>5.07</v>
      </c>
      <c r="M12" s="163">
        <v>5.04</v>
      </c>
      <c r="N12" s="163">
        <v>6.9809999999999999</v>
      </c>
      <c r="O12" s="163">
        <v>7.5860000000000003</v>
      </c>
      <c r="P12" s="163">
        <v>8.8179999999999996</v>
      </c>
      <c r="Q12" s="163">
        <v>12.753</v>
      </c>
      <c r="R12" s="163">
        <v>13.64</v>
      </c>
      <c r="S12" s="163">
        <v>13.451000000000001</v>
      </c>
      <c r="T12" s="163">
        <v>13.689</v>
      </c>
      <c r="U12" s="163">
        <v>14.683</v>
      </c>
      <c r="V12" s="163">
        <v>15.183</v>
      </c>
      <c r="W12" s="163">
        <v>15.183</v>
      </c>
      <c r="X12" s="163">
        <v>15.529</v>
      </c>
      <c r="Y12" s="163">
        <v>15.291</v>
      </c>
      <c r="Z12" s="163">
        <f>16.316</f>
        <v>16.315999999999999</v>
      </c>
      <c r="AA12" s="946">
        <f>14.998</f>
        <v>14.997999999999999</v>
      </c>
      <c r="AB12" s="165"/>
    </row>
    <row r="13" spans="2:28" ht="20.100000000000001" customHeight="1">
      <c r="B13" s="161" t="s">
        <v>12</v>
      </c>
      <c r="C13" s="166">
        <v>37.956000000000003</v>
      </c>
      <c r="D13" s="163">
        <v>38.115000000000002</v>
      </c>
      <c r="E13" s="163">
        <v>42.411999999999999</v>
      </c>
      <c r="F13" s="163">
        <v>51.149000000000051</v>
      </c>
      <c r="G13" s="163">
        <v>57.487000000000002</v>
      </c>
      <c r="H13" s="163">
        <v>52.56</v>
      </c>
      <c r="I13" s="163">
        <v>52.686999999999998</v>
      </c>
      <c r="J13" s="163">
        <v>47.4</v>
      </c>
      <c r="K13" s="163">
        <v>45.79</v>
      </c>
      <c r="L13" s="163">
        <v>59.274000000000001</v>
      </c>
      <c r="M13" s="163">
        <v>67.647000000000006</v>
      </c>
      <c r="N13" s="163">
        <v>86.555000000000007</v>
      </c>
      <c r="O13" s="163">
        <v>116.621</v>
      </c>
      <c r="P13" s="163">
        <v>126.018</v>
      </c>
      <c r="Q13" s="163">
        <v>8.1780000000000008</v>
      </c>
      <c r="R13" s="163">
        <v>3.0070000000000001</v>
      </c>
      <c r="S13" s="163">
        <v>4.5609999999999999</v>
      </c>
      <c r="T13" s="163">
        <v>7.3849999999999998</v>
      </c>
      <c r="U13" s="163">
        <v>4.7859999999999996</v>
      </c>
      <c r="V13" s="163">
        <v>3.0249999999999999</v>
      </c>
      <c r="W13" s="163">
        <v>5.8520000000000003</v>
      </c>
      <c r="X13" s="163">
        <v>5.6070000000000002</v>
      </c>
      <c r="Y13" s="163">
        <v>14.304</v>
      </c>
      <c r="Z13" s="163">
        <f>25.6</f>
        <v>25.6</v>
      </c>
      <c r="AA13" s="946">
        <f>25.068</f>
        <v>25.068000000000001</v>
      </c>
      <c r="AB13" s="165"/>
    </row>
    <row r="14" spans="2:28" ht="20.100000000000001" customHeight="1">
      <c r="B14" s="176" t="s">
        <v>246</v>
      </c>
      <c r="C14" s="325">
        <v>672.38099999999997</v>
      </c>
      <c r="D14" s="326">
        <v>753.226</v>
      </c>
      <c r="E14" s="326">
        <v>770.18299999999999</v>
      </c>
      <c r="F14" s="326">
        <v>791.34500000000003</v>
      </c>
      <c r="G14" s="326">
        <v>808.21500000000003</v>
      </c>
      <c r="H14" s="326">
        <v>832.22799999999995</v>
      </c>
      <c r="I14" s="326">
        <v>879.923</v>
      </c>
      <c r="J14" s="326">
        <v>936.36300000000006</v>
      </c>
      <c r="K14" s="326">
        <v>1001.1180000000001</v>
      </c>
      <c r="L14" s="326">
        <v>1071.0329999999999</v>
      </c>
      <c r="M14" s="326">
        <v>1144.375</v>
      </c>
      <c r="N14" s="326">
        <v>1225.665</v>
      </c>
      <c r="O14" s="326">
        <v>1340.655</v>
      </c>
      <c r="P14" s="326">
        <v>1453.8420000000001</v>
      </c>
      <c r="Q14" s="326">
        <v>1530.8760000000002</v>
      </c>
      <c r="R14" s="326">
        <v>1595.922</v>
      </c>
      <c r="S14" s="326">
        <v>1675.1949999999999</v>
      </c>
      <c r="T14" s="326">
        <v>1732.461</v>
      </c>
      <c r="U14" s="326">
        <v>1806.058</v>
      </c>
      <c r="V14" s="326">
        <v>1826.0500000000002</v>
      </c>
      <c r="W14" s="326">
        <v>1872.817</v>
      </c>
      <c r="X14" s="326">
        <v>1961.597</v>
      </c>
      <c r="Y14" s="326">
        <v>2024.433</v>
      </c>
      <c r="Z14" s="326">
        <f>2086.712</f>
        <v>2086.712</v>
      </c>
      <c r="AA14" s="956">
        <f>2156742/1000</f>
        <v>2156.7420000000002</v>
      </c>
      <c r="AB14" s="167"/>
    </row>
    <row r="15" spans="2:28" ht="20.100000000000001" customHeight="1">
      <c r="B15" s="168"/>
      <c r="C15" s="1372" t="s">
        <v>79</v>
      </c>
      <c r="D15" s="1373"/>
      <c r="E15" s="1373"/>
      <c r="F15" s="1373"/>
      <c r="G15" s="1373"/>
      <c r="H15" s="1373"/>
      <c r="I15" s="1373"/>
      <c r="J15" s="1373"/>
      <c r="K15" s="1373"/>
      <c r="L15" s="1373"/>
      <c r="M15" s="1373"/>
      <c r="N15" s="1373"/>
      <c r="O15" s="1373"/>
      <c r="P15" s="1373"/>
      <c r="Q15" s="1373"/>
      <c r="R15" s="1373"/>
      <c r="S15" s="1373"/>
      <c r="T15" s="1373"/>
      <c r="U15" s="1373"/>
      <c r="V15" s="1373"/>
      <c r="W15" s="1373"/>
      <c r="X15" s="1373"/>
      <c r="Y15" s="1373"/>
      <c r="Z15" s="1373"/>
      <c r="AA15" s="1373"/>
      <c r="AB15" s="1374"/>
    </row>
    <row r="16" spans="2:28" ht="20.100000000000001" customHeight="1">
      <c r="B16" s="41" t="s">
        <v>247</v>
      </c>
      <c r="C16" s="169">
        <v>0.33249601044645821</v>
      </c>
      <c r="D16" s="170">
        <v>0.34249348801023866</v>
      </c>
      <c r="E16" s="170">
        <v>0.34582300570124241</v>
      </c>
      <c r="F16" s="170">
        <v>0.34701931521649854</v>
      </c>
      <c r="G16" s="170">
        <v>0.34320818099144412</v>
      </c>
      <c r="H16" s="170">
        <v>0.35181584854150555</v>
      </c>
      <c r="I16" s="170">
        <v>0.36008832591033535</v>
      </c>
      <c r="J16" s="170">
        <v>0.35468082356949177</v>
      </c>
      <c r="K16" s="170">
        <v>0.36807449271714221</v>
      </c>
      <c r="L16" s="170">
        <v>0.36605034578766488</v>
      </c>
      <c r="M16" s="171">
        <v>0.36517312943746583</v>
      </c>
      <c r="N16" s="171">
        <v>0.35266243223066662</v>
      </c>
      <c r="O16" s="171">
        <v>0.34341348072397448</v>
      </c>
      <c r="P16" s="217">
        <v>0.32211271926385399</v>
      </c>
      <c r="Q16" s="466">
        <v>0.34176510703675533</v>
      </c>
      <c r="R16" s="171">
        <v>0.34664538743121526</v>
      </c>
      <c r="S16" s="466">
        <v>0.34512817910750693</v>
      </c>
      <c r="T16" s="466">
        <v>0.34553909150047246</v>
      </c>
      <c r="U16" s="466">
        <v>0.34083346160533046</v>
      </c>
      <c r="V16" s="466">
        <v>0.35203143396949699</v>
      </c>
      <c r="W16" s="466">
        <v>0.34968766302313575</v>
      </c>
      <c r="X16" s="466">
        <v>0.34686992282308748</v>
      </c>
      <c r="Y16" s="466">
        <v>0.33610349169372361</v>
      </c>
      <c r="Z16" s="171">
        <f>Z8/Z14</f>
        <v>0.33091150096419636</v>
      </c>
      <c r="AA16" s="948">
        <f>AA8/AA14</f>
        <v>0.32016671442388567</v>
      </c>
      <c r="AB16" s="172"/>
    </row>
    <row r="17" spans="1:28" ht="20.100000000000001" customHeight="1">
      <c r="B17" s="42" t="s">
        <v>248</v>
      </c>
      <c r="C17" s="173">
        <v>0.56499999999999995</v>
      </c>
      <c r="D17" s="174">
        <v>0.68100000000000005</v>
      </c>
      <c r="E17" s="174">
        <v>0.66400000000000003</v>
      </c>
      <c r="F17" s="174">
        <v>0.66800000000000004</v>
      </c>
      <c r="G17" s="174">
        <v>0.67800000000000005</v>
      </c>
      <c r="H17" s="174">
        <v>0.67800000000000005</v>
      </c>
      <c r="I17" s="359">
        <v>0.67800000000000005</v>
      </c>
      <c r="J17" s="359">
        <v>0.67700000000000005</v>
      </c>
      <c r="K17" s="359">
        <v>0.69299999999999995</v>
      </c>
      <c r="L17" s="359">
        <v>0.68600000000000005</v>
      </c>
      <c r="M17" s="360">
        <v>0.69399999999999995</v>
      </c>
      <c r="N17" s="360">
        <v>0.69399999999999995</v>
      </c>
      <c r="O17" s="360">
        <v>0.69108534119318255</v>
      </c>
      <c r="P17" s="361">
        <v>0.70584626637644754</v>
      </c>
      <c r="Q17" s="360"/>
      <c r="R17" s="360">
        <v>0.7401988063273004</v>
      </c>
      <c r="S17" s="360">
        <v>0.75492007738155742</v>
      </c>
      <c r="T17" s="360">
        <v>0.77730134199334822</v>
      </c>
      <c r="U17" s="360">
        <v>0.78477425552353486</v>
      </c>
      <c r="V17" s="360">
        <v>0.78949299746105062</v>
      </c>
      <c r="W17" s="360">
        <v>0.801806685285257</v>
      </c>
      <c r="X17" s="360">
        <v>0.8219964463073488</v>
      </c>
      <c r="Y17" s="360">
        <v>0.8219964463073488</v>
      </c>
      <c r="Z17" s="360">
        <f>sea_fleet_eu!J7</f>
        <v>0.83446750767902889</v>
      </c>
      <c r="AA17" s="957">
        <f>sea_fleet_eu!I7</f>
        <v>0.78651054615446303</v>
      </c>
      <c r="AB17" s="362"/>
    </row>
    <row r="18" spans="1:28" ht="21.75" customHeight="1">
      <c r="B18" s="1356" t="s">
        <v>151</v>
      </c>
      <c r="C18" s="1356"/>
      <c r="D18" s="1356"/>
      <c r="E18" s="1356"/>
      <c r="F18" s="1356"/>
      <c r="G18" s="1356"/>
      <c r="H18" s="1356"/>
      <c r="I18" s="1356"/>
      <c r="J18" s="1356"/>
      <c r="K18" s="1356"/>
      <c r="L18" s="1356"/>
      <c r="M18" s="1356"/>
      <c r="N18" s="1356"/>
      <c r="O18" s="1356"/>
      <c r="P18" s="1356"/>
      <c r="Q18" s="1356"/>
      <c r="R18" s="1356"/>
      <c r="S18" s="1356"/>
      <c r="T18" s="1356"/>
      <c r="U18" s="1356"/>
      <c r="V18" s="1356"/>
      <c r="W18" s="1356"/>
      <c r="X18" s="462"/>
      <c r="Y18" s="491"/>
      <c r="Z18" s="607"/>
      <c r="AA18" s="936"/>
    </row>
    <row r="19" spans="1:28" ht="15" customHeight="1">
      <c r="B19" s="1375" t="s">
        <v>293</v>
      </c>
      <c r="C19" s="1375"/>
      <c r="D19" s="1375"/>
      <c r="E19" s="1375"/>
      <c r="F19" s="1375"/>
      <c r="G19" s="1375"/>
      <c r="H19" s="1375"/>
      <c r="I19" s="1375"/>
      <c r="J19" s="1375"/>
      <c r="K19" s="1296"/>
      <c r="L19" s="1296"/>
      <c r="T19" s="175"/>
      <c r="U19" s="175"/>
      <c r="V19" s="175"/>
      <c r="W19" s="175"/>
      <c r="X19" s="175"/>
      <c r="Y19" s="175"/>
      <c r="Z19" s="175"/>
      <c r="AA19" s="949"/>
    </row>
    <row r="20" spans="1:28" ht="13.5" customHeight="1">
      <c r="B20" s="1376" t="s">
        <v>121</v>
      </c>
      <c r="C20" s="1376"/>
      <c r="D20" s="1376"/>
      <c r="E20" s="1376"/>
      <c r="F20" s="1376"/>
      <c r="G20" s="1376"/>
      <c r="H20" s="1376"/>
      <c r="I20" s="1376"/>
      <c r="J20" s="1376"/>
      <c r="K20" s="1377"/>
      <c r="L20" s="1377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175"/>
      <c r="X20" s="175"/>
      <c r="Y20" s="175"/>
      <c r="Z20" s="175"/>
      <c r="AA20" s="949"/>
    </row>
    <row r="21" spans="1:28" ht="27" customHeight="1">
      <c r="B21" s="1361" t="s">
        <v>355</v>
      </c>
      <c r="C21" s="1361"/>
      <c r="D21" s="1361"/>
      <c r="E21" s="1361"/>
      <c r="F21" s="1361"/>
      <c r="G21" s="1361"/>
      <c r="H21" s="1361"/>
      <c r="I21" s="1361"/>
      <c r="J21" s="1361"/>
      <c r="K21" s="1361"/>
      <c r="L21" s="1361"/>
      <c r="M21" s="1361"/>
      <c r="N21" s="1361"/>
      <c r="O21" s="1361"/>
      <c r="P21" s="1361"/>
      <c r="Q21" s="1361"/>
      <c r="R21" s="1361"/>
      <c r="S21" s="1361"/>
      <c r="T21" s="1361"/>
      <c r="U21" s="1361"/>
      <c r="V21" s="1361"/>
      <c r="W21" s="1361"/>
      <c r="X21" s="1361"/>
      <c r="Y21" s="1361"/>
      <c r="Z21" s="1361"/>
      <c r="AA21" s="950"/>
    </row>
    <row r="22" spans="1:28" ht="15" customHeight="1">
      <c r="A22" s="1"/>
      <c r="B22" s="188" t="s">
        <v>244</v>
      </c>
      <c r="C22" s="188"/>
      <c r="D22" s="188"/>
      <c r="E22" s="188"/>
      <c r="F22" s="188"/>
      <c r="G22" s="188"/>
      <c r="H22" s="188"/>
      <c r="I22" s="188"/>
      <c r="J22" s="188"/>
      <c r="K22" s="188"/>
      <c r="L22" s="285"/>
      <c r="M22" s="175"/>
    </row>
    <row r="23" spans="1:28" ht="24.75" customHeight="1">
      <c r="A23" s="1"/>
      <c r="B23" s="1361" t="s">
        <v>143</v>
      </c>
      <c r="C23" s="1361"/>
      <c r="D23" s="1361"/>
      <c r="E23" s="1361"/>
      <c r="F23" s="1361"/>
      <c r="G23" s="1361"/>
      <c r="H23" s="1361"/>
      <c r="I23" s="1361"/>
      <c r="J23" s="1361"/>
      <c r="K23" s="1361"/>
      <c r="L23" s="1361"/>
      <c r="M23" s="1361"/>
      <c r="N23" s="1361"/>
      <c r="O23" s="1361"/>
      <c r="P23" s="1361"/>
      <c r="Q23" s="1361"/>
      <c r="R23" s="1361"/>
      <c r="S23" s="1361"/>
      <c r="T23" s="1361"/>
      <c r="U23" s="1361"/>
      <c r="V23" s="1361"/>
      <c r="W23" s="1361"/>
      <c r="X23" s="464"/>
      <c r="Y23" s="493"/>
      <c r="Z23" s="606"/>
      <c r="AA23" s="950"/>
    </row>
  </sheetData>
  <mergeCells count="12">
    <mergeCell ref="B23:W23"/>
    <mergeCell ref="B1:C1"/>
    <mergeCell ref="B4:B6"/>
    <mergeCell ref="M1:AB1"/>
    <mergeCell ref="B3:AB3"/>
    <mergeCell ref="C6:AB6"/>
    <mergeCell ref="B2:W2"/>
    <mergeCell ref="C15:AB15"/>
    <mergeCell ref="B19:L19"/>
    <mergeCell ref="B20:L20"/>
    <mergeCell ref="B18:W18"/>
    <mergeCell ref="B21:Z21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85"/>
  <dimension ref="B1:L45"/>
  <sheetViews>
    <sheetView zoomScaleNormal="100" workbookViewId="0">
      <selection activeCell="B3" sqref="B3:L3"/>
    </sheetView>
  </sheetViews>
  <sheetFormatPr defaultRowHeight="12.75"/>
  <cols>
    <col min="1" max="1" width="9.140625" style="546"/>
    <col min="2" max="2" width="22.7109375" customWidth="1"/>
    <col min="3" max="3" width="8" customWidth="1"/>
    <col min="4" max="4" width="1.7109375" customWidth="1"/>
    <col min="5" max="5" width="6.7109375" customWidth="1"/>
    <col min="6" max="6" width="1.7109375" customWidth="1"/>
    <col min="7" max="7" width="5.7109375" customWidth="1"/>
    <col min="8" max="8" width="12.42578125" customWidth="1"/>
    <col min="9" max="9" width="1.7109375" customWidth="1"/>
    <col min="10" max="10" width="9.7109375" customWidth="1"/>
    <col min="11" max="11" width="1.7109375" customWidth="1"/>
    <col min="12" max="12" width="7.28515625" customWidth="1"/>
    <col min="13" max="16384" width="9.140625" style="546"/>
  </cols>
  <sheetData>
    <row r="1" spans="2:12" ht="14.25" customHeight="1">
      <c r="B1" s="1362"/>
      <c r="C1" s="1362"/>
      <c r="D1" s="609"/>
      <c r="E1" s="50"/>
      <c r="L1" s="599" t="s">
        <v>114</v>
      </c>
    </row>
    <row r="2" spans="2:12" s="547" customFormat="1" ht="30" customHeight="1">
      <c r="B2" s="1359" t="s">
        <v>265</v>
      </c>
      <c r="C2" s="1359"/>
      <c r="D2" s="1359"/>
      <c r="E2" s="1359"/>
      <c r="F2" s="1359"/>
      <c r="G2" s="1359"/>
      <c r="H2" s="1359"/>
      <c r="I2" s="1359"/>
      <c r="J2" s="1359"/>
      <c r="K2" s="1359"/>
      <c r="L2" s="1359"/>
    </row>
    <row r="3" spans="2:12" s="548" customFormat="1" ht="30" customHeight="1">
      <c r="B3" s="1378" t="s">
        <v>364</v>
      </c>
      <c r="C3" s="1378"/>
      <c r="D3" s="1378"/>
      <c r="E3" s="1378"/>
      <c r="F3" s="1378"/>
      <c r="G3" s="1378"/>
      <c r="H3" s="1378"/>
      <c r="I3" s="1378"/>
      <c r="J3" s="1378"/>
      <c r="K3" s="1378"/>
      <c r="L3" s="1378"/>
    </row>
    <row r="4" spans="2:12" ht="20.100000000000001" customHeight="1">
      <c r="B4" s="520" t="s">
        <v>349</v>
      </c>
      <c r="C4" s="1346" t="s">
        <v>6</v>
      </c>
      <c r="D4" s="1347"/>
      <c r="E4" s="1347"/>
      <c r="F4" s="1347"/>
      <c r="G4" s="1348"/>
      <c r="H4" s="1346" t="s">
        <v>319</v>
      </c>
      <c r="I4" s="1347"/>
      <c r="J4" s="1347"/>
      <c r="K4" s="1347"/>
      <c r="L4" s="1348"/>
    </row>
    <row r="5" spans="2:12" ht="20.100000000000001" customHeight="1">
      <c r="B5" s="610" t="s">
        <v>171</v>
      </c>
      <c r="C5" s="1379" t="s">
        <v>60</v>
      </c>
      <c r="D5" s="1380"/>
      <c r="E5" s="1381" t="s">
        <v>238</v>
      </c>
      <c r="F5" s="1382"/>
      <c r="G5" s="613" t="s">
        <v>80</v>
      </c>
      <c r="H5" s="1379" t="s">
        <v>60</v>
      </c>
      <c r="I5" s="1380"/>
      <c r="J5" s="1383" t="s">
        <v>238</v>
      </c>
      <c r="K5" s="1382"/>
      <c r="L5" s="613" t="s">
        <v>80</v>
      </c>
    </row>
    <row r="6" spans="2:12" ht="30" customHeight="1">
      <c r="B6" s="176" t="s">
        <v>85</v>
      </c>
      <c r="C6" s="495">
        <v>48763</v>
      </c>
      <c r="D6" s="496"/>
      <c r="E6" s="497">
        <f>sea_fleet_eu!C7</f>
        <v>12469</v>
      </c>
      <c r="F6" s="508"/>
      <c r="G6" s="516">
        <f>E6/C6</f>
        <v>0.25570617066218237</v>
      </c>
      <c r="H6" s="497">
        <v>2156742</v>
      </c>
      <c r="I6" s="498"/>
      <c r="J6" s="497">
        <f>sea_fleet_eu!D7</f>
        <v>690517</v>
      </c>
      <c r="K6" s="703"/>
      <c r="L6" s="513">
        <f>J6/H6</f>
        <v>0.32016671442388567</v>
      </c>
    </row>
    <row r="7" spans="2:12" ht="24.95" customHeight="1">
      <c r="B7" s="704" t="s">
        <v>93</v>
      </c>
      <c r="C7" s="705">
        <f>SUM(C9:C11)</f>
        <v>14146</v>
      </c>
      <c r="D7" s="705"/>
      <c r="E7" s="705">
        <f>SUM(E9:E11)</f>
        <v>3429</v>
      </c>
      <c r="F7" s="509"/>
      <c r="G7" s="517">
        <f t="shared" ref="G7:G21" si="0">E7/C7</f>
        <v>0.24240067863707054</v>
      </c>
      <c r="H7" s="705">
        <f>SUM(H9:H11)</f>
        <v>783487</v>
      </c>
      <c r="I7" s="509"/>
      <c r="J7" s="705">
        <f>SUM(J9:J11)</f>
        <v>259907</v>
      </c>
      <c r="K7" s="706"/>
      <c r="L7" s="514">
        <f>J7/H7</f>
        <v>0.33173109445338594</v>
      </c>
    </row>
    <row r="8" spans="2:12" ht="11.1" customHeight="1">
      <c r="B8" s="707" t="s">
        <v>66</v>
      </c>
      <c r="C8" s="708"/>
      <c r="D8" s="709"/>
      <c r="E8" s="710"/>
      <c r="F8" s="711"/>
      <c r="G8" s="712"/>
      <c r="H8" s="713"/>
      <c r="I8" s="709"/>
      <c r="J8" s="713"/>
      <c r="K8" s="714"/>
      <c r="L8" s="715"/>
    </row>
    <row r="9" spans="2:12" ht="22.5" customHeight="1">
      <c r="B9" s="716" t="s">
        <v>152</v>
      </c>
      <c r="C9" s="708">
        <v>6545</v>
      </c>
      <c r="D9" s="709"/>
      <c r="E9" s="710">
        <v>1501</v>
      </c>
      <c r="F9" s="711"/>
      <c r="G9" s="712">
        <f t="shared" si="0"/>
        <v>0.22933537051184111</v>
      </c>
      <c r="H9" s="713">
        <v>562944</v>
      </c>
      <c r="I9" s="709"/>
      <c r="J9" s="713">
        <v>195662</v>
      </c>
      <c r="K9" s="714"/>
      <c r="L9" s="715">
        <f t="shared" ref="L9:L21" si="1">J9/H9</f>
        <v>0.34756920759436105</v>
      </c>
    </row>
    <row r="10" spans="2:12" ht="15" customHeight="1">
      <c r="B10" s="716" t="s">
        <v>153</v>
      </c>
      <c r="C10" s="708">
        <v>5557</v>
      </c>
      <c r="D10" s="709"/>
      <c r="E10" s="710">
        <v>1474</v>
      </c>
      <c r="F10" s="711"/>
      <c r="G10" s="712">
        <f t="shared" si="0"/>
        <v>0.26525103473096995</v>
      </c>
      <c r="H10" s="713">
        <v>132939</v>
      </c>
      <c r="I10" s="709"/>
      <c r="J10" s="713">
        <v>44654</v>
      </c>
      <c r="K10" s="717"/>
      <c r="L10" s="715">
        <f t="shared" si="1"/>
        <v>0.33589841957589572</v>
      </c>
    </row>
    <row r="11" spans="2:12" ht="15" customHeight="1">
      <c r="B11" s="716" t="s">
        <v>69</v>
      </c>
      <c r="C11" s="708">
        <v>2044</v>
      </c>
      <c r="D11" s="709"/>
      <c r="E11" s="710">
        <v>454</v>
      </c>
      <c r="F11" s="711"/>
      <c r="G11" s="712">
        <f t="shared" si="0"/>
        <v>0.22211350293542073</v>
      </c>
      <c r="H11" s="713">
        <v>87604</v>
      </c>
      <c r="I11" s="709"/>
      <c r="J11" s="924">
        <v>19591</v>
      </c>
      <c r="K11" s="717"/>
      <c r="L11" s="715">
        <f t="shared" si="1"/>
        <v>0.22363134103465596</v>
      </c>
    </row>
    <row r="12" spans="2:12" ht="24.95" customHeight="1">
      <c r="B12" s="718" t="s">
        <v>14</v>
      </c>
      <c r="C12" s="499">
        <v>12898</v>
      </c>
      <c r="D12" s="500"/>
      <c r="E12" s="501">
        <v>3196</v>
      </c>
      <c r="F12" s="510"/>
      <c r="G12" s="518">
        <f t="shared" si="0"/>
        <v>0.247790355093813</v>
      </c>
      <c r="H12" s="502">
        <v>936454</v>
      </c>
      <c r="I12" s="500"/>
      <c r="J12" s="502">
        <v>255607</v>
      </c>
      <c r="K12" s="719"/>
      <c r="L12" s="515">
        <f t="shared" si="1"/>
        <v>0.27295200832075039</v>
      </c>
    </row>
    <row r="13" spans="2:12" ht="24.95" customHeight="1">
      <c r="B13" s="176" t="s">
        <v>70</v>
      </c>
      <c r="C13" s="495">
        <v>5776</v>
      </c>
      <c r="D13" s="503"/>
      <c r="E13" s="504">
        <v>2385</v>
      </c>
      <c r="F13" s="511"/>
      <c r="G13" s="507">
        <f t="shared" si="0"/>
        <v>0.41291551246537395</v>
      </c>
      <c r="H13" s="495">
        <v>303782</v>
      </c>
      <c r="I13" s="503"/>
      <c r="J13" s="497">
        <v>141016</v>
      </c>
      <c r="K13" s="728"/>
      <c r="L13" s="923">
        <f t="shared" si="1"/>
        <v>0.46420130224963957</v>
      </c>
    </row>
    <row r="14" spans="2:12" ht="24.95" customHeight="1">
      <c r="B14" s="704" t="s">
        <v>15</v>
      </c>
      <c r="C14" s="505">
        <v>13286</v>
      </c>
      <c r="D14" s="506"/>
      <c r="E14" s="705">
        <v>2631</v>
      </c>
      <c r="F14" s="512"/>
      <c r="G14" s="729">
        <f t="shared" si="0"/>
        <v>0.19802799939786242</v>
      </c>
      <c r="H14" s="505">
        <v>121238</v>
      </c>
      <c r="I14" s="506"/>
      <c r="J14" s="705">
        <v>28110</v>
      </c>
      <c r="K14" s="730"/>
      <c r="L14" s="514">
        <f t="shared" si="1"/>
        <v>0.23185799831735923</v>
      </c>
    </row>
    <row r="15" spans="2:12" ht="11.1" customHeight="1">
      <c r="B15" s="707" t="s">
        <v>66</v>
      </c>
      <c r="C15" s="708"/>
      <c r="D15" s="709"/>
      <c r="E15" s="710"/>
      <c r="F15" s="711"/>
      <c r="G15" s="720"/>
      <c r="H15" s="708"/>
      <c r="I15" s="709"/>
      <c r="J15" s="713"/>
      <c r="K15" s="714"/>
      <c r="L15" s="715"/>
    </row>
    <row r="16" spans="2:12" ht="15" customHeight="1">
      <c r="B16" s="716" t="s">
        <v>154</v>
      </c>
      <c r="C16" s="708">
        <v>9119</v>
      </c>
      <c r="D16" s="709"/>
      <c r="E16" s="713">
        <v>1485</v>
      </c>
      <c r="F16" s="711"/>
      <c r="G16" s="720">
        <f>E16/C16</f>
        <v>0.16284680337756333</v>
      </c>
      <c r="H16" s="708">
        <v>34351</v>
      </c>
      <c r="I16" s="709"/>
      <c r="J16" s="713">
        <v>5970</v>
      </c>
      <c r="K16" s="714"/>
      <c r="L16" s="715">
        <f>J16/H16</f>
        <v>0.17379406713050566</v>
      </c>
    </row>
    <row r="17" spans="2:12" ht="15" customHeight="1">
      <c r="B17" s="716" t="s">
        <v>155</v>
      </c>
      <c r="C17" s="708">
        <v>1876</v>
      </c>
      <c r="D17" s="709"/>
      <c r="E17" s="708">
        <v>660</v>
      </c>
      <c r="F17" s="711"/>
      <c r="G17" s="720">
        <f t="shared" ref="G17:G20" si="2">E17/C17</f>
        <v>0.35181236673773986</v>
      </c>
      <c r="H17" s="713">
        <v>33514</v>
      </c>
      <c r="I17" s="709"/>
      <c r="J17" s="713">
        <v>11031</v>
      </c>
      <c r="K17" s="714"/>
      <c r="L17" s="715">
        <f t="shared" si="1"/>
        <v>0.32914602852539238</v>
      </c>
    </row>
    <row r="18" spans="2:12" ht="15" customHeight="1">
      <c r="B18" s="716" t="s">
        <v>156</v>
      </c>
      <c r="C18" s="708">
        <v>753</v>
      </c>
      <c r="D18" s="709"/>
      <c r="E18" s="710">
        <v>71</v>
      </c>
      <c r="F18" s="711"/>
      <c r="G18" s="720">
        <f t="shared" si="2"/>
        <v>9.4289508632138114E-2</v>
      </c>
      <c r="H18" s="708">
        <v>37851</v>
      </c>
      <c r="I18" s="709"/>
      <c r="J18" s="713">
        <v>2812</v>
      </c>
      <c r="K18" s="714"/>
      <c r="L18" s="715">
        <f>J18/H18</f>
        <v>7.4291300097751714E-2</v>
      </c>
    </row>
    <row r="19" spans="2:12" ht="15" customHeight="1">
      <c r="B19" s="716" t="s">
        <v>67</v>
      </c>
      <c r="C19" s="708">
        <v>587</v>
      </c>
      <c r="D19" s="709"/>
      <c r="E19" s="710">
        <v>125</v>
      </c>
      <c r="F19" s="711"/>
      <c r="G19" s="720">
        <f t="shared" si="2"/>
        <v>0.21294718909710392</v>
      </c>
      <c r="H19" s="708">
        <v>3363</v>
      </c>
      <c r="I19" s="709"/>
      <c r="J19" s="713">
        <v>1059</v>
      </c>
      <c r="K19" s="714"/>
      <c r="L19" s="715">
        <f t="shared" si="1"/>
        <v>0.31489741302408564</v>
      </c>
    </row>
    <row r="20" spans="2:12" ht="15" customHeight="1">
      <c r="B20" s="731" t="s">
        <v>157</v>
      </c>
      <c r="C20" s="721">
        <v>960</v>
      </c>
      <c r="D20" s="722"/>
      <c r="E20" s="723">
        <v>290</v>
      </c>
      <c r="F20" s="724"/>
      <c r="G20" s="720">
        <f t="shared" si="2"/>
        <v>0.30208333333333331</v>
      </c>
      <c r="H20" s="721">
        <v>14140</v>
      </c>
      <c r="I20" s="722"/>
      <c r="J20" s="725">
        <v>8465</v>
      </c>
      <c r="K20" s="726"/>
      <c r="L20" s="727">
        <f t="shared" si="1"/>
        <v>0.59865629420084865</v>
      </c>
    </row>
    <row r="21" spans="2:12" ht="24.95" customHeight="1">
      <c r="B21" s="176" t="s">
        <v>94</v>
      </c>
      <c r="C21" s="495">
        <v>2657</v>
      </c>
      <c r="D21" s="503"/>
      <c r="E21" s="504">
        <v>739</v>
      </c>
      <c r="F21" s="511"/>
      <c r="G21" s="507">
        <f t="shared" si="0"/>
        <v>0.27813323296951448</v>
      </c>
      <c r="H21" s="495">
        <v>7344</v>
      </c>
      <c r="I21" s="503"/>
      <c r="J21" s="497">
        <v>2539</v>
      </c>
      <c r="K21" s="728"/>
      <c r="L21" s="513">
        <f t="shared" si="1"/>
        <v>0.34572440087145967</v>
      </c>
    </row>
    <row r="22" spans="2:12" ht="15" customHeight="1">
      <c r="B22" s="670"/>
      <c r="C22" s="732"/>
      <c r="D22" s="733"/>
      <c r="E22" s="732"/>
      <c r="F22" s="733"/>
      <c r="G22" s="733"/>
      <c r="H22" s="732"/>
      <c r="I22" s="734"/>
      <c r="J22" s="732"/>
      <c r="K22" s="735"/>
      <c r="L22" s="735"/>
    </row>
    <row r="23" spans="2:12" s="547" customFormat="1" ht="30" customHeight="1">
      <c r="B23" s="1378" t="s">
        <v>320</v>
      </c>
      <c r="C23" s="1378"/>
      <c r="D23" s="1378"/>
      <c r="E23" s="1378"/>
      <c r="F23" s="1378"/>
      <c r="G23" s="1378"/>
      <c r="H23" s="1378"/>
      <c r="I23" s="1378"/>
      <c r="J23" s="1378"/>
      <c r="K23" s="1378"/>
      <c r="L23" s="1378"/>
    </row>
    <row r="24" spans="2:12" ht="20.100000000000001" customHeight="1">
      <c r="B24" s="520" t="s">
        <v>349</v>
      </c>
      <c r="C24" s="1346" t="s">
        <v>6</v>
      </c>
      <c r="D24" s="1347"/>
      <c r="E24" s="1347"/>
      <c r="F24" s="1347"/>
      <c r="G24" s="1348"/>
      <c r="H24" s="1346" t="s">
        <v>321</v>
      </c>
      <c r="I24" s="1347"/>
      <c r="J24" s="1347"/>
      <c r="K24" s="1347"/>
      <c r="L24" s="1348"/>
    </row>
    <row r="25" spans="2:12" ht="20.100000000000001" customHeight="1">
      <c r="B25" s="610" t="s">
        <v>13</v>
      </c>
      <c r="C25" s="1379" t="s">
        <v>60</v>
      </c>
      <c r="D25" s="1380"/>
      <c r="E25" s="1384" t="s">
        <v>238</v>
      </c>
      <c r="F25" s="1385"/>
      <c r="G25" s="476" t="s">
        <v>80</v>
      </c>
      <c r="H25" s="1386" t="s">
        <v>60</v>
      </c>
      <c r="I25" s="1387"/>
      <c r="J25" s="1384" t="s">
        <v>238</v>
      </c>
      <c r="K25" s="1385"/>
      <c r="L25" s="613" t="s">
        <v>80</v>
      </c>
    </row>
    <row r="26" spans="2:12" ht="30" customHeight="1">
      <c r="B26" s="519" t="s">
        <v>61</v>
      </c>
      <c r="C26" s="393">
        <v>5519</v>
      </c>
      <c r="D26" s="394"/>
      <c r="E26" s="395">
        <v>1437</v>
      </c>
      <c r="F26" s="736"/>
      <c r="G26" s="397">
        <f>E26/C26</f>
        <v>0.26037325602464212</v>
      </c>
      <c r="H26" s="393">
        <v>48137</v>
      </c>
      <c r="I26" s="394"/>
      <c r="J26" s="395">
        <v>18752</v>
      </c>
      <c r="K26" s="396"/>
      <c r="L26" s="397">
        <f>J26/H26</f>
        <v>0.38955481230654176</v>
      </c>
    </row>
    <row r="27" spans="2:12" ht="24.95" customHeight="1">
      <c r="B27" s="737" t="s">
        <v>95</v>
      </c>
      <c r="C27" s="738">
        <v>3225</v>
      </c>
      <c r="D27" s="739"/>
      <c r="E27" s="740">
        <v>883</v>
      </c>
      <c r="F27" s="741"/>
      <c r="G27" s="715">
        <f>E27/C27</f>
        <v>0.27379844961240313</v>
      </c>
      <c r="H27" s="738">
        <v>19797</v>
      </c>
      <c r="I27" s="742"/>
      <c r="J27" s="742">
        <v>10168</v>
      </c>
      <c r="K27" s="743"/>
      <c r="L27" s="715">
        <f>J27/H27</f>
        <v>0.51361317371318882</v>
      </c>
    </row>
    <row r="28" spans="2:12" ht="24.95" customHeight="1">
      <c r="B28" s="744" t="s">
        <v>131</v>
      </c>
      <c r="C28" s="745">
        <v>2294</v>
      </c>
      <c r="D28" s="746"/>
      <c r="E28" s="747">
        <v>554</v>
      </c>
      <c r="F28" s="748"/>
      <c r="G28" s="715">
        <f>E28/C28</f>
        <v>0.24149956408020923</v>
      </c>
      <c r="H28" s="745">
        <v>28339</v>
      </c>
      <c r="I28" s="749"/>
      <c r="J28" s="749">
        <v>8584</v>
      </c>
      <c r="K28" s="750"/>
      <c r="L28" s="715">
        <f>J28/H28</f>
        <v>0.30290412505734149</v>
      </c>
    </row>
    <row r="29" spans="2:12" ht="15" customHeight="1">
      <c r="B29" s="751"/>
      <c r="C29" s="752"/>
      <c r="D29" s="752"/>
      <c r="E29" s="752"/>
      <c r="F29" s="752"/>
      <c r="G29" s="753"/>
      <c r="H29" s="752"/>
      <c r="I29" s="754"/>
      <c r="J29" s="752"/>
      <c r="K29" s="754"/>
      <c r="L29" s="755"/>
    </row>
    <row r="30" spans="2:12" s="547" customFormat="1" ht="30" customHeight="1">
      <c r="B30" s="1389" t="s">
        <v>303</v>
      </c>
      <c r="C30" s="1389"/>
      <c r="D30" s="1389"/>
      <c r="E30" s="1389"/>
      <c r="F30" s="1389"/>
      <c r="G30" s="1389"/>
      <c r="H30" s="1389"/>
      <c r="I30" s="1389"/>
      <c r="J30" s="1389"/>
      <c r="K30" s="1389"/>
      <c r="L30" s="1389"/>
    </row>
    <row r="31" spans="2:12" ht="20.100000000000001" customHeight="1">
      <c r="B31" s="520" t="s">
        <v>365</v>
      </c>
      <c r="C31" s="1390" t="s">
        <v>6</v>
      </c>
      <c r="D31" s="1339"/>
      <c r="E31" s="1339"/>
      <c r="F31" s="1339"/>
      <c r="G31" s="1340"/>
      <c r="H31" s="1390" t="s">
        <v>304</v>
      </c>
      <c r="I31" s="1339"/>
      <c r="J31" s="1339"/>
      <c r="K31" s="1339"/>
      <c r="L31" s="1340"/>
    </row>
    <row r="32" spans="2:12" ht="20.100000000000001" customHeight="1">
      <c r="B32" s="521" t="s">
        <v>16</v>
      </c>
      <c r="C32" s="1386" t="s">
        <v>60</v>
      </c>
      <c r="D32" s="1387"/>
      <c r="E32" s="1384" t="s">
        <v>238</v>
      </c>
      <c r="F32" s="1385"/>
      <c r="G32" s="476" t="s">
        <v>80</v>
      </c>
      <c r="H32" s="1386" t="s">
        <v>60</v>
      </c>
      <c r="I32" s="1387"/>
      <c r="J32" s="1384" t="s">
        <v>238</v>
      </c>
      <c r="K32" s="1385"/>
      <c r="L32" s="476" t="s">
        <v>80</v>
      </c>
    </row>
    <row r="33" spans="2:12" ht="30" customHeight="1">
      <c r="B33" s="756"/>
      <c r="C33" s="757">
        <v>337</v>
      </c>
      <c r="D33" s="758"/>
      <c r="E33" s="759">
        <f>50+23+14+2+13+12+1+1+2</f>
        <v>118</v>
      </c>
      <c r="F33" s="748"/>
      <c r="G33" s="760">
        <f>E33/C33</f>
        <v>0.35014836795252224</v>
      </c>
      <c r="H33" s="761">
        <f>25596</f>
        <v>25596</v>
      </c>
      <c r="I33" s="762"/>
      <c r="J33" s="763">
        <f>4228+2578+939+176+168+150+35+9+8</f>
        <v>8291</v>
      </c>
      <c r="K33" s="750"/>
      <c r="L33" s="727">
        <f>J33/H33</f>
        <v>0.32391779965619627</v>
      </c>
    </row>
    <row r="34" spans="2:12" ht="15.75" customHeight="1">
      <c r="B34" s="1357" t="s">
        <v>322</v>
      </c>
      <c r="C34" s="1357"/>
      <c r="D34" s="1357"/>
      <c r="E34" s="1357"/>
      <c r="F34" s="1357"/>
      <c r="G34" s="1357"/>
      <c r="H34" s="1357"/>
      <c r="I34" s="1357"/>
      <c r="J34" s="1357"/>
      <c r="K34" s="614"/>
    </row>
    <row r="35" spans="2:12" ht="15" customHeight="1">
      <c r="B35" s="614" t="s">
        <v>290</v>
      </c>
      <c r="C35" s="670"/>
      <c r="D35" s="670"/>
      <c r="E35" s="670"/>
      <c r="F35" s="670"/>
      <c r="G35" s="670"/>
      <c r="H35" s="670"/>
      <c r="I35" s="670"/>
      <c r="J35" s="670"/>
      <c r="K35" s="670"/>
    </row>
    <row r="36" spans="2:12" ht="15" customHeight="1">
      <c r="B36" s="48" t="s">
        <v>158</v>
      </c>
      <c r="C36" s="670"/>
      <c r="D36" s="670"/>
      <c r="E36" s="670"/>
      <c r="F36" s="670"/>
      <c r="G36" s="670"/>
      <c r="H36" s="670"/>
      <c r="I36" s="670"/>
      <c r="J36" s="670"/>
      <c r="K36" s="670"/>
    </row>
    <row r="37" spans="2:12" ht="13.5" customHeight="1">
      <c r="B37" s="1388" t="s">
        <v>160</v>
      </c>
      <c r="C37" s="1388"/>
      <c r="D37" s="1388"/>
      <c r="E37" s="1388"/>
      <c r="F37" s="1388"/>
      <c r="G37" s="1388"/>
      <c r="H37" s="1388"/>
      <c r="I37" s="1388"/>
      <c r="J37" s="1388"/>
      <c r="K37" s="1388"/>
      <c r="L37" s="1388"/>
    </row>
    <row r="38" spans="2:12" ht="12.75" customHeight="1">
      <c r="B38" s="48" t="s">
        <v>68</v>
      </c>
      <c r="C38" s="50"/>
      <c r="D38" s="50"/>
    </row>
    <row r="39" spans="2:12" ht="12.75" customHeight="1">
      <c r="B39" s="48" t="s">
        <v>71</v>
      </c>
    </row>
    <row r="40" spans="2:12" ht="12.75" customHeight="1"/>
    <row r="41" spans="2:12">
      <c r="B41" s="3"/>
    </row>
    <row r="43" spans="2:12">
      <c r="B43" s="599"/>
    </row>
    <row r="45" spans="2:12">
      <c r="B45" s="599"/>
    </row>
  </sheetData>
  <mergeCells count="25">
    <mergeCell ref="B34:J34"/>
    <mergeCell ref="B37:L37"/>
    <mergeCell ref="B30:L30"/>
    <mergeCell ref="C31:G31"/>
    <mergeCell ref="H31:L31"/>
    <mergeCell ref="C32:D32"/>
    <mergeCell ref="E32:F32"/>
    <mergeCell ref="H32:I32"/>
    <mergeCell ref="J32:K32"/>
    <mergeCell ref="C24:G24"/>
    <mergeCell ref="H24:L24"/>
    <mergeCell ref="C25:D25"/>
    <mergeCell ref="E25:F25"/>
    <mergeCell ref="H25:I25"/>
    <mergeCell ref="J25:K25"/>
    <mergeCell ref="C5:D5"/>
    <mergeCell ref="E5:F5"/>
    <mergeCell ref="H5:I5"/>
    <mergeCell ref="J5:K5"/>
    <mergeCell ref="B23:L23"/>
    <mergeCell ref="B1:C1"/>
    <mergeCell ref="B2:L2"/>
    <mergeCell ref="B3:L3"/>
    <mergeCell ref="C4:G4"/>
    <mergeCell ref="H4:L4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342"/>
  <dimension ref="A1:J52"/>
  <sheetViews>
    <sheetView zoomScaleNormal="100" workbookViewId="0">
      <selection activeCell="V38" sqref="V38"/>
    </sheetView>
  </sheetViews>
  <sheetFormatPr defaultRowHeight="11.25"/>
  <cols>
    <col min="1" max="1" width="3.7109375" style="3" customWidth="1"/>
    <col min="2" max="2" width="4.5703125" style="934" customWidth="1"/>
    <col min="3" max="6" width="8.7109375" style="934" customWidth="1"/>
    <col min="7" max="7" width="8.7109375" style="20" customWidth="1"/>
    <col min="8" max="8" width="1.7109375" style="934" customWidth="1"/>
    <col min="9" max="9" width="4.85546875" style="934" customWidth="1"/>
    <col min="10" max="10" width="4.7109375" style="3" customWidth="1"/>
    <col min="11" max="16384" width="9.140625" style="3"/>
  </cols>
  <sheetData>
    <row r="1" spans="1:10" ht="14.25" customHeight="1">
      <c r="I1" s="1014" t="s">
        <v>115</v>
      </c>
    </row>
    <row r="2" spans="1:10" s="48" customFormat="1" ht="30" customHeight="1">
      <c r="B2" s="1352" t="s">
        <v>266</v>
      </c>
      <c r="C2" s="1352"/>
      <c r="D2" s="1352"/>
      <c r="E2" s="1352"/>
      <c r="F2" s="1352"/>
      <c r="G2" s="1352"/>
      <c r="H2" s="1352"/>
      <c r="I2" s="1352"/>
    </row>
    <row r="3" spans="1:10" ht="15" customHeight="1">
      <c r="B3" s="1355" t="s">
        <v>267</v>
      </c>
      <c r="C3" s="1355"/>
      <c r="D3" s="1355"/>
      <c r="E3" s="1355"/>
      <c r="F3" s="1355"/>
      <c r="G3" s="1355"/>
      <c r="H3" s="1355"/>
      <c r="I3" s="1355"/>
      <c r="J3" s="2"/>
    </row>
    <row r="4" spans="1:10" ht="12.75" customHeight="1">
      <c r="B4" s="1391" t="s">
        <v>369</v>
      </c>
      <c r="C4" s="1392"/>
      <c r="D4" s="1392"/>
      <c r="E4" s="1392"/>
      <c r="F4" s="1392"/>
      <c r="G4" s="1392"/>
      <c r="H4" s="1392"/>
      <c r="I4" s="1392"/>
      <c r="J4" s="2"/>
    </row>
    <row r="5" spans="1:10" ht="15" customHeight="1">
      <c r="C5" s="1393" t="s">
        <v>17</v>
      </c>
      <c r="D5" s="1394"/>
      <c r="E5" s="1394"/>
      <c r="F5" s="1394"/>
      <c r="G5" s="1394"/>
      <c r="H5" s="1395"/>
    </row>
    <row r="6" spans="1:10" ht="33" customHeight="1">
      <c r="C6" s="177" t="s">
        <v>18</v>
      </c>
      <c r="D6" s="178" t="s">
        <v>19</v>
      </c>
      <c r="E6" s="178" t="s">
        <v>20</v>
      </c>
      <c r="F6" s="179" t="s">
        <v>21</v>
      </c>
      <c r="G6" s="1368" t="s">
        <v>61</v>
      </c>
      <c r="H6" s="1370"/>
      <c r="J6" s="2"/>
    </row>
    <row r="7" spans="1:10" ht="15" customHeight="1">
      <c r="B7" s="44" t="s">
        <v>238</v>
      </c>
      <c r="C7" s="440">
        <f>SUM(C8:C34)</f>
        <v>464</v>
      </c>
      <c r="D7" s="440">
        <f t="shared" ref="D7:F7" si="0">SUM(D8:D34)</f>
        <v>405</v>
      </c>
      <c r="E7" s="440">
        <f t="shared" si="0"/>
        <v>2390</v>
      </c>
      <c r="F7" s="440">
        <f t="shared" si="0"/>
        <v>395</v>
      </c>
      <c r="G7" s="440">
        <f>SUM(G8:G34)</f>
        <v>3654</v>
      </c>
      <c r="H7" s="437"/>
      <c r="I7" s="44" t="s">
        <v>238</v>
      </c>
      <c r="J7" s="202"/>
    </row>
    <row r="8" spans="1:10" ht="12.75" customHeight="1">
      <c r="B8" s="582" t="s">
        <v>45</v>
      </c>
      <c r="C8" s="1224">
        <v>3</v>
      </c>
      <c r="D8" s="1225">
        <v>19</v>
      </c>
      <c r="E8" s="1225">
        <v>37</v>
      </c>
      <c r="F8" s="1226">
        <v>5</v>
      </c>
      <c r="G8" s="1227">
        <f>SUM(C8:F8)</f>
        <v>64</v>
      </c>
      <c r="H8" s="1228"/>
      <c r="I8" s="582" t="s">
        <v>45</v>
      </c>
      <c r="J8" s="32"/>
    </row>
    <row r="9" spans="1:10" ht="12.75" customHeight="1">
      <c r="B9" s="43" t="s">
        <v>28</v>
      </c>
      <c r="C9" s="441">
        <v>4</v>
      </c>
      <c r="D9" s="1229">
        <v>7</v>
      </c>
      <c r="E9" s="1229">
        <v>17</v>
      </c>
      <c r="F9" s="443">
        <v>1</v>
      </c>
      <c r="G9" s="563">
        <f>SUM(C9:F9)</f>
        <v>29</v>
      </c>
      <c r="H9" s="438"/>
      <c r="I9" s="43" t="s">
        <v>28</v>
      </c>
      <c r="J9" s="32"/>
    </row>
    <row r="10" spans="1:10" ht="12.75" customHeight="1">
      <c r="A10" s="8"/>
      <c r="B10" s="585" t="s">
        <v>30</v>
      </c>
      <c r="C10" s="1230">
        <v>2</v>
      </c>
      <c r="D10" s="1231">
        <v>2</v>
      </c>
      <c r="E10" s="1231">
        <v>20</v>
      </c>
      <c r="F10" s="1232"/>
      <c r="G10" s="1233">
        <f t="shared" ref="G10:G44" si="1">SUM(C10:F10)</f>
        <v>24</v>
      </c>
      <c r="H10" s="1228"/>
      <c r="I10" s="585" t="s">
        <v>30</v>
      </c>
      <c r="J10" s="19"/>
    </row>
    <row r="11" spans="1:10" ht="12.75" customHeight="1">
      <c r="A11" s="8"/>
      <c r="B11" s="43" t="s">
        <v>41</v>
      </c>
      <c r="C11" s="441">
        <v>14</v>
      </c>
      <c r="D11" s="1229">
        <v>8</v>
      </c>
      <c r="E11" s="1229">
        <v>26</v>
      </c>
      <c r="F11" s="443"/>
      <c r="G11" s="563">
        <f t="shared" si="1"/>
        <v>48</v>
      </c>
      <c r="H11" s="438"/>
      <c r="I11" s="43" t="s">
        <v>41</v>
      </c>
      <c r="J11" s="19"/>
    </row>
    <row r="12" spans="1:10" ht="12.75" customHeight="1">
      <c r="A12" s="8"/>
      <c r="B12" s="585" t="s">
        <v>46</v>
      </c>
      <c r="C12" s="1230">
        <v>51</v>
      </c>
      <c r="D12" s="1231">
        <v>65</v>
      </c>
      <c r="E12" s="1231">
        <v>285</v>
      </c>
      <c r="F12" s="1232">
        <v>102</v>
      </c>
      <c r="G12" s="1233">
        <f t="shared" si="1"/>
        <v>503</v>
      </c>
      <c r="H12" s="1228"/>
      <c r="I12" s="585" t="s">
        <v>46</v>
      </c>
      <c r="J12" s="19"/>
    </row>
    <row r="13" spans="1:10" ht="12.75" customHeight="1">
      <c r="A13" s="8"/>
      <c r="B13" s="43" t="s">
        <v>31</v>
      </c>
      <c r="C13" s="441">
        <v>4</v>
      </c>
      <c r="D13" s="1229"/>
      <c r="E13" s="1229">
        <v>14</v>
      </c>
      <c r="F13" s="443"/>
      <c r="G13" s="563">
        <f t="shared" si="1"/>
        <v>18</v>
      </c>
      <c r="H13" s="438"/>
      <c r="I13" s="43" t="s">
        <v>31</v>
      </c>
      <c r="J13" s="19"/>
    </row>
    <row r="14" spans="1:10" ht="12.75" customHeight="1">
      <c r="A14" s="8"/>
      <c r="B14" s="585" t="s">
        <v>49</v>
      </c>
      <c r="C14" s="1230">
        <v>3</v>
      </c>
      <c r="D14" s="1231">
        <v>10</v>
      </c>
      <c r="E14" s="1231">
        <v>381</v>
      </c>
      <c r="F14" s="1232">
        <v>4</v>
      </c>
      <c r="G14" s="1233">
        <f t="shared" si="1"/>
        <v>398</v>
      </c>
      <c r="H14" s="1228"/>
      <c r="I14" s="585" t="s">
        <v>49</v>
      </c>
      <c r="J14" s="19"/>
    </row>
    <row r="15" spans="1:10" ht="12.75" customHeight="1">
      <c r="A15" s="8"/>
      <c r="B15" s="43" t="s">
        <v>42</v>
      </c>
      <c r="C15" s="444">
        <v>13</v>
      </c>
      <c r="D15" s="1229">
        <v>18</v>
      </c>
      <c r="E15" s="1229">
        <v>70</v>
      </c>
      <c r="F15" s="443"/>
      <c r="G15" s="563">
        <f t="shared" si="1"/>
        <v>101</v>
      </c>
      <c r="H15" s="438"/>
      <c r="I15" s="43" t="s">
        <v>42</v>
      </c>
      <c r="J15" s="19"/>
    </row>
    <row r="16" spans="1:10" ht="12.75" customHeight="1">
      <c r="A16" s="8"/>
      <c r="B16" s="585" t="s">
        <v>47</v>
      </c>
      <c r="C16" s="1230">
        <v>39</v>
      </c>
      <c r="D16" s="1231">
        <v>55</v>
      </c>
      <c r="E16" s="1231">
        <v>278</v>
      </c>
      <c r="F16" s="1232">
        <v>54</v>
      </c>
      <c r="G16" s="1233">
        <f t="shared" si="1"/>
        <v>426</v>
      </c>
      <c r="H16" s="1228"/>
      <c r="I16" s="585" t="s">
        <v>47</v>
      </c>
      <c r="J16" s="19"/>
    </row>
    <row r="17" spans="1:10" ht="12.75" customHeight="1">
      <c r="A17" s="8"/>
      <c r="B17" s="43" t="s">
        <v>48</v>
      </c>
      <c r="C17" s="441">
        <v>59</v>
      </c>
      <c r="D17" s="1229">
        <v>57</v>
      </c>
      <c r="E17" s="1229">
        <v>158</v>
      </c>
      <c r="F17" s="443">
        <v>102</v>
      </c>
      <c r="G17" s="563">
        <f t="shared" si="1"/>
        <v>376</v>
      </c>
      <c r="H17" s="438"/>
      <c r="I17" s="43" t="s">
        <v>48</v>
      </c>
      <c r="J17" s="19"/>
    </row>
    <row r="18" spans="1:10" ht="12.75" customHeight="1">
      <c r="A18" s="8"/>
      <c r="B18" s="585" t="s">
        <v>59</v>
      </c>
      <c r="C18" s="1230">
        <v>7</v>
      </c>
      <c r="D18" s="1231">
        <v>4</v>
      </c>
      <c r="E18" s="1231">
        <v>6</v>
      </c>
      <c r="F18" s="1232"/>
      <c r="G18" s="1233">
        <f t="shared" si="1"/>
        <v>17</v>
      </c>
      <c r="H18" s="1228"/>
      <c r="I18" s="585" t="s">
        <v>59</v>
      </c>
      <c r="J18" s="19"/>
    </row>
    <row r="19" spans="1:10" ht="12.75" customHeight="1">
      <c r="A19" s="8"/>
      <c r="B19" s="939" t="s">
        <v>50</v>
      </c>
      <c r="C19" s="444">
        <v>26</v>
      </c>
      <c r="D19" s="1229">
        <v>25</v>
      </c>
      <c r="E19" s="1229">
        <v>69</v>
      </c>
      <c r="F19" s="443">
        <v>12</v>
      </c>
      <c r="G19" s="563">
        <f t="shared" si="1"/>
        <v>132</v>
      </c>
      <c r="H19" s="439"/>
      <c r="I19" s="939" t="s">
        <v>50</v>
      </c>
      <c r="J19" s="19"/>
    </row>
    <row r="20" spans="1:10" ht="12.75" customHeight="1">
      <c r="A20" s="8"/>
      <c r="B20" s="585" t="s">
        <v>29</v>
      </c>
      <c r="C20" s="1230"/>
      <c r="D20" s="1231">
        <v>2</v>
      </c>
      <c r="E20" s="1231">
        <v>3</v>
      </c>
      <c r="F20" s="1232"/>
      <c r="G20" s="1233">
        <f t="shared" si="1"/>
        <v>5</v>
      </c>
      <c r="H20" s="1228"/>
      <c r="I20" s="585" t="s">
        <v>29</v>
      </c>
      <c r="J20" s="19"/>
    </row>
    <row r="21" spans="1:10" ht="12.75" customHeight="1">
      <c r="A21" s="8"/>
      <c r="B21" s="939" t="s">
        <v>33</v>
      </c>
      <c r="C21" s="444"/>
      <c r="D21" s="1229">
        <v>39</v>
      </c>
      <c r="E21" s="1229">
        <v>3</v>
      </c>
      <c r="F21" s="443"/>
      <c r="G21" s="563">
        <f t="shared" si="1"/>
        <v>42</v>
      </c>
      <c r="H21" s="439"/>
      <c r="I21" s="939" t="s">
        <v>33</v>
      </c>
      <c r="J21" s="19"/>
    </row>
    <row r="22" spans="1:10" ht="12.75" customHeight="1">
      <c r="A22" s="8"/>
      <c r="B22" s="585" t="s">
        <v>34</v>
      </c>
      <c r="C22" s="1230">
        <v>1</v>
      </c>
      <c r="D22" s="1231">
        <v>4</v>
      </c>
      <c r="E22" s="1231">
        <v>11</v>
      </c>
      <c r="F22" s="1232"/>
      <c r="G22" s="1233">
        <f t="shared" si="1"/>
        <v>16</v>
      </c>
      <c r="H22" s="1228"/>
      <c r="I22" s="585" t="s">
        <v>34</v>
      </c>
      <c r="J22" s="19"/>
    </row>
    <row r="23" spans="1:10" ht="12.75" customHeight="1">
      <c r="A23" s="8"/>
      <c r="B23" s="939" t="s">
        <v>51</v>
      </c>
      <c r="C23" s="444">
        <v>11</v>
      </c>
      <c r="D23" s="1229">
        <v>4</v>
      </c>
      <c r="E23" s="1229">
        <v>6</v>
      </c>
      <c r="F23" s="443"/>
      <c r="G23" s="563">
        <f t="shared" si="1"/>
        <v>21</v>
      </c>
      <c r="H23" s="439"/>
      <c r="I23" s="939" t="s">
        <v>51</v>
      </c>
      <c r="J23" s="19"/>
    </row>
    <row r="24" spans="1:10" ht="12.75" customHeight="1">
      <c r="A24" s="8"/>
      <c r="B24" s="585" t="s">
        <v>32</v>
      </c>
      <c r="C24" s="1230"/>
      <c r="D24" s="1231"/>
      <c r="E24" s="1231">
        <v>83</v>
      </c>
      <c r="F24" s="1232"/>
      <c r="G24" s="1233">
        <f t="shared" si="1"/>
        <v>83</v>
      </c>
      <c r="H24" s="1228"/>
      <c r="I24" s="585" t="s">
        <v>32</v>
      </c>
      <c r="J24" s="19"/>
    </row>
    <row r="25" spans="1:10" ht="12.75" customHeight="1">
      <c r="A25" s="8"/>
      <c r="B25" s="939" t="s">
        <v>35</v>
      </c>
      <c r="C25" s="474">
        <v>2</v>
      </c>
      <c r="D25" s="1234">
        <v>12</v>
      </c>
      <c r="E25" s="1234">
        <v>320</v>
      </c>
      <c r="F25" s="475">
        <v>4</v>
      </c>
      <c r="G25" s="564">
        <f t="shared" si="1"/>
        <v>338</v>
      </c>
      <c r="H25" s="439"/>
      <c r="I25" s="939" t="s">
        <v>35</v>
      </c>
      <c r="J25" s="19"/>
    </row>
    <row r="26" spans="1:10" ht="12.75" customHeight="1">
      <c r="A26" s="8"/>
      <c r="B26" s="585" t="s">
        <v>43</v>
      </c>
      <c r="C26" s="1230">
        <v>72</v>
      </c>
      <c r="D26" s="1231">
        <v>10</v>
      </c>
      <c r="E26" s="1231">
        <v>97</v>
      </c>
      <c r="F26" s="1232">
        <v>61</v>
      </c>
      <c r="G26" s="1233">
        <f t="shared" si="1"/>
        <v>240</v>
      </c>
      <c r="H26" s="1228"/>
      <c r="I26" s="585" t="s">
        <v>43</v>
      </c>
      <c r="J26" s="19"/>
    </row>
    <row r="27" spans="1:10" ht="12.75" customHeight="1">
      <c r="A27" s="8"/>
      <c r="B27" s="939" t="s">
        <v>52</v>
      </c>
      <c r="C27" s="444">
        <v>19</v>
      </c>
      <c r="D27" s="1229"/>
      <c r="E27" s="1229">
        <v>161</v>
      </c>
      <c r="F27" s="443">
        <v>6</v>
      </c>
      <c r="G27" s="563">
        <f t="shared" si="1"/>
        <v>186</v>
      </c>
      <c r="H27" s="439"/>
      <c r="I27" s="939" t="s">
        <v>52</v>
      </c>
      <c r="J27" s="19"/>
    </row>
    <row r="28" spans="1:10" ht="12.75" customHeight="1">
      <c r="A28" s="8"/>
      <c r="B28" s="585" t="s">
        <v>36</v>
      </c>
      <c r="C28" s="1230">
        <v>43</v>
      </c>
      <c r="D28" s="1231">
        <v>1</v>
      </c>
      <c r="E28" s="1231">
        <v>108</v>
      </c>
      <c r="F28" s="1232">
        <v>14</v>
      </c>
      <c r="G28" s="1233">
        <f t="shared" si="1"/>
        <v>166</v>
      </c>
      <c r="H28" s="1228"/>
      <c r="I28" s="585" t="s">
        <v>36</v>
      </c>
      <c r="J28" s="19"/>
    </row>
    <row r="29" spans="1:10" ht="12.75" customHeight="1">
      <c r="A29" s="8"/>
      <c r="B29" s="939" t="s">
        <v>53</v>
      </c>
      <c r="C29" s="444">
        <v>27</v>
      </c>
      <c r="D29" s="1229">
        <v>5</v>
      </c>
      <c r="E29" s="1229">
        <v>81</v>
      </c>
      <c r="F29" s="443">
        <v>7</v>
      </c>
      <c r="G29" s="563">
        <f t="shared" si="1"/>
        <v>120</v>
      </c>
      <c r="H29" s="439"/>
      <c r="I29" s="939" t="s">
        <v>53</v>
      </c>
      <c r="J29" s="19"/>
    </row>
    <row r="30" spans="1:10" ht="12.75" customHeight="1">
      <c r="A30" s="8"/>
      <c r="B30" s="585" t="s">
        <v>37</v>
      </c>
      <c r="C30" s="1230"/>
      <c r="D30" s="1231">
        <v>13</v>
      </c>
      <c r="E30" s="1231">
        <v>17</v>
      </c>
      <c r="F30" s="1232"/>
      <c r="G30" s="1233">
        <f t="shared" si="1"/>
        <v>30</v>
      </c>
      <c r="H30" s="1228"/>
      <c r="I30" s="585" t="s">
        <v>37</v>
      </c>
      <c r="J30" s="19"/>
    </row>
    <row r="31" spans="1:10" ht="12.75" customHeight="1">
      <c r="A31" s="8"/>
      <c r="B31" s="939" t="s">
        <v>39</v>
      </c>
      <c r="C31" s="444">
        <v>4</v>
      </c>
      <c r="D31" s="1229"/>
      <c r="E31" s="1229"/>
      <c r="F31" s="443"/>
      <c r="G31" s="563">
        <f t="shared" si="1"/>
        <v>4</v>
      </c>
      <c r="H31" s="439"/>
      <c r="I31" s="939" t="s">
        <v>39</v>
      </c>
      <c r="J31" s="19"/>
    </row>
    <row r="32" spans="1:10" ht="12.75" customHeight="1">
      <c r="A32" s="8"/>
      <c r="B32" s="585" t="s">
        <v>38</v>
      </c>
      <c r="C32" s="1230"/>
      <c r="D32" s="1231"/>
      <c r="E32" s="1231">
        <v>8</v>
      </c>
      <c r="F32" s="1232"/>
      <c r="G32" s="1233">
        <f t="shared" si="1"/>
        <v>8</v>
      </c>
      <c r="H32" s="1228"/>
      <c r="I32" s="585" t="s">
        <v>38</v>
      </c>
      <c r="J32" s="19"/>
    </row>
    <row r="33" spans="1:10" ht="12.75" customHeight="1">
      <c r="A33" s="8"/>
      <c r="B33" s="939" t="s">
        <v>54</v>
      </c>
      <c r="C33" s="444">
        <v>15</v>
      </c>
      <c r="D33" s="1229">
        <v>16</v>
      </c>
      <c r="E33" s="1229">
        <v>30</v>
      </c>
      <c r="F33" s="443">
        <v>18</v>
      </c>
      <c r="G33" s="563">
        <f t="shared" si="1"/>
        <v>79</v>
      </c>
      <c r="H33" s="439"/>
      <c r="I33" s="939" t="s">
        <v>54</v>
      </c>
      <c r="J33" s="19"/>
    </row>
    <row r="34" spans="1:10" ht="12.75" customHeight="1">
      <c r="A34" s="8"/>
      <c r="B34" s="592" t="s">
        <v>55</v>
      </c>
      <c r="C34" s="1235">
        <v>45</v>
      </c>
      <c r="D34" s="1236">
        <v>29</v>
      </c>
      <c r="E34" s="1236">
        <v>101</v>
      </c>
      <c r="F34" s="1237">
        <v>5</v>
      </c>
      <c r="G34" s="1238">
        <f t="shared" si="1"/>
        <v>180</v>
      </c>
      <c r="H34" s="1239"/>
      <c r="I34" s="592" t="s">
        <v>55</v>
      </c>
      <c r="J34" s="19"/>
    </row>
    <row r="35" spans="1:10" ht="12.75" customHeight="1">
      <c r="A35" s="8"/>
      <c r="B35" s="939" t="s">
        <v>26</v>
      </c>
      <c r="C35" s="444">
        <v>15</v>
      </c>
      <c r="D35" s="1229"/>
      <c r="E35" s="1229">
        <v>41</v>
      </c>
      <c r="F35" s="443">
        <v>3</v>
      </c>
      <c r="G35" s="563">
        <f t="shared" si="1"/>
        <v>59</v>
      </c>
      <c r="H35" s="439"/>
      <c r="I35" s="939" t="s">
        <v>26</v>
      </c>
      <c r="J35" s="401"/>
    </row>
    <row r="36" spans="1:10" ht="12.75" customHeight="1">
      <c r="A36" s="8"/>
      <c r="B36" s="585" t="s">
        <v>65</v>
      </c>
      <c r="C36" s="1230"/>
      <c r="D36" s="1231"/>
      <c r="E36" s="1231"/>
      <c r="F36" s="1232"/>
      <c r="G36" s="1233">
        <f t="shared" si="1"/>
        <v>0</v>
      </c>
      <c r="H36" s="1228"/>
      <c r="I36" s="585" t="s">
        <v>65</v>
      </c>
      <c r="J36" s="19"/>
    </row>
    <row r="37" spans="1:10" ht="12.75" customHeight="1">
      <c r="A37" s="8"/>
      <c r="B37" s="939" t="s">
        <v>56</v>
      </c>
      <c r="C37" s="444">
        <v>46</v>
      </c>
      <c r="D37" s="1229"/>
      <c r="E37" s="1229">
        <v>41</v>
      </c>
      <c r="F37" s="443">
        <v>4</v>
      </c>
      <c r="G37" s="563">
        <f t="shared" si="1"/>
        <v>91</v>
      </c>
      <c r="H37" s="439"/>
      <c r="I37" s="939" t="s">
        <v>56</v>
      </c>
      <c r="J37" s="19"/>
    </row>
    <row r="38" spans="1:10" ht="12.75" customHeight="1">
      <c r="A38" s="8"/>
      <c r="B38" s="592" t="s">
        <v>27</v>
      </c>
      <c r="C38" s="1235">
        <v>21</v>
      </c>
      <c r="D38" s="1236">
        <v>31</v>
      </c>
      <c r="E38" s="1236">
        <v>94</v>
      </c>
      <c r="F38" s="1237">
        <v>17</v>
      </c>
      <c r="G38" s="1238">
        <f t="shared" si="1"/>
        <v>163</v>
      </c>
      <c r="H38" s="1239"/>
      <c r="I38" s="592" t="s">
        <v>27</v>
      </c>
      <c r="J38" s="19"/>
    </row>
    <row r="39" spans="1:10" ht="12.75" customHeight="1">
      <c r="A39" s="8"/>
      <c r="B39" s="582" t="s">
        <v>311</v>
      </c>
      <c r="C39" s="1224"/>
      <c r="D39" s="1225"/>
      <c r="E39" s="1225"/>
      <c r="F39" s="1226"/>
      <c r="G39" s="1227">
        <f t="shared" si="1"/>
        <v>0</v>
      </c>
      <c r="H39" s="1240"/>
      <c r="I39" s="582" t="s">
        <v>311</v>
      </c>
      <c r="J39" s="19"/>
    </row>
    <row r="40" spans="1:10" ht="12.75" customHeight="1">
      <c r="A40" s="8"/>
      <c r="B40" s="939" t="s">
        <v>139</v>
      </c>
      <c r="C40" s="444">
        <v>2</v>
      </c>
      <c r="D40" s="1229"/>
      <c r="E40" s="1229"/>
      <c r="F40" s="443"/>
      <c r="G40" s="563">
        <f t="shared" si="1"/>
        <v>2</v>
      </c>
      <c r="H40" s="439"/>
      <c r="I40" s="939" t="s">
        <v>139</v>
      </c>
      <c r="J40" s="19"/>
    </row>
    <row r="41" spans="1:10" ht="12.75" customHeight="1">
      <c r="A41" s="8"/>
      <c r="B41" s="585" t="s">
        <v>145</v>
      </c>
      <c r="C41" s="1230"/>
      <c r="D41" s="1231">
        <v>1</v>
      </c>
      <c r="E41" s="1231">
        <v>4</v>
      </c>
      <c r="F41" s="1232"/>
      <c r="G41" s="1233">
        <f t="shared" si="1"/>
        <v>5</v>
      </c>
      <c r="H41" s="1228"/>
      <c r="I41" s="585" t="s">
        <v>145</v>
      </c>
      <c r="J41" s="19"/>
    </row>
    <row r="42" spans="1:10" ht="12.75" customHeight="1">
      <c r="A42" s="8"/>
      <c r="B42" s="585" t="s">
        <v>138</v>
      </c>
      <c r="C42" s="1230">
        <v>4</v>
      </c>
      <c r="D42" s="1231">
        <v>17</v>
      </c>
      <c r="E42" s="1231">
        <v>8</v>
      </c>
      <c r="F42" s="1232">
        <v>1</v>
      </c>
      <c r="G42" s="1233">
        <f t="shared" si="1"/>
        <v>30</v>
      </c>
      <c r="H42" s="1228"/>
      <c r="I42" s="585" t="s">
        <v>138</v>
      </c>
      <c r="J42" s="19"/>
    </row>
    <row r="43" spans="1:10" ht="12.75" customHeight="1">
      <c r="A43" s="8"/>
      <c r="B43" s="120" t="s">
        <v>40</v>
      </c>
      <c r="C43" s="866"/>
      <c r="D43" s="867">
        <v>6</v>
      </c>
      <c r="E43" s="867">
        <v>507</v>
      </c>
      <c r="F43" s="868">
        <v>77</v>
      </c>
      <c r="G43" s="869">
        <f t="shared" si="1"/>
        <v>590</v>
      </c>
      <c r="H43" s="870"/>
      <c r="I43" s="120" t="s">
        <v>40</v>
      </c>
      <c r="J43" s="19"/>
    </row>
    <row r="44" spans="1:10" ht="12.75" customHeight="1">
      <c r="A44" s="8"/>
      <c r="B44" s="585" t="s">
        <v>44</v>
      </c>
      <c r="C44" s="1230">
        <v>66</v>
      </c>
      <c r="D44" s="1231">
        <v>56</v>
      </c>
      <c r="E44" s="1231">
        <v>519</v>
      </c>
      <c r="F44" s="1232">
        <v>120</v>
      </c>
      <c r="G44" s="1233">
        <f t="shared" si="1"/>
        <v>761</v>
      </c>
      <c r="H44" s="1228"/>
      <c r="I44" s="585" t="s">
        <v>44</v>
      </c>
      <c r="J44" s="19"/>
    </row>
    <row r="45" spans="1:10" ht="12.75" customHeight="1">
      <c r="A45" s="8"/>
      <c r="B45" s="1396" t="s">
        <v>169</v>
      </c>
      <c r="C45" s="1396"/>
      <c r="D45" s="1396"/>
      <c r="E45" s="1396"/>
      <c r="F45" s="1396"/>
      <c r="G45" s="1396"/>
      <c r="H45" s="1396"/>
      <c r="I45" s="1396"/>
      <c r="J45" s="19"/>
    </row>
    <row r="46" spans="1:10" ht="12.75" customHeight="1">
      <c r="A46" s="8"/>
      <c r="B46" s="1357" t="s">
        <v>290</v>
      </c>
      <c r="C46" s="1357"/>
      <c r="J46" s="19"/>
    </row>
    <row r="47" spans="1:10" ht="12.75" customHeight="1">
      <c r="A47" s="8"/>
      <c r="B47" s="1388" t="s">
        <v>62</v>
      </c>
      <c r="C47" s="1388"/>
      <c r="D47" s="1388"/>
      <c r="E47" s="1388"/>
      <c r="F47" s="1388"/>
      <c r="G47" s="1388"/>
      <c r="H47" s="1015"/>
      <c r="J47" s="19"/>
    </row>
    <row r="48" spans="1:10" ht="12.75" customHeight="1">
      <c r="A48" s="8"/>
      <c r="B48" s="937" t="s">
        <v>88</v>
      </c>
      <c r="C48" s="937"/>
      <c r="D48" s="937"/>
      <c r="E48" s="937"/>
      <c r="F48" s="937"/>
      <c r="G48" s="1241"/>
      <c r="H48" s="937"/>
      <c r="J48" s="19"/>
    </row>
    <row r="49" spans="10:10" ht="15.75" customHeight="1">
      <c r="J49" s="15"/>
    </row>
    <row r="50" spans="10:10" ht="11.25" customHeight="1">
      <c r="J50" s="12"/>
    </row>
    <row r="51" spans="10:10" ht="12.75" customHeight="1"/>
    <row r="52" spans="10:10" ht="12.75" customHeight="1"/>
  </sheetData>
  <mergeCells count="8">
    <mergeCell ref="B2:I2"/>
    <mergeCell ref="B3:I3"/>
    <mergeCell ref="B4:I4"/>
    <mergeCell ref="B47:G47"/>
    <mergeCell ref="C5:H5"/>
    <mergeCell ref="G6:H6"/>
    <mergeCell ref="B45:I45"/>
    <mergeCell ref="B46:C46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344"/>
  <dimension ref="A1:M51"/>
  <sheetViews>
    <sheetView workbookViewId="0">
      <selection activeCell="R47" sqref="R47"/>
    </sheetView>
  </sheetViews>
  <sheetFormatPr defaultRowHeight="11.25"/>
  <cols>
    <col min="1" max="1" width="3.7109375" style="3" customWidth="1"/>
    <col min="2" max="2" width="9.140625" style="3"/>
    <col min="3" max="3" width="5.42578125" style="934" customWidth="1"/>
    <col min="4" max="8" width="10.7109375" style="934" customWidth="1"/>
    <col min="9" max="9" width="1.7109375" style="934" customWidth="1"/>
    <col min="10" max="10" width="5.140625" style="934" customWidth="1"/>
    <col min="11" max="16384" width="9.140625" style="3"/>
  </cols>
  <sheetData>
    <row r="1" spans="1:10" ht="15.75">
      <c r="J1" s="1264" t="s">
        <v>116</v>
      </c>
    </row>
    <row r="2" spans="1:10" s="48" customFormat="1" ht="15.75" customHeight="1">
      <c r="C2" s="1352" t="s">
        <v>268</v>
      </c>
      <c r="D2" s="1352"/>
      <c r="E2" s="1352"/>
      <c r="F2" s="1352"/>
      <c r="G2" s="1352"/>
      <c r="H2" s="1352"/>
      <c r="I2" s="1352"/>
      <c r="J2" s="1352"/>
    </row>
    <row r="3" spans="1:10" s="69" customFormat="1" ht="12.75" customHeight="1">
      <c r="C3" s="1355" t="s">
        <v>267</v>
      </c>
      <c r="D3" s="1355"/>
      <c r="E3" s="1355"/>
      <c r="F3" s="1355"/>
      <c r="G3" s="1355"/>
      <c r="H3" s="1355"/>
      <c r="I3" s="1355"/>
      <c r="J3" s="1355"/>
    </row>
    <row r="4" spans="1:10" s="22" customFormat="1" ht="12">
      <c r="C4" s="1399" t="s">
        <v>369</v>
      </c>
      <c r="D4" s="1400"/>
      <c r="E4" s="1400"/>
      <c r="F4" s="1400"/>
      <c r="G4" s="1400"/>
      <c r="H4" s="1400"/>
      <c r="I4" s="1400"/>
      <c r="J4" s="1400"/>
    </row>
    <row r="5" spans="1:10" ht="45" customHeight="1">
      <c r="D5" s="1401" t="s">
        <v>22</v>
      </c>
      <c r="E5" s="1402"/>
      <c r="F5" s="1269" t="s">
        <v>23</v>
      </c>
      <c r="G5" s="1403" t="s">
        <v>24</v>
      </c>
      <c r="H5" s="1401" t="s">
        <v>25</v>
      </c>
      <c r="I5" s="1402"/>
    </row>
    <row r="6" spans="1:10" ht="32.25" customHeight="1">
      <c r="D6" s="82" t="s">
        <v>148</v>
      </c>
      <c r="E6" s="80" t="s">
        <v>149</v>
      </c>
      <c r="F6" s="81" t="s">
        <v>82</v>
      </c>
      <c r="G6" s="1363"/>
      <c r="H6" s="1404"/>
      <c r="I6" s="1405"/>
    </row>
    <row r="7" spans="1:10">
      <c r="D7" s="77" t="s">
        <v>83</v>
      </c>
      <c r="E7" s="78" t="s">
        <v>83</v>
      </c>
      <c r="F7" s="79" t="s">
        <v>84</v>
      </c>
      <c r="G7" s="1268"/>
      <c r="H7" s="1397"/>
      <c r="I7" s="1398"/>
    </row>
    <row r="8" spans="1:10" ht="13.5" customHeight="1">
      <c r="C8" s="118" t="s">
        <v>238</v>
      </c>
      <c r="D8" s="445">
        <f>SUM(D9:D35)</f>
        <v>92</v>
      </c>
      <c r="E8" s="445">
        <f t="shared" ref="E8:H8" si="0">SUM(E9:E35)</f>
        <v>299</v>
      </c>
      <c r="F8" s="445">
        <f t="shared" si="0"/>
        <v>6</v>
      </c>
      <c r="G8" s="445">
        <f t="shared" si="0"/>
        <v>191</v>
      </c>
      <c r="H8" s="445">
        <f t="shared" si="0"/>
        <v>1741</v>
      </c>
      <c r="I8" s="118"/>
      <c r="J8" s="118" t="s">
        <v>238</v>
      </c>
    </row>
    <row r="9" spans="1:10">
      <c r="C9" s="582" t="s">
        <v>45</v>
      </c>
      <c r="D9" s="1242"/>
      <c r="E9" s="1242">
        <v>41</v>
      </c>
      <c r="F9" s="1242"/>
      <c r="G9" s="1242">
        <v>2</v>
      </c>
      <c r="H9" s="1242">
        <v>62</v>
      </c>
      <c r="I9" s="1243"/>
      <c r="J9" s="582" t="s">
        <v>45</v>
      </c>
    </row>
    <row r="10" spans="1:10">
      <c r="A10" s="8"/>
      <c r="C10" s="43" t="s">
        <v>28</v>
      </c>
      <c r="D10" s="446"/>
      <c r="E10" s="1244">
        <v>7</v>
      </c>
      <c r="F10" s="1244"/>
      <c r="G10" s="1244"/>
      <c r="H10" s="1244">
        <v>15</v>
      </c>
      <c r="I10" s="76"/>
      <c r="J10" s="43" t="s">
        <v>28</v>
      </c>
    </row>
    <row r="11" spans="1:10">
      <c r="A11" s="8"/>
      <c r="C11" s="585" t="s">
        <v>30</v>
      </c>
      <c r="D11" s="1245"/>
      <c r="E11" s="1245"/>
      <c r="F11" s="1245"/>
      <c r="G11" s="1245">
        <v>1</v>
      </c>
      <c r="H11" s="1246">
        <v>67</v>
      </c>
      <c r="I11" s="1247"/>
      <c r="J11" s="585" t="s">
        <v>30</v>
      </c>
    </row>
    <row r="12" spans="1:10">
      <c r="A12" s="8"/>
      <c r="C12" s="43" t="s">
        <v>41</v>
      </c>
      <c r="D12" s="1244"/>
      <c r="E12" s="1244">
        <v>15</v>
      </c>
      <c r="F12" s="1244">
        <v>4</v>
      </c>
      <c r="G12" s="1244">
        <v>2</v>
      </c>
      <c r="H12" s="1244">
        <v>59</v>
      </c>
      <c r="I12" s="76"/>
      <c r="J12" s="43" t="s">
        <v>41</v>
      </c>
    </row>
    <row r="13" spans="1:10">
      <c r="A13" s="8"/>
      <c r="C13" s="585" t="s">
        <v>46</v>
      </c>
      <c r="D13" s="1245">
        <v>9</v>
      </c>
      <c r="E13" s="1245">
        <v>120</v>
      </c>
      <c r="F13" s="1245"/>
      <c r="G13" s="1245">
        <v>48</v>
      </c>
      <c r="H13" s="1245">
        <v>433</v>
      </c>
      <c r="I13" s="1247"/>
      <c r="J13" s="585" t="s">
        <v>46</v>
      </c>
    </row>
    <row r="14" spans="1:10">
      <c r="A14" s="8"/>
      <c r="C14" s="43" t="s">
        <v>31</v>
      </c>
      <c r="D14" s="1244">
        <v>8</v>
      </c>
      <c r="E14" s="1244"/>
      <c r="F14" s="1244"/>
      <c r="G14" s="1244"/>
      <c r="H14" s="1244">
        <v>7</v>
      </c>
      <c r="I14" s="76"/>
      <c r="J14" s="43" t="s">
        <v>31</v>
      </c>
    </row>
    <row r="15" spans="1:10">
      <c r="A15" s="8"/>
      <c r="C15" s="585" t="s">
        <v>49</v>
      </c>
      <c r="D15" s="1245">
        <v>7</v>
      </c>
      <c r="E15" s="1245">
        <v>15</v>
      </c>
      <c r="F15" s="1245"/>
      <c r="G15" s="1245">
        <v>1</v>
      </c>
      <c r="H15" s="1245">
        <v>20</v>
      </c>
      <c r="I15" s="1247"/>
      <c r="J15" s="585" t="s">
        <v>49</v>
      </c>
    </row>
    <row r="16" spans="1:10">
      <c r="A16" s="8"/>
      <c r="C16" s="43" t="s">
        <v>42</v>
      </c>
      <c r="D16" s="1244">
        <v>6</v>
      </c>
      <c r="E16" s="1244"/>
      <c r="F16" s="1244"/>
      <c r="G16" s="1244">
        <v>3</v>
      </c>
      <c r="H16" s="1244">
        <v>20</v>
      </c>
      <c r="I16" s="76"/>
      <c r="J16" s="43" t="s">
        <v>42</v>
      </c>
    </row>
    <row r="17" spans="1:10">
      <c r="A17" s="8"/>
      <c r="C17" s="585" t="s">
        <v>47</v>
      </c>
      <c r="D17" s="1245">
        <v>21</v>
      </c>
      <c r="E17" s="1245">
        <v>7</v>
      </c>
      <c r="F17" s="1245"/>
      <c r="G17" s="1245">
        <v>68</v>
      </c>
      <c r="H17" s="1245">
        <v>52</v>
      </c>
      <c r="I17" s="1247"/>
      <c r="J17" s="585" t="s">
        <v>47</v>
      </c>
    </row>
    <row r="18" spans="1:10">
      <c r="A18" s="8"/>
      <c r="C18" s="43" t="s">
        <v>48</v>
      </c>
      <c r="D18" s="1244">
        <v>1</v>
      </c>
      <c r="E18" s="1244">
        <v>23</v>
      </c>
      <c r="F18" s="1244"/>
      <c r="G18" s="1244">
        <v>1</v>
      </c>
      <c r="H18" s="1244">
        <v>128</v>
      </c>
      <c r="I18" s="76"/>
      <c r="J18" s="43" t="s">
        <v>48</v>
      </c>
    </row>
    <row r="19" spans="1:10">
      <c r="A19" s="8"/>
      <c r="C19" s="585" t="s">
        <v>59</v>
      </c>
      <c r="D19" s="1245"/>
      <c r="E19" s="1245"/>
      <c r="F19" s="1245"/>
      <c r="G19" s="1245"/>
      <c r="H19" s="1245">
        <v>8</v>
      </c>
      <c r="I19" s="1247"/>
      <c r="J19" s="585" t="s">
        <v>59</v>
      </c>
    </row>
    <row r="20" spans="1:10">
      <c r="A20" s="8"/>
      <c r="C20" s="939" t="s">
        <v>50</v>
      </c>
      <c r="D20" s="1244"/>
      <c r="E20" s="1244">
        <v>9</v>
      </c>
      <c r="F20" s="1244">
        <v>1</v>
      </c>
      <c r="G20" s="1244">
        <v>19</v>
      </c>
      <c r="H20" s="1244">
        <v>77</v>
      </c>
      <c r="I20" s="218"/>
      <c r="J20" s="939" t="s">
        <v>50</v>
      </c>
    </row>
    <row r="21" spans="1:10">
      <c r="A21" s="8"/>
      <c r="C21" s="585" t="s">
        <v>29</v>
      </c>
      <c r="D21" s="1245"/>
      <c r="E21" s="1245"/>
      <c r="F21" s="1245"/>
      <c r="G21" s="1245">
        <v>1</v>
      </c>
      <c r="H21" s="1245">
        <v>5</v>
      </c>
      <c r="I21" s="1247"/>
      <c r="J21" s="585" t="s">
        <v>29</v>
      </c>
    </row>
    <row r="22" spans="1:10">
      <c r="A22" s="8"/>
      <c r="C22" s="939" t="s">
        <v>33</v>
      </c>
      <c r="D22" s="1244">
        <v>2</v>
      </c>
      <c r="E22" s="1244"/>
      <c r="F22" s="1244"/>
      <c r="G22" s="1244"/>
      <c r="H22" s="1244">
        <v>13</v>
      </c>
      <c r="I22" s="218"/>
      <c r="J22" s="939" t="s">
        <v>33</v>
      </c>
    </row>
    <row r="23" spans="1:10">
      <c r="A23" s="8"/>
      <c r="C23" s="585" t="s">
        <v>34</v>
      </c>
      <c r="D23" s="1245">
        <v>10</v>
      </c>
      <c r="E23" s="1245"/>
      <c r="F23" s="1245"/>
      <c r="G23" s="1245">
        <v>1</v>
      </c>
      <c r="H23" s="1245">
        <v>4</v>
      </c>
      <c r="I23" s="1247"/>
      <c r="J23" s="585" t="s">
        <v>34</v>
      </c>
    </row>
    <row r="24" spans="1:10">
      <c r="A24" s="8"/>
      <c r="C24" s="939" t="s">
        <v>51</v>
      </c>
      <c r="D24" s="1244"/>
      <c r="E24" s="1244">
        <v>26</v>
      </c>
      <c r="F24" s="1244"/>
      <c r="G24" s="1244">
        <v>5</v>
      </c>
      <c r="H24" s="1244">
        <v>63</v>
      </c>
      <c r="I24" s="218"/>
      <c r="J24" s="939" t="s">
        <v>51</v>
      </c>
    </row>
    <row r="25" spans="1:10">
      <c r="A25" s="8"/>
      <c r="C25" s="585" t="s">
        <v>32</v>
      </c>
      <c r="D25" s="1245">
        <v>8</v>
      </c>
      <c r="E25" s="1245">
        <v>1</v>
      </c>
      <c r="F25" s="1245"/>
      <c r="G25" s="1245"/>
      <c r="H25" s="1245">
        <v>23</v>
      </c>
      <c r="I25" s="1247"/>
      <c r="J25" s="585" t="s">
        <v>32</v>
      </c>
    </row>
    <row r="26" spans="1:10">
      <c r="A26" s="8"/>
      <c r="C26" s="939" t="s">
        <v>35</v>
      </c>
      <c r="D26" s="1244">
        <v>2</v>
      </c>
      <c r="E26" s="1244">
        <v>4</v>
      </c>
      <c r="F26" s="1244"/>
      <c r="G26" s="1244"/>
      <c r="H26" s="1244">
        <v>240</v>
      </c>
      <c r="I26" s="218"/>
      <c r="J26" s="939" t="s">
        <v>35</v>
      </c>
    </row>
    <row r="27" spans="1:10">
      <c r="A27" s="8"/>
      <c r="C27" s="585" t="s">
        <v>43</v>
      </c>
      <c r="D27" s="1245"/>
      <c r="E27" s="1245">
        <v>4</v>
      </c>
      <c r="F27" s="1245"/>
      <c r="G27" s="1245">
        <v>1</v>
      </c>
      <c r="H27" s="1245">
        <v>35</v>
      </c>
      <c r="I27" s="1247"/>
      <c r="J27" s="585" t="s">
        <v>43</v>
      </c>
    </row>
    <row r="28" spans="1:10">
      <c r="A28" s="8"/>
      <c r="C28" s="939" t="s">
        <v>52</v>
      </c>
      <c r="D28" s="1244">
        <v>1</v>
      </c>
      <c r="E28" s="1244">
        <v>20</v>
      </c>
      <c r="F28" s="1244"/>
      <c r="G28" s="1244">
        <v>6</v>
      </c>
      <c r="H28" s="1244">
        <v>198</v>
      </c>
      <c r="I28" s="218"/>
      <c r="J28" s="939" t="s">
        <v>52</v>
      </c>
    </row>
    <row r="29" spans="1:10">
      <c r="A29" s="8"/>
      <c r="C29" s="585" t="s">
        <v>36</v>
      </c>
      <c r="D29" s="1245">
        <v>12</v>
      </c>
      <c r="E29" s="1245">
        <v>3</v>
      </c>
      <c r="F29" s="1245">
        <v>1</v>
      </c>
      <c r="G29" s="1245"/>
      <c r="H29" s="1245"/>
      <c r="I29" s="1247"/>
      <c r="J29" s="585" t="s">
        <v>36</v>
      </c>
    </row>
    <row r="30" spans="1:10">
      <c r="A30" s="8"/>
      <c r="C30" s="939" t="s">
        <v>53</v>
      </c>
      <c r="D30" s="1244"/>
      <c r="E30" s="1244"/>
      <c r="F30" s="1244"/>
      <c r="G30" s="1244">
        <v>4</v>
      </c>
      <c r="H30" s="1244">
        <v>132</v>
      </c>
      <c r="I30" s="218"/>
      <c r="J30" s="939" t="s">
        <v>53</v>
      </c>
    </row>
    <row r="31" spans="1:10">
      <c r="A31" s="8"/>
      <c r="C31" s="585" t="s">
        <v>37</v>
      </c>
      <c r="D31" s="1248"/>
      <c r="E31" s="1245">
        <v>1</v>
      </c>
      <c r="F31" s="1245"/>
      <c r="G31" s="1245"/>
      <c r="H31" s="1245">
        <v>14</v>
      </c>
      <c r="I31" s="1247"/>
      <c r="J31" s="585" t="s">
        <v>37</v>
      </c>
    </row>
    <row r="32" spans="1:10">
      <c r="A32" s="8"/>
      <c r="C32" s="939" t="s">
        <v>39</v>
      </c>
      <c r="D32" s="1244"/>
      <c r="E32" s="1244"/>
      <c r="F32" s="1244"/>
      <c r="G32" s="1244"/>
      <c r="H32" s="1244">
        <v>14</v>
      </c>
      <c r="I32" s="218"/>
      <c r="J32" s="939" t="s">
        <v>39</v>
      </c>
    </row>
    <row r="33" spans="1:13">
      <c r="A33" s="8"/>
      <c r="C33" s="585" t="s">
        <v>38</v>
      </c>
      <c r="D33" s="1245"/>
      <c r="E33" s="1245">
        <v>1</v>
      </c>
      <c r="F33" s="1245"/>
      <c r="G33" s="1245"/>
      <c r="H33" s="1245">
        <v>14</v>
      </c>
      <c r="I33" s="1247"/>
      <c r="J33" s="585" t="s">
        <v>38</v>
      </c>
    </row>
    <row r="34" spans="1:13">
      <c r="A34" s="8"/>
      <c r="B34" s="383"/>
      <c r="C34" s="939" t="s">
        <v>54</v>
      </c>
      <c r="D34" s="1244">
        <v>2</v>
      </c>
      <c r="E34" s="1244"/>
      <c r="F34" s="1244"/>
      <c r="G34" s="1244"/>
      <c r="H34" s="1244">
        <v>11</v>
      </c>
      <c r="I34" s="218"/>
      <c r="J34" s="939" t="s">
        <v>54</v>
      </c>
    </row>
    <row r="35" spans="1:13">
      <c r="A35" s="8"/>
      <c r="B35" s="383"/>
      <c r="C35" s="592" t="s">
        <v>55</v>
      </c>
      <c r="D35" s="1249">
        <v>3</v>
      </c>
      <c r="E35" s="1249">
        <v>2</v>
      </c>
      <c r="F35" s="1249"/>
      <c r="G35" s="1249">
        <v>28</v>
      </c>
      <c r="H35" s="1249">
        <v>27</v>
      </c>
      <c r="I35" s="1250"/>
      <c r="J35" s="592" t="s">
        <v>55</v>
      </c>
    </row>
    <row r="36" spans="1:13">
      <c r="A36" s="8"/>
      <c r="C36" s="118" t="s">
        <v>26</v>
      </c>
      <c r="D36" s="447"/>
      <c r="E36" s="1244">
        <v>11</v>
      </c>
      <c r="F36" s="1244"/>
      <c r="G36" s="1244">
        <v>2</v>
      </c>
      <c r="H36" s="1244"/>
      <c r="I36" s="218"/>
      <c r="J36" s="118" t="s">
        <v>26</v>
      </c>
    </row>
    <row r="37" spans="1:13">
      <c r="A37" s="8"/>
      <c r="C37" s="585" t="s">
        <v>65</v>
      </c>
      <c r="D37" s="1248"/>
      <c r="E37" s="1245"/>
      <c r="F37" s="1245"/>
      <c r="G37" s="1245"/>
      <c r="H37" s="1245">
        <v>3</v>
      </c>
      <c r="I37" s="1247"/>
      <c r="J37" s="585" t="s">
        <v>65</v>
      </c>
    </row>
    <row r="38" spans="1:13">
      <c r="A38" s="8"/>
      <c r="C38" s="939" t="s">
        <v>56</v>
      </c>
      <c r="D38" s="447"/>
      <c r="E38" s="1244"/>
      <c r="F38" s="1244"/>
      <c r="G38" s="1244"/>
      <c r="H38" s="1244">
        <v>7</v>
      </c>
      <c r="I38" s="218"/>
      <c r="J38" s="939" t="s">
        <v>56</v>
      </c>
    </row>
    <row r="39" spans="1:13">
      <c r="A39" s="8"/>
      <c r="C39" s="592" t="s">
        <v>27</v>
      </c>
      <c r="D39" s="1251">
        <v>2</v>
      </c>
      <c r="E39" s="1249"/>
      <c r="F39" s="1249"/>
      <c r="G39" s="1249">
        <v>5</v>
      </c>
      <c r="H39" s="1249">
        <v>112</v>
      </c>
      <c r="I39" s="1250"/>
      <c r="J39" s="592" t="s">
        <v>27</v>
      </c>
    </row>
    <row r="40" spans="1:13">
      <c r="A40" s="8"/>
      <c r="C40" s="585" t="s">
        <v>139</v>
      </c>
      <c r="D40" s="1248"/>
      <c r="E40" s="1245"/>
      <c r="F40" s="1245"/>
      <c r="G40" s="1245"/>
      <c r="H40" s="1245">
        <v>2</v>
      </c>
      <c r="I40" s="1247"/>
      <c r="J40" s="585" t="s">
        <v>139</v>
      </c>
    </row>
    <row r="41" spans="1:13">
      <c r="A41" s="8"/>
      <c r="C41" s="939" t="s">
        <v>0</v>
      </c>
      <c r="D41" s="447"/>
      <c r="E41" s="1244"/>
      <c r="F41" s="1244"/>
      <c r="G41" s="1244"/>
      <c r="H41" s="1244"/>
      <c r="I41" s="218"/>
      <c r="J41" s="939" t="s">
        <v>0</v>
      </c>
    </row>
    <row r="42" spans="1:13">
      <c r="A42" s="8"/>
      <c r="C42" s="585" t="s">
        <v>145</v>
      </c>
      <c r="D42" s="1248"/>
      <c r="E42" s="1245"/>
      <c r="F42" s="1245"/>
      <c r="G42" s="1245"/>
      <c r="H42" s="1245"/>
      <c r="I42" s="1247"/>
      <c r="J42" s="585" t="s">
        <v>145</v>
      </c>
    </row>
    <row r="43" spans="1:13">
      <c r="A43" s="8"/>
      <c r="C43" s="939" t="s">
        <v>138</v>
      </c>
      <c r="D43" s="447"/>
      <c r="E43" s="1244"/>
      <c r="F43" s="1244"/>
      <c r="G43" s="1244">
        <v>1</v>
      </c>
      <c r="H43" s="1244">
        <v>34</v>
      </c>
      <c r="I43" s="218"/>
      <c r="J43" s="939" t="s">
        <v>138</v>
      </c>
    </row>
    <row r="44" spans="1:13">
      <c r="A44" s="8"/>
      <c r="B44" s="383"/>
      <c r="C44" s="585" t="s">
        <v>40</v>
      </c>
      <c r="D44" s="1248"/>
      <c r="E44" s="1245">
        <v>32</v>
      </c>
      <c r="F44" s="1245"/>
      <c r="G44" s="1245">
        <v>21</v>
      </c>
      <c r="H44" s="1245">
        <v>106</v>
      </c>
      <c r="I44" s="1247"/>
      <c r="J44" s="585" t="s">
        <v>40</v>
      </c>
    </row>
    <row r="45" spans="1:13">
      <c r="A45" s="8"/>
      <c r="B45" s="383"/>
      <c r="C45" s="120" t="s">
        <v>311</v>
      </c>
      <c r="D45" s="1270">
        <v>1</v>
      </c>
      <c r="E45" s="1271"/>
      <c r="F45" s="1271"/>
      <c r="G45" s="1271"/>
      <c r="H45" s="1271"/>
      <c r="I45" s="1272"/>
      <c r="J45" s="120" t="s">
        <v>138</v>
      </c>
    </row>
    <row r="46" spans="1:13" ht="15.75" customHeight="1">
      <c r="B46" s="2"/>
      <c r="C46" s="1273" t="s">
        <v>44</v>
      </c>
      <c r="D46" s="1274">
        <v>7</v>
      </c>
      <c r="E46" s="1274">
        <v>41</v>
      </c>
      <c r="F46" s="1274"/>
      <c r="G46" s="1274">
        <v>18</v>
      </c>
      <c r="H46" s="1275">
        <v>250</v>
      </c>
      <c r="I46" s="1276"/>
      <c r="J46" s="1273" t="s">
        <v>44</v>
      </c>
    </row>
    <row r="47" spans="1:13" ht="16.5" customHeight="1">
      <c r="B47" s="2"/>
      <c r="C47" s="1265" t="s">
        <v>169</v>
      </c>
      <c r="D47" s="1252"/>
      <c r="E47" s="1252"/>
      <c r="F47" s="1252"/>
      <c r="J47" s="1252"/>
      <c r="M47" s="2"/>
    </row>
    <row r="48" spans="1:13">
      <c r="B48" s="2"/>
      <c r="C48" s="1357" t="s">
        <v>290</v>
      </c>
      <c r="D48" s="1357"/>
      <c r="E48" s="1357"/>
      <c r="F48" s="1357"/>
      <c r="G48" s="1357"/>
      <c r="H48" s="1357"/>
      <c r="I48" s="1266"/>
      <c r="J48" s="1267"/>
    </row>
    <row r="49" spans="3:10">
      <c r="C49" s="1358" t="s">
        <v>130</v>
      </c>
      <c r="D49" s="1388"/>
      <c r="E49" s="1388"/>
      <c r="F49" s="1388"/>
      <c r="G49" s="1388"/>
      <c r="H49" s="1388"/>
      <c r="I49" s="1388"/>
      <c r="J49" s="1388"/>
    </row>
    <row r="50" spans="3:10">
      <c r="C50" s="937" t="s">
        <v>310</v>
      </c>
    </row>
    <row r="51" spans="3:10">
      <c r="C51" s="937" t="s">
        <v>88</v>
      </c>
    </row>
  </sheetData>
  <mergeCells count="9">
    <mergeCell ref="C48:H48"/>
    <mergeCell ref="C49:J49"/>
    <mergeCell ref="H7:I7"/>
    <mergeCell ref="C2:J2"/>
    <mergeCell ref="C3:J3"/>
    <mergeCell ref="C4:J4"/>
    <mergeCell ref="D5:E5"/>
    <mergeCell ref="G5:G6"/>
    <mergeCell ref="H5:I6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82"/>
  <dimension ref="A1:AE79"/>
  <sheetViews>
    <sheetView topLeftCell="C1" zoomScaleNormal="100" workbookViewId="0">
      <selection activeCell="Y56" sqref="Y56"/>
    </sheetView>
  </sheetViews>
  <sheetFormatPr defaultRowHeight="11.25"/>
  <cols>
    <col min="1" max="1" width="4.5703125" style="3" customWidth="1"/>
    <col min="2" max="2" width="5" style="3" customWidth="1"/>
    <col min="3" max="23" width="9.140625" style="3" customWidth="1"/>
    <col min="24" max="24" width="9.140625" style="3"/>
    <col min="25" max="27" width="7.85546875" style="3" customWidth="1"/>
    <col min="28" max="28" width="7.140625" style="3" customWidth="1"/>
    <col min="29" max="29" width="6.42578125" style="3" customWidth="1"/>
    <col min="30" max="30" width="2.7109375" style="3" customWidth="1"/>
    <col min="31" max="31" width="7.5703125" style="453" customWidth="1"/>
    <col min="32" max="16384" width="9.140625" style="3"/>
  </cols>
  <sheetData>
    <row r="1" spans="1:31" ht="14.25" customHeight="1">
      <c r="A1"/>
      <c r="B1" s="28"/>
      <c r="C1" s="23"/>
      <c r="D1" s="23"/>
      <c r="E1" s="110"/>
      <c r="F1" s="110"/>
      <c r="G1" s="23"/>
      <c r="H1" s="555"/>
      <c r="I1"/>
      <c r="J1"/>
      <c r="K1" s="29"/>
      <c r="L1" s="29"/>
      <c r="M1" s="29"/>
      <c r="N1" s="29"/>
      <c r="O1" s="29"/>
      <c r="P1" s="29"/>
      <c r="Q1" s="194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 t="s">
        <v>117</v>
      </c>
      <c r="AD1"/>
      <c r="AE1" s="436"/>
    </row>
    <row r="2" spans="1:31" s="48" customFormat="1" ht="30" customHeight="1">
      <c r="A2" s="220"/>
      <c r="B2" s="1287" t="s">
        <v>269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  <c r="AE2" s="453"/>
    </row>
    <row r="3" spans="1:31" ht="18" customHeight="1">
      <c r="A3"/>
      <c r="B3" s="1408" t="s">
        <v>3</v>
      </c>
      <c r="C3" s="1408"/>
      <c r="D3" s="1408"/>
      <c r="E3" s="1408"/>
      <c r="F3" s="1408"/>
      <c r="G3" s="1408"/>
      <c r="H3" s="1408"/>
      <c r="I3" s="1408"/>
      <c r="J3" s="1408"/>
      <c r="K3" s="1408"/>
      <c r="L3" s="1408"/>
      <c r="M3" s="1408"/>
      <c r="N3" s="1408"/>
      <c r="O3" s="1408"/>
      <c r="P3" s="1408"/>
      <c r="Q3" s="1408"/>
      <c r="R3" s="1408"/>
      <c r="S3" s="1408"/>
      <c r="T3" s="1408"/>
      <c r="U3" s="1408"/>
      <c r="V3" s="1408"/>
      <c r="W3" s="1408"/>
      <c r="X3" s="1408"/>
      <c r="Y3" s="1408"/>
      <c r="Z3" s="1408"/>
      <c r="AA3" s="1408"/>
      <c r="AB3" s="1408"/>
      <c r="AC3" s="1291"/>
      <c r="AD3"/>
    </row>
    <row r="4" spans="1:31" ht="24.95" customHeight="1">
      <c r="A4"/>
      <c r="B4" s="83"/>
      <c r="C4" s="106">
        <v>1970</v>
      </c>
      <c r="D4" s="73">
        <v>1980</v>
      </c>
      <c r="E4" s="73">
        <v>1990</v>
      </c>
      <c r="F4" s="73">
        <v>2000</v>
      </c>
      <c r="G4" s="73">
        <v>2001</v>
      </c>
      <c r="H4" s="73">
        <v>2002</v>
      </c>
      <c r="I4" s="73">
        <v>2003</v>
      </c>
      <c r="J4" s="73">
        <v>2004</v>
      </c>
      <c r="K4" s="73">
        <v>2005</v>
      </c>
      <c r="L4" s="73">
        <v>2006</v>
      </c>
      <c r="M4" s="73">
        <v>2007</v>
      </c>
      <c r="N4" s="73">
        <v>2008</v>
      </c>
      <c r="O4" s="73">
        <v>2009</v>
      </c>
      <c r="P4" s="73">
        <v>2010</v>
      </c>
      <c r="Q4" s="73">
        <v>2011</v>
      </c>
      <c r="R4" s="39">
        <v>2012</v>
      </c>
      <c r="S4" s="39">
        <v>2013</v>
      </c>
      <c r="T4" s="73">
        <v>2014</v>
      </c>
      <c r="U4" s="39">
        <v>2015</v>
      </c>
      <c r="V4" s="73">
        <v>2016</v>
      </c>
      <c r="W4" s="39">
        <v>2017</v>
      </c>
      <c r="X4" s="39">
        <v>2018</v>
      </c>
      <c r="Y4" s="39">
        <v>2019</v>
      </c>
      <c r="Z4" s="39">
        <v>2020</v>
      </c>
      <c r="AA4" s="39">
        <v>2021</v>
      </c>
      <c r="AB4" s="39">
        <v>2022</v>
      </c>
      <c r="AC4" s="451"/>
      <c r="AD4"/>
      <c r="AE4" s="649" t="s">
        <v>343</v>
      </c>
    </row>
    <row r="5" spans="1:31" ht="12.75" customHeight="1">
      <c r="A5"/>
      <c r="B5" s="345" t="s">
        <v>238</v>
      </c>
      <c r="C5" s="352"/>
      <c r="D5" s="353"/>
      <c r="E5" s="354"/>
      <c r="F5" s="353">
        <f>SUM(F6:F32)</f>
        <v>49877</v>
      </c>
      <c r="G5" s="353">
        <f>SUM(G6:G32)</f>
        <v>50436</v>
      </c>
      <c r="H5" s="353">
        <v>49897</v>
      </c>
      <c r="I5" s="353">
        <v>49371</v>
      </c>
      <c r="J5" s="353">
        <v>47125</v>
      </c>
      <c r="K5" s="353">
        <v>46374</v>
      </c>
      <c r="L5" s="353">
        <v>46032</v>
      </c>
      <c r="M5" s="353">
        <v>51752</v>
      </c>
      <c r="N5" s="353">
        <v>52612</v>
      </c>
      <c r="O5" s="353">
        <v>53664</v>
      </c>
      <c r="P5" s="353">
        <v>53322</v>
      </c>
      <c r="Q5" s="353">
        <v>53169</v>
      </c>
      <c r="R5" s="353">
        <v>52393</v>
      </c>
      <c r="S5" s="353">
        <v>53135</v>
      </c>
      <c r="T5" s="354">
        <v>54613</v>
      </c>
      <c r="U5" s="354">
        <v>53495</v>
      </c>
      <c r="V5" s="354">
        <v>54175</v>
      </c>
      <c r="W5" s="354">
        <v>52138</v>
      </c>
      <c r="X5" s="354">
        <v>52690</v>
      </c>
      <c r="Y5" s="354">
        <v>53696</v>
      </c>
      <c r="Z5" s="354">
        <f>SUM(Z6:Z32)</f>
        <v>61624</v>
      </c>
      <c r="AA5" s="354">
        <f>SUM(AA6:AA32)</f>
        <v>60160</v>
      </c>
      <c r="AB5" s="884">
        <f>SUM(AB6:AB32)</f>
        <v>59898</v>
      </c>
      <c r="AC5" s="355" t="s">
        <v>238</v>
      </c>
      <c r="AD5" s="367"/>
      <c r="AE5" s="531">
        <f>AB5/AA5*100-100</f>
        <v>-0.43550531914893043</v>
      </c>
    </row>
    <row r="6" spans="1:31" ht="12.75" customHeight="1">
      <c r="A6"/>
      <c r="B6" s="10" t="s">
        <v>45</v>
      </c>
      <c r="C6" s="278">
        <v>1536</v>
      </c>
      <c r="D6" s="279">
        <v>1740</v>
      </c>
      <c r="E6" s="279">
        <v>1727</v>
      </c>
      <c r="F6" s="279">
        <v>1670</v>
      </c>
      <c r="G6" s="279">
        <v>1706</v>
      </c>
      <c r="H6" s="279">
        <v>1678</v>
      </c>
      <c r="I6" s="279">
        <v>1522</v>
      </c>
      <c r="J6" s="279">
        <v>1528</v>
      </c>
      <c r="K6" s="279">
        <v>1518</v>
      </c>
      <c r="L6" s="279">
        <v>1469</v>
      </c>
      <c r="M6" s="279">
        <v>1449</v>
      </c>
      <c r="N6" s="279">
        <v>1403</v>
      </c>
      <c r="O6" s="279">
        <v>1341</v>
      </c>
      <c r="P6" s="279">
        <v>1341</v>
      </c>
      <c r="Q6" s="767">
        <v>1266</v>
      </c>
      <c r="R6" s="279">
        <v>1232</v>
      </c>
      <c r="S6" s="279">
        <v>1232</v>
      </c>
      <c r="T6" s="279">
        <v>1232</v>
      </c>
      <c r="U6" s="279">
        <v>1238</v>
      </c>
      <c r="V6" s="279">
        <v>1238</v>
      </c>
      <c r="W6" s="279">
        <v>1238</v>
      </c>
      <c r="X6" s="279">
        <v>1238</v>
      </c>
      <c r="Y6" s="279">
        <v>1238</v>
      </c>
      <c r="Z6" s="279">
        <v>1238</v>
      </c>
      <c r="AA6" s="279">
        <v>1350</v>
      </c>
      <c r="AB6" s="303">
        <v>1350</v>
      </c>
      <c r="AC6" s="54" t="s">
        <v>45</v>
      </c>
      <c r="AD6" s="367"/>
      <c r="AE6" s="448">
        <f t="shared" ref="AE6:AE35" si="0">AB6/AA6*100-100</f>
        <v>0</v>
      </c>
    </row>
    <row r="7" spans="1:31" ht="12.75" customHeight="1">
      <c r="A7"/>
      <c r="B7" s="119" t="s">
        <v>28</v>
      </c>
      <c r="C7" s="280">
        <v>1005</v>
      </c>
      <c r="D7" s="281">
        <v>1009</v>
      </c>
      <c r="E7" s="281">
        <v>1119</v>
      </c>
      <c r="F7" s="281">
        <v>762</v>
      </c>
      <c r="G7" s="281">
        <v>753</v>
      </c>
      <c r="H7" s="281">
        <v>680</v>
      </c>
      <c r="I7" s="281">
        <v>671</v>
      </c>
      <c r="J7" s="281">
        <v>657</v>
      </c>
      <c r="K7" s="281">
        <v>669</v>
      </c>
      <c r="L7" s="281">
        <v>687</v>
      </c>
      <c r="M7" s="281">
        <v>699</v>
      </c>
      <c r="N7" s="281">
        <v>713</v>
      </c>
      <c r="O7" s="281">
        <v>712</v>
      </c>
      <c r="P7" s="281">
        <v>624</v>
      </c>
      <c r="Q7" s="281">
        <v>474</v>
      </c>
      <c r="R7" s="281">
        <v>451</v>
      </c>
      <c r="S7" s="281">
        <v>504</v>
      </c>
      <c r="T7" s="281">
        <v>313</v>
      </c>
      <c r="U7" s="281">
        <v>440</v>
      </c>
      <c r="V7" s="281">
        <v>466</v>
      </c>
      <c r="W7" s="281">
        <v>461</v>
      </c>
      <c r="X7" s="457">
        <v>455</v>
      </c>
      <c r="Y7" s="457">
        <v>450</v>
      </c>
      <c r="Z7" s="796">
        <v>311</v>
      </c>
      <c r="AA7" s="796">
        <v>309</v>
      </c>
      <c r="AB7" s="488">
        <v>335</v>
      </c>
      <c r="AC7" s="52" t="s">
        <v>28</v>
      </c>
      <c r="AD7" s="367"/>
      <c r="AE7" s="449">
        <f t="shared" si="0"/>
        <v>8.4142394822006565</v>
      </c>
    </row>
    <row r="8" spans="1:31" ht="12.75" customHeight="1">
      <c r="A8"/>
      <c r="B8" s="10" t="s">
        <v>30</v>
      </c>
      <c r="C8" s="287"/>
      <c r="D8" s="288"/>
      <c r="E8" s="288"/>
      <c r="F8" s="279">
        <v>3596</v>
      </c>
      <c r="G8" s="279">
        <v>3481</v>
      </c>
      <c r="H8" s="279">
        <v>3301</v>
      </c>
      <c r="I8" s="279">
        <v>3280</v>
      </c>
      <c r="J8" s="279">
        <v>3258</v>
      </c>
      <c r="K8" s="279">
        <v>3163</v>
      </c>
      <c r="L8" s="279">
        <v>3037</v>
      </c>
      <c r="M8" s="279">
        <v>2921</v>
      </c>
      <c r="N8" s="279">
        <v>2758</v>
      </c>
      <c r="O8" s="279">
        <v>2746</v>
      </c>
      <c r="P8" s="289">
        <v>2258</v>
      </c>
      <c r="Q8" s="279">
        <v>2408</v>
      </c>
      <c r="R8" s="279">
        <v>2124</v>
      </c>
      <c r="S8" s="279">
        <v>2274</v>
      </c>
      <c r="T8" s="279">
        <v>2262</v>
      </c>
      <c r="U8" s="279">
        <v>2285</v>
      </c>
      <c r="V8" s="279">
        <v>2290</v>
      </c>
      <c r="W8" s="279">
        <v>2242</v>
      </c>
      <c r="X8" s="279">
        <v>2253</v>
      </c>
      <c r="Y8" s="279">
        <v>2162</v>
      </c>
      <c r="Z8" s="797">
        <v>2161</v>
      </c>
      <c r="AA8" s="797">
        <v>1850</v>
      </c>
      <c r="AB8" s="489">
        <v>1736</v>
      </c>
      <c r="AC8" s="54" t="s">
        <v>30</v>
      </c>
      <c r="AD8" s="368"/>
      <c r="AE8" s="448">
        <f t="shared" si="0"/>
        <v>-6.1621621621621614</v>
      </c>
    </row>
    <row r="9" spans="1:31" ht="12.75" customHeight="1">
      <c r="A9"/>
      <c r="B9" s="119" t="s">
        <v>41</v>
      </c>
      <c r="C9" s="280">
        <v>480</v>
      </c>
      <c r="D9" s="281">
        <v>461</v>
      </c>
      <c r="E9" s="342">
        <f>347+388</f>
        <v>735</v>
      </c>
      <c r="F9" s="281">
        <v>700</v>
      </c>
      <c r="G9" s="281">
        <v>693</v>
      </c>
      <c r="H9" s="281">
        <v>681</v>
      </c>
      <c r="I9" s="281">
        <v>724</v>
      </c>
      <c r="J9" s="281">
        <v>735</v>
      </c>
      <c r="K9" s="281">
        <v>755</v>
      </c>
      <c r="L9" s="281">
        <v>749</v>
      </c>
      <c r="M9" s="281">
        <v>675</v>
      </c>
      <c r="N9" s="281">
        <v>670</v>
      </c>
      <c r="O9" s="281">
        <v>684</v>
      </c>
      <c r="P9" s="281">
        <v>748</v>
      </c>
      <c r="Q9" s="281">
        <v>772</v>
      </c>
      <c r="R9" s="457">
        <v>814</v>
      </c>
      <c r="S9" s="281">
        <v>830</v>
      </c>
      <c r="T9" s="281">
        <v>844</v>
      </c>
      <c r="U9" s="281">
        <v>865</v>
      </c>
      <c r="V9" s="281">
        <v>881</v>
      </c>
      <c r="W9" s="281">
        <v>760</v>
      </c>
      <c r="X9" s="457">
        <v>709</v>
      </c>
      <c r="Y9" s="457">
        <v>723</v>
      </c>
      <c r="Z9" s="796">
        <v>741</v>
      </c>
      <c r="AA9" s="796">
        <v>725</v>
      </c>
      <c r="AB9" s="488">
        <v>740</v>
      </c>
      <c r="AC9" s="52" t="s">
        <v>41</v>
      </c>
      <c r="AD9" s="367"/>
      <c r="AE9" s="449">
        <f t="shared" si="0"/>
        <v>2.0689655172413808</v>
      </c>
    </row>
    <row r="10" spans="1:31" ht="12.75" customHeight="1">
      <c r="A10"/>
      <c r="B10" s="10" t="s">
        <v>46</v>
      </c>
      <c r="C10" s="290">
        <v>11439</v>
      </c>
      <c r="D10" s="279">
        <v>12694</v>
      </c>
      <c r="E10" s="279">
        <v>14437</v>
      </c>
      <c r="F10" s="279">
        <v>9656</v>
      </c>
      <c r="G10" s="279">
        <v>9998</v>
      </c>
      <c r="H10" s="279">
        <v>9036</v>
      </c>
      <c r="I10" s="279">
        <v>10363</v>
      </c>
      <c r="J10" s="279">
        <v>8293</v>
      </c>
      <c r="K10" s="279">
        <v>7742</v>
      </c>
      <c r="L10" s="291">
        <v>8817</v>
      </c>
      <c r="M10" s="279">
        <v>13890</v>
      </c>
      <c r="N10" s="279">
        <v>14565</v>
      </c>
      <c r="O10" s="279">
        <v>15337</v>
      </c>
      <c r="P10" s="279">
        <v>15613</v>
      </c>
      <c r="Q10" s="279">
        <v>15492</v>
      </c>
      <c r="R10" s="279">
        <v>15103</v>
      </c>
      <c r="S10" s="279">
        <v>15887</v>
      </c>
      <c r="T10" s="279">
        <v>16693</v>
      </c>
      <c r="U10" s="279">
        <v>16613</v>
      </c>
      <c r="V10" s="279">
        <v>16892</v>
      </c>
      <c r="W10" s="279">
        <v>16049</v>
      </c>
      <c r="X10" s="279">
        <v>16480</v>
      </c>
      <c r="Y10" s="279">
        <v>16804</v>
      </c>
      <c r="Z10" s="797">
        <v>17010</v>
      </c>
      <c r="AA10" s="797">
        <v>17314</v>
      </c>
      <c r="AB10" s="489">
        <v>17703</v>
      </c>
      <c r="AC10" s="54" t="s">
        <v>46</v>
      </c>
      <c r="AD10" s="367"/>
      <c r="AE10" s="448">
        <f t="shared" si="0"/>
        <v>2.246736744830784</v>
      </c>
    </row>
    <row r="11" spans="1:31" ht="12.75" customHeight="1">
      <c r="A11"/>
      <c r="B11" s="119" t="s">
        <v>31</v>
      </c>
      <c r="C11" s="280"/>
      <c r="D11" s="281"/>
      <c r="E11" s="292">
        <v>300</v>
      </c>
      <c r="F11" s="335">
        <v>196</v>
      </c>
      <c r="G11" s="281">
        <v>194</v>
      </c>
      <c r="H11" s="281">
        <v>236</v>
      </c>
      <c r="I11" s="281">
        <v>241</v>
      </c>
      <c r="J11" s="281">
        <v>360</v>
      </c>
      <c r="K11" s="281">
        <v>344</v>
      </c>
      <c r="L11" s="281">
        <v>409</v>
      </c>
      <c r="M11" s="281">
        <v>461</v>
      </c>
      <c r="N11" s="281">
        <v>368</v>
      </c>
      <c r="O11" s="281">
        <v>361</v>
      </c>
      <c r="P11" s="281">
        <v>374</v>
      </c>
      <c r="Q11" s="281">
        <v>359</v>
      </c>
      <c r="R11" s="281">
        <v>347</v>
      </c>
      <c r="S11" s="281">
        <v>359</v>
      </c>
      <c r="T11" s="281">
        <v>368</v>
      </c>
      <c r="U11" s="281">
        <v>358</v>
      </c>
      <c r="V11" s="281">
        <v>358</v>
      </c>
      <c r="W11" s="281">
        <v>349</v>
      </c>
      <c r="X11" s="457">
        <v>343</v>
      </c>
      <c r="Y11" s="457">
        <v>266</v>
      </c>
      <c r="Z11" s="457">
        <v>238</v>
      </c>
      <c r="AA11" s="457">
        <v>210</v>
      </c>
      <c r="AB11" s="302">
        <v>212</v>
      </c>
      <c r="AC11" s="52" t="s">
        <v>31</v>
      </c>
      <c r="AD11" s="367"/>
      <c r="AE11" s="449">
        <f t="shared" si="0"/>
        <v>0.952380952380949</v>
      </c>
    </row>
    <row r="12" spans="1:31" ht="12.75" customHeight="1">
      <c r="A12"/>
      <c r="B12" s="10" t="s">
        <v>49</v>
      </c>
      <c r="C12" s="278">
        <v>307</v>
      </c>
      <c r="D12" s="279">
        <v>192</v>
      </c>
      <c r="E12" s="279">
        <v>166</v>
      </c>
      <c r="F12" s="279">
        <v>224</v>
      </c>
      <c r="G12" s="279">
        <v>224</v>
      </c>
      <c r="H12" s="279">
        <v>225</v>
      </c>
      <c r="I12" s="279">
        <v>268</v>
      </c>
      <c r="J12" s="293">
        <v>306</v>
      </c>
      <c r="K12" s="293">
        <v>412</v>
      </c>
      <c r="L12" s="293">
        <v>428</v>
      </c>
      <c r="M12" s="293">
        <v>428</v>
      </c>
      <c r="N12" s="293">
        <v>549</v>
      </c>
      <c r="O12" s="293">
        <v>572</v>
      </c>
      <c r="P12" s="294">
        <v>572</v>
      </c>
      <c r="Q12" s="293">
        <v>374</v>
      </c>
      <c r="R12" s="357">
        <v>482</v>
      </c>
      <c r="S12" s="293">
        <v>482</v>
      </c>
      <c r="T12" s="293">
        <v>482</v>
      </c>
      <c r="U12" s="293">
        <v>482</v>
      </c>
      <c r="V12" s="293">
        <v>482</v>
      </c>
      <c r="W12" s="293">
        <v>482</v>
      </c>
      <c r="X12" s="293">
        <v>482</v>
      </c>
      <c r="Y12" s="293">
        <v>482</v>
      </c>
      <c r="Z12" s="293">
        <v>482</v>
      </c>
      <c r="AA12" s="294">
        <f>Z12</f>
        <v>482</v>
      </c>
      <c r="AB12" s="528">
        <f>AA12</f>
        <v>482</v>
      </c>
      <c r="AC12" s="54" t="s">
        <v>49</v>
      </c>
      <c r="AD12" s="367"/>
      <c r="AE12" s="448">
        <f t="shared" si="0"/>
        <v>0</v>
      </c>
    </row>
    <row r="13" spans="1:31" ht="12.75" customHeight="1">
      <c r="A13"/>
      <c r="B13" s="119" t="s">
        <v>42</v>
      </c>
      <c r="C13" s="280">
        <v>514</v>
      </c>
      <c r="D13" s="281">
        <v>313</v>
      </c>
      <c r="E13" s="281">
        <v>400</v>
      </c>
      <c r="F13" s="281">
        <v>244</v>
      </c>
      <c r="G13" s="281">
        <v>290</v>
      </c>
      <c r="H13" s="281">
        <v>278</v>
      </c>
      <c r="I13" s="281">
        <v>237</v>
      </c>
      <c r="J13" s="281">
        <v>269</v>
      </c>
      <c r="K13" s="281">
        <v>289</v>
      </c>
      <c r="L13" s="281">
        <v>284</v>
      </c>
      <c r="M13" s="281">
        <v>295</v>
      </c>
      <c r="N13" s="281">
        <v>301</v>
      </c>
      <c r="O13" s="281">
        <v>301</v>
      </c>
      <c r="P13" s="335">
        <v>306</v>
      </c>
      <c r="Q13" s="281">
        <v>306</v>
      </c>
      <c r="R13" s="281">
        <v>306</v>
      </c>
      <c r="S13" s="281">
        <v>308</v>
      </c>
      <c r="T13" s="281">
        <v>258</v>
      </c>
      <c r="U13" s="281">
        <v>258</v>
      </c>
      <c r="V13" s="281">
        <v>258</v>
      </c>
      <c r="W13" s="281">
        <v>258</v>
      </c>
      <c r="X13" s="292">
        <v>258</v>
      </c>
      <c r="Y13" s="457">
        <v>217</v>
      </c>
      <c r="Z13" s="457">
        <v>217</v>
      </c>
      <c r="AA13" s="457">
        <v>217</v>
      </c>
      <c r="AB13" s="302">
        <v>218</v>
      </c>
      <c r="AC13" s="52" t="s">
        <v>42</v>
      </c>
      <c r="AD13" s="367"/>
      <c r="AE13" s="449">
        <f t="shared" si="0"/>
        <v>0.46082949308757293</v>
      </c>
    </row>
    <row r="14" spans="1:31" ht="12.75" customHeight="1">
      <c r="A14"/>
      <c r="B14" s="10" t="s">
        <v>47</v>
      </c>
      <c r="C14" s="278">
        <v>1928</v>
      </c>
      <c r="D14" s="279">
        <v>1791</v>
      </c>
      <c r="E14" s="279">
        <v>1922</v>
      </c>
      <c r="F14" s="279">
        <v>1693</v>
      </c>
      <c r="G14" s="279">
        <v>1951</v>
      </c>
      <c r="H14" s="279">
        <v>1931</v>
      </c>
      <c r="I14" s="279">
        <v>1911</v>
      </c>
      <c r="J14" s="279">
        <v>1928</v>
      </c>
      <c r="K14" s="279">
        <v>1946</v>
      </c>
      <c r="L14" s="293">
        <v>1745</v>
      </c>
      <c r="M14" s="279">
        <v>1918</v>
      </c>
      <c r="N14" s="279">
        <v>1983</v>
      </c>
      <c r="O14" s="279">
        <v>1670</v>
      </c>
      <c r="P14" s="279">
        <v>1732</v>
      </c>
      <c r="Q14" s="279">
        <v>2052</v>
      </c>
      <c r="R14" s="279">
        <v>1785</v>
      </c>
      <c r="S14" s="279">
        <v>1782</v>
      </c>
      <c r="T14" s="279">
        <v>1959</v>
      </c>
      <c r="U14" s="279">
        <v>1634</v>
      </c>
      <c r="V14" s="279">
        <v>1512</v>
      </c>
      <c r="W14" s="279">
        <v>1502</v>
      </c>
      <c r="X14" s="279">
        <v>1481</v>
      </c>
      <c r="Y14" s="279">
        <v>1595</v>
      </c>
      <c r="Z14" s="279">
        <v>1595</v>
      </c>
      <c r="AA14" s="279">
        <v>1590</v>
      </c>
      <c r="AB14" s="303">
        <v>1580</v>
      </c>
      <c r="AC14" s="54" t="s">
        <v>47</v>
      </c>
      <c r="AD14" s="367"/>
      <c r="AE14" s="448">
        <f t="shared" si="0"/>
        <v>-0.62893081761006897</v>
      </c>
    </row>
    <row r="15" spans="1:31" ht="12.75" customHeight="1">
      <c r="A15"/>
      <c r="B15" s="119" t="s">
        <v>48</v>
      </c>
      <c r="C15" s="280">
        <v>6261</v>
      </c>
      <c r="D15" s="281">
        <v>6204</v>
      </c>
      <c r="E15" s="281">
        <v>7422</v>
      </c>
      <c r="F15" s="281">
        <v>7158</v>
      </c>
      <c r="G15" s="281">
        <v>7240</v>
      </c>
      <c r="H15" s="281">
        <v>7341</v>
      </c>
      <c r="I15" s="281">
        <v>7240</v>
      </c>
      <c r="J15" s="281">
        <v>7149</v>
      </c>
      <c r="K15" s="281">
        <v>6948</v>
      </c>
      <c r="L15" s="281">
        <v>5585</v>
      </c>
      <c r="M15" s="281">
        <v>5880</v>
      </c>
      <c r="N15" s="281">
        <v>6227</v>
      </c>
      <c r="O15" s="281">
        <v>6548</v>
      </c>
      <c r="P15" s="281">
        <v>6849</v>
      </c>
      <c r="Q15" s="281">
        <v>7028</v>
      </c>
      <c r="R15" s="281">
        <v>7240</v>
      </c>
      <c r="S15" s="342">
        <v>11155</v>
      </c>
      <c r="T15" s="281">
        <v>11347</v>
      </c>
      <c r="U15" s="281">
        <v>11731</v>
      </c>
      <c r="V15" s="281">
        <v>11965</v>
      </c>
      <c r="W15" s="281">
        <v>12081</v>
      </c>
      <c r="X15" s="281">
        <v>12430</v>
      </c>
      <c r="Y15" s="281">
        <v>12492</v>
      </c>
      <c r="Z15" s="281">
        <v>12313</v>
      </c>
      <c r="AA15" s="281">
        <v>11238</v>
      </c>
      <c r="AB15" s="304">
        <v>11022</v>
      </c>
      <c r="AC15" s="209" t="s">
        <v>48</v>
      </c>
      <c r="AD15" s="367"/>
      <c r="AE15" s="525">
        <f t="shared" si="0"/>
        <v>-1.9220501868659881</v>
      </c>
    </row>
    <row r="16" spans="1:31" ht="12.75" customHeight="1">
      <c r="A16"/>
      <c r="B16" s="10" t="s">
        <v>59</v>
      </c>
      <c r="C16" s="278">
        <v>588</v>
      </c>
      <c r="D16" s="279">
        <v>565</v>
      </c>
      <c r="E16" s="279">
        <v>563</v>
      </c>
      <c r="F16" s="279">
        <v>480</v>
      </c>
      <c r="G16" s="279">
        <v>397</v>
      </c>
      <c r="H16" s="279">
        <v>396</v>
      </c>
      <c r="I16" s="279">
        <v>393</v>
      </c>
      <c r="J16" s="279">
        <v>388</v>
      </c>
      <c r="K16" s="279">
        <v>377</v>
      </c>
      <c r="L16" s="279">
        <v>374</v>
      </c>
      <c r="M16" s="279">
        <v>339</v>
      </c>
      <c r="N16" s="279">
        <v>345</v>
      </c>
      <c r="O16" s="279">
        <v>347</v>
      </c>
      <c r="P16" s="279">
        <v>284</v>
      </c>
      <c r="Q16" s="279">
        <v>296</v>
      </c>
      <c r="R16" s="286">
        <v>296</v>
      </c>
      <c r="S16" s="279">
        <v>301</v>
      </c>
      <c r="T16" s="279">
        <v>301</v>
      </c>
      <c r="U16" s="279">
        <v>298</v>
      </c>
      <c r="V16" s="279">
        <v>298</v>
      </c>
      <c r="W16" s="279">
        <v>298</v>
      </c>
      <c r="X16" s="279">
        <v>298</v>
      </c>
      <c r="Y16" s="279">
        <v>266</v>
      </c>
      <c r="Z16" s="279">
        <v>267</v>
      </c>
      <c r="AA16" s="279">
        <v>229</v>
      </c>
      <c r="AB16" s="303">
        <v>224</v>
      </c>
      <c r="AC16" s="54" t="s">
        <v>59</v>
      </c>
      <c r="AD16" s="367"/>
      <c r="AE16" s="448">
        <f t="shared" si="0"/>
        <v>-2.1834061135371172</v>
      </c>
    </row>
    <row r="17" spans="2:31" ht="12.75" customHeight="1">
      <c r="B17" s="119" t="s">
        <v>50</v>
      </c>
      <c r="C17" s="280">
        <v>4715</v>
      </c>
      <c r="D17" s="281">
        <v>4916</v>
      </c>
      <c r="E17" s="281">
        <v>4818</v>
      </c>
      <c r="F17" s="281">
        <v>4697</v>
      </c>
      <c r="G17" s="281">
        <v>4650</v>
      </c>
      <c r="H17" s="281">
        <v>5205</v>
      </c>
      <c r="I17" s="281">
        <v>4937</v>
      </c>
      <c r="J17" s="281">
        <v>4901</v>
      </c>
      <c r="K17" s="281">
        <v>4674</v>
      </c>
      <c r="L17" s="281">
        <v>5008</v>
      </c>
      <c r="M17" s="281">
        <v>4683</v>
      </c>
      <c r="N17" s="281">
        <v>4621</v>
      </c>
      <c r="O17" s="281">
        <v>4691</v>
      </c>
      <c r="P17" s="281">
        <v>4494</v>
      </c>
      <c r="Q17" s="281">
        <v>3862</v>
      </c>
      <c r="R17" s="281">
        <v>3650</v>
      </c>
      <c r="S17" s="281">
        <v>3243</v>
      </c>
      <c r="T17" s="281">
        <v>3285</v>
      </c>
      <c r="U17" s="281">
        <v>2631</v>
      </c>
      <c r="V17" s="281">
        <v>2991</v>
      </c>
      <c r="W17" s="281">
        <v>1869</v>
      </c>
      <c r="X17" s="281">
        <v>2137</v>
      </c>
      <c r="Y17" s="281">
        <v>2048</v>
      </c>
      <c r="Z17" s="281">
        <v>1947</v>
      </c>
      <c r="AA17" s="281">
        <v>2048</v>
      </c>
      <c r="AB17" s="304">
        <v>1773</v>
      </c>
      <c r="AC17" s="209" t="s">
        <v>50</v>
      </c>
      <c r="AD17" s="367"/>
      <c r="AE17" s="206">
        <f t="shared" si="0"/>
        <v>-13.427734375</v>
      </c>
    </row>
    <row r="18" spans="2:31" ht="12.75" customHeight="1">
      <c r="B18" s="10" t="s">
        <v>29</v>
      </c>
      <c r="C18" s="287" t="s">
        <v>58</v>
      </c>
      <c r="D18" s="288" t="s">
        <v>58</v>
      </c>
      <c r="E18" s="288" t="s">
        <v>58</v>
      </c>
      <c r="F18" s="288" t="s">
        <v>58</v>
      </c>
      <c r="G18" s="288" t="s">
        <v>58</v>
      </c>
      <c r="H18" s="288" t="s">
        <v>58</v>
      </c>
      <c r="I18" s="288" t="s">
        <v>58</v>
      </c>
      <c r="J18" s="288" t="s">
        <v>58</v>
      </c>
      <c r="K18" s="288" t="s">
        <v>58</v>
      </c>
      <c r="L18" s="288" t="s">
        <v>58</v>
      </c>
      <c r="M18" s="288" t="s">
        <v>58</v>
      </c>
      <c r="N18" s="288" t="s">
        <v>58</v>
      </c>
      <c r="O18" s="288" t="s">
        <v>58</v>
      </c>
      <c r="P18" s="288" t="s">
        <v>58</v>
      </c>
      <c r="Q18" s="288" t="s">
        <v>58</v>
      </c>
      <c r="R18" s="288" t="s">
        <v>58</v>
      </c>
      <c r="S18" s="288" t="s">
        <v>58</v>
      </c>
      <c r="T18" s="288" t="s">
        <v>58</v>
      </c>
      <c r="U18" s="288" t="s">
        <v>58</v>
      </c>
      <c r="V18" s="288" t="s">
        <v>58</v>
      </c>
      <c r="W18" s="288" t="s">
        <v>58</v>
      </c>
      <c r="X18" s="288" t="s">
        <v>58</v>
      </c>
      <c r="Y18" s="288" t="s">
        <v>58</v>
      </c>
      <c r="Z18" s="288" t="s">
        <v>58</v>
      </c>
      <c r="AA18" s="288" t="s">
        <v>58</v>
      </c>
      <c r="AB18" s="288" t="s">
        <v>58</v>
      </c>
      <c r="AC18" s="54" t="s">
        <v>29</v>
      </c>
      <c r="AD18" s="367"/>
      <c r="AE18" s="886" t="s">
        <v>58</v>
      </c>
    </row>
    <row r="19" spans="2:31" ht="12.75" customHeight="1">
      <c r="B19" s="119" t="s">
        <v>33</v>
      </c>
      <c r="C19" s="280"/>
      <c r="D19" s="281"/>
      <c r="E19" s="281">
        <v>739</v>
      </c>
      <c r="F19" s="281">
        <v>429</v>
      </c>
      <c r="G19" s="281">
        <v>399</v>
      </c>
      <c r="H19" s="281">
        <v>388</v>
      </c>
      <c r="I19" s="281">
        <v>388</v>
      </c>
      <c r="J19" s="281">
        <v>376</v>
      </c>
      <c r="K19" s="295">
        <v>353</v>
      </c>
      <c r="L19" s="281">
        <v>348</v>
      </c>
      <c r="M19" s="281">
        <v>346</v>
      </c>
      <c r="N19" s="281">
        <v>329</v>
      </c>
      <c r="O19" s="281">
        <v>393</v>
      </c>
      <c r="P19" s="281">
        <v>356</v>
      </c>
      <c r="Q19" s="281">
        <v>358</v>
      </c>
      <c r="R19" s="281">
        <v>354</v>
      </c>
      <c r="S19" s="281">
        <v>361</v>
      </c>
      <c r="T19" s="281">
        <v>358</v>
      </c>
      <c r="U19" s="281">
        <v>359</v>
      </c>
      <c r="V19" s="281">
        <v>363</v>
      </c>
      <c r="W19" s="281">
        <v>351</v>
      </c>
      <c r="X19" s="281">
        <v>325</v>
      </c>
      <c r="Y19" s="281">
        <v>325</v>
      </c>
      <c r="Z19" s="281">
        <v>305</v>
      </c>
      <c r="AA19" s="281">
        <v>280</v>
      </c>
      <c r="AB19" s="304">
        <v>262</v>
      </c>
      <c r="AC19" s="209" t="s">
        <v>33</v>
      </c>
      <c r="AD19" s="367"/>
      <c r="AE19" s="206">
        <f t="shared" si="0"/>
        <v>-6.4285714285714306</v>
      </c>
    </row>
    <row r="20" spans="2:31" ht="12.75" customHeight="1">
      <c r="B20" s="10" t="s">
        <v>34</v>
      </c>
      <c r="C20" s="278"/>
      <c r="D20" s="279"/>
      <c r="E20" s="286">
        <v>389</v>
      </c>
      <c r="F20" s="279">
        <v>341</v>
      </c>
      <c r="G20" s="279">
        <v>328</v>
      </c>
      <c r="H20" s="279">
        <v>315</v>
      </c>
      <c r="I20" s="279">
        <v>314</v>
      </c>
      <c r="J20" s="279">
        <v>313</v>
      </c>
      <c r="K20" s="279">
        <v>311</v>
      </c>
      <c r="L20" s="279">
        <v>314</v>
      </c>
      <c r="M20" s="279">
        <v>314</v>
      </c>
      <c r="N20" s="279">
        <v>315</v>
      </c>
      <c r="O20" s="279">
        <v>321</v>
      </c>
      <c r="P20" s="279">
        <v>326</v>
      </c>
      <c r="Q20" s="279">
        <v>317</v>
      </c>
      <c r="R20" s="279">
        <v>303</v>
      </c>
      <c r="S20" s="279">
        <v>320</v>
      </c>
      <c r="T20" s="279">
        <v>290</v>
      </c>
      <c r="U20" s="279">
        <v>277</v>
      </c>
      <c r="V20" s="279">
        <v>286</v>
      </c>
      <c r="W20" s="279">
        <v>274</v>
      </c>
      <c r="X20" s="279">
        <v>274</v>
      </c>
      <c r="Y20" s="279">
        <v>268</v>
      </c>
      <c r="Z20" s="279">
        <v>269</v>
      </c>
      <c r="AA20" s="279">
        <v>273</v>
      </c>
      <c r="AB20" s="303">
        <v>260</v>
      </c>
      <c r="AC20" s="54" t="s">
        <v>34</v>
      </c>
      <c r="AD20" s="368"/>
      <c r="AE20" s="183">
        <f t="shared" si="0"/>
        <v>-4.7619047619047734</v>
      </c>
    </row>
    <row r="21" spans="2:31" ht="12.75" customHeight="1">
      <c r="B21" s="119" t="s">
        <v>51</v>
      </c>
      <c r="C21" s="280">
        <v>95</v>
      </c>
      <c r="D21" s="281">
        <v>85</v>
      </c>
      <c r="E21" s="281">
        <v>97</v>
      </c>
      <c r="F21" s="281">
        <v>124</v>
      </c>
      <c r="G21" s="281">
        <v>132</v>
      </c>
      <c r="H21" s="281">
        <v>131</v>
      </c>
      <c r="I21" s="281">
        <v>141</v>
      </c>
      <c r="J21" s="281">
        <v>141</v>
      </c>
      <c r="K21" s="281">
        <v>145</v>
      </c>
      <c r="L21" s="281">
        <v>128</v>
      </c>
      <c r="M21" s="281">
        <v>99</v>
      </c>
      <c r="N21" s="281">
        <v>96</v>
      </c>
      <c r="O21" s="281">
        <v>99</v>
      </c>
      <c r="P21" s="281">
        <v>91</v>
      </c>
      <c r="Q21" s="281">
        <v>89</v>
      </c>
      <c r="R21" s="281">
        <v>98</v>
      </c>
      <c r="S21" s="281">
        <v>92</v>
      </c>
      <c r="T21" s="281">
        <v>89</v>
      </c>
      <c r="U21" s="342">
        <v>126</v>
      </c>
      <c r="V21" s="281">
        <v>125</v>
      </c>
      <c r="W21" s="281">
        <v>136</v>
      </c>
      <c r="X21" s="281">
        <v>134</v>
      </c>
      <c r="Y21" s="281">
        <v>134</v>
      </c>
      <c r="Z21" s="296">
        <f>Y21</f>
        <v>134</v>
      </c>
      <c r="AA21" s="281">
        <v>134</v>
      </c>
      <c r="AB21" s="304">
        <v>130</v>
      </c>
      <c r="AC21" s="209" t="s">
        <v>51</v>
      </c>
      <c r="AD21" s="367"/>
      <c r="AE21" s="206">
        <f t="shared" si="0"/>
        <v>-2.9850746268656678</v>
      </c>
    </row>
    <row r="22" spans="2:31" ht="12.75" customHeight="1">
      <c r="B22" s="10" t="s">
        <v>32</v>
      </c>
      <c r="C22" s="278"/>
      <c r="D22" s="279"/>
      <c r="E22" s="279">
        <v>2040</v>
      </c>
      <c r="F22" s="279">
        <v>1453</v>
      </c>
      <c r="G22" s="279">
        <v>1442</v>
      </c>
      <c r="H22" s="279">
        <v>1363</v>
      </c>
      <c r="I22" s="279">
        <v>1458</v>
      </c>
      <c r="J22" s="279">
        <v>1328</v>
      </c>
      <c r="K22" s="291">
        <v>1385</v>
      </c>
      <c r="L22" s="279">
        <v>1400</v>
      </c>
      <c r="M22" s="279">
        <v>1413</v>
      </c>
      <c r="N22" s="279">
        <v>1428</v>
      </c>
      <c r="O22" s="279">
        <v>1458</v>
      </c>
      <c r="P22" s="279">
        <v>1275</v>
      </c>
      <c r="Q22" s="279">
        <v>1282</v>
      </c>
      <c r="R22" s="279">
        <v>1286</v>
      </c>
      <c r="S22" s="279">
        <v>1225</v>
      </c>
      <c r="T22" s="279">
        <v>1229</v>
      </c>
      <c r="U22" s="279">
        <v>1225</v>
      </c>
      <c r="V22" s="279">
        <v>1204</v>
      </c>
      <c r="W22" s="279">
        <v>1180</v>
      </c>
      <c r="X22" s="279">
        <v>1081</v>
      </c>
      <c r="Y22" s="279">
        <v>1081</v>
      </c>
      <c r="Z22" s="279">
        <v>1071</v>
      </c>
      <c r="AA22" s="279">
        <v>1035</v>
      </c>
      <c r="AB22" s="303">
        <v>1029</v>
      </c>
      <c r="AC22" s="54" t="s">
        <v>32</v>
      </c>
      <c r="AD22" s="367"/>
      <c r="AE22" s="183">
        <f t="shared" si="0"/>
        <v>-0.5797101449275317</v>
      </c>
    </row>
    <row r="23" spans="2:31" ht="12.75" customHeight="1">
      <c r="B23" s="119" t="s">
        <v>35</v>
      </c>
      <c r="C23" s="297" t="s">
        <v>58</v>
      </c>
      <c r="D23" s="298" t="s">
        <v>58</v>
      </c>
      <c r="E23" s="336" t="s">
        <v>58</v>
      </c>
      <c r="F23" s="336" t="s">
        <v>58</v>
      </c>
      <c r="G23" s="336" t="s">
        <v>58</v>
      </c>
      <c r="H23" s="336" t="s">
        <v>58</v>
      </c>
      <c r="I23" s="336" t="s">
        <v>58</v>
      </c>
      <c r="J23" s="336" t="s">
        <v>58</v>
      </c>
      <c r="K23" s="336" t="s">
        <v>58</v>
      </c>
      <c r="L23" s="336" t="s">
        <v>58</v>
      </c>
      <c r="M23" s="336" t="s">
        <v>58</v>
      </c>
      <c r="N23" s="336" t="s">
        <v>58</v>
      </c>
      <c r="O23" s="336" t="s">
        <v>58</v>
      </c>
      <c r="P23" s="336" t="s">
        <v>58</v>
      </c>
      <c r="Q23" s="336" t="s">
        <v>58</v>
      </c>
      <c r="R23" s="336" t="s">
        <v>58</v>
      </c>
      <c r="S23" s="336" t="s">
        <v>58</v>
      </c>
      <c r="T23" s="336" t="s">
        <v>58</v>
      </c>
      <c r="U23" s="336" t="s">
        <v>58</v>
      </c>
      <c r="V23" s="336" t="s">
        <v>58</v>
      </c>
      <c r="W23" s="336" t="s">
        <v>58</v>
      </c>
      <c r="X23" s="336" t="s">
        <v>58</v>
      </c>
      <c r="Y23" s="336" t="s">
        <v>58</v>
      </c>
      <c r="Z23" s="336" t="s">
        <v>58</v>
      </c>
      <c r="AA23" s="336" t="s">
        <v>58</v>
      </c>
      <c r="AB23" s="337" t="s">
        <v>58</v>
      </c>
      <c r="AC23" s="209" t="s">
        <v>35</v>
      </c>
      <c r="AD23" s="367"/>
      <c r="AE23" s="885" t="s">
        <v>58</v>
      </c>
    </row>
    <row r="24" spans="2:31" ht="12.75" customHeight="1">
      <c r="B24" s="10" t="s">
        <v>43</v>
      </c>
      <c r="C24" s="278">
        <v>2140</v>
      </c>
      <c r="D24" s="279">
        <v>2174</v>
      </c>
      <c r="E24" s="279">
        <v>2372</v>
      </c>
      <c r="F24" s="279">
        <v>1965</v>
      </c>
      <c r="G24" s="279">
        <v>2128</v>
      </c>
      <c r="H24" s="279">
        <v>2029</v>
      </c>
      <c r="I24" s="279">
        <v>2118</v>
      </c>
      <c r="J24" s="279">
        <v>2076</v>
      </c>
      <c r="K24" s="279">
        <v>2078</v>
      </c>
      <c r="L24" s="279">
        <v>2025</v>
      </c>
      <c r="M24" s="279">
        <v>2033</v>
      </c>
      <c r="N24" s="279">
        <v>2079</v>
      </c>
      <c r="O24" s="279">
        <v>2027</v>
      </c>
      <c r="P24" s="279">
        <v>2411</v>
      </c>
      <c r="Q24" s="279">
        <v>2427</v>
      </c>
      <c r="R24" s="279">
        <v>2443</v>
      </c>
      <c r="S24" s="279">
        <v>2416</v>
      </c>
      <c r="T24" s="279">
        <v>2851</v>
      </c>
      <c r="U24" s="279">
        <v>2780</v>
      </c>
      <c r="V24" s="279">
        <v>3088</v>
      </c>
      <c r="W24" s="279">
        <v>3193</v>
      </c>
      <c r="X24" s="279">
        <v>3272</v>
      </c>
      <c r="Y24" s="279">
        <v>3333</v>
      </c>
      <c r="Z24" s="279">
        <v>3349</v>
      </c>
      <c r="AA24" s="279">
        <v>3670</v>
      </c>
      <c r="AB24" s="303">
        <v>3483</v>
      </c>
      <c r="AC24" s="54" t="s">
        <v>43</v>
      </c>
      <c r="AD24" s="367"/>
      <c r="AE24" s="183">
        <f t="shared" si="0"/>
        <v>-5.0953678474114525</v>
      </c>
    </row>
    <row r="25" spans="2:31" ht="12.75" customHeight="1">
      <c r="B25" s="119" t="s">
        <v>52</v>
      </c>
      <c r="C25" s="280">
        <v>1423</v>
      </c>
      <c r="D25" s="281">
        <v>1428</v>
      </c>
      <c r="E25" s="281">
        <v>1543</v>
      </c>
      <c r="F25" s="281">
        <v>1530</v>
      </c>
      <c r="G25" s="281">
        <v>1606</v>
      </c>
      <c r="H25" s="281">
        <v>1555</v>
      </c>
      <c r="I25" s="281">
        <v>1556</v>
      </c>
      <c r="J25" s="281">
        <v>1610</v>
      </c>
      <c r="K25" s="281">
        <v>1500</v>
      </c>
      <c r="L25" s="281">
        <v>1639</v>
      </c>
      <c r="M25" s="281">
        <v>1725</v>
      </c>
      <c r="N25" s="281">
        <v>1668</v>
      </c>
      <c r="O25" s="281">
        <v>1660</v>
      </c>
      <c r="P25" s="342">
        <v>2081</v>
      </c>
      <c r="Q25" s="281">
        <v>2068</v>
      </c>
      <c r="R25" s="281">
        <v>2114</v>
      </c>
      <c r="S25" s="281">
        <v>2023</v>
      </c>
      <c r="T25" s="281">
        <v>2033</v>
      </c>
      <c r="U25" s="281">
        <v>1972</v>
      </c>
      <c r="V25" s="281">
        <v>1973</v>
      </c>
      <c r="W25" s="281">
        <v>1994</v>
      </c>
      <c r="X25" s="529">
        <v>1915</v>
      </c>
      <c r="Y25" s="529">
        <v>1949</v>
      </c>
      <c r="Z25" s="529">
        <v>2217</v>
      </c>
      <c r="AA25" s="529">
        <v>2193</v>
      </c>
      <c r="AB25" s="530">
        <v>2122</v>
      </c>
      <c r="AC25" s="209" t="s">
        <v>52</v>
      </c>
      <c r="AD25" s="367"/>
      <c r="AE25" s="206">
        <f t="shared" si="0"/>
        <v>-3.2375740994071975</v>
      </c>
    </row>
    <row r="26" spans="2:31" ht="12.75" customHeight="1">
      <c r="B26" s="10" t="s">
        <v>36</v>
      </c>
      <c r="C26" s="278"/>
      <c r="D26" s="279"/>
      <c r="E26" s="279">
        <v>5483</v>
      </c>
      <c r="F26" s="279">
        <v>5293</v>
      </c>
      <c r="G26" s="279">
        <v>5286</v>
      </c>
      <c r="H26" s="279">
        <v>5386</v>
      </c>
      <c r="I26" s="279">
        <v>5479</v>
      </c>
      <c r="J26" s="279">
        <v>5623</v>
      </c>
      <c r="K26" s="279">
        <v>5828</v>
      </c>
      <c r="L26" s="279">
        <v>5579</v>
      </c>
      <c r="M26" s="279">
        <v>5744</v>
      </c>
      <c r="N26" s="279">
        <v>5821</v>
      </c>
      <c r="O26" s="279">
        <v>5770</v>
      </c>
      <c r="P26" s="279">
        <v>5657</v>
      </c>
      <c r="Q26" s="279">
        <v>5637</v>
      </c>
      <c r="R26" s="279">
        <v>5548</v>
      </c>
      <c r="S26" s="279">
        <v>5521</v>
      </c>
      <c r="T26" s="279">
        <v>5615</v>
      </c>
      <c r="U26" s="279">
        <v>5526</v>
      </c>
      <c r="V26" s="279">
        <v>5384</v>
      </c>
      <c r="W26" s="279">
        <v>5270</v>
      </c>
      <c r="X26" s="279">
        <v>5295</v>
      </c>
      <c r="Y26" s="279">
        <v>5197</v>
      </c>
      <c r="Z26" s="279">
        <v>7846</v>
      </c>
      <c r="AA26" s="279">
        <v>7127</v>
      </c>
      <c r="AB26" s="303">
        <v>6747</v>
      </c>
      <c r="AC26" s="54" t="s">
        <v>36</v>
      </c>
      <c r="AD26" s="367"/>
      <c r="AE26" s="183">
        <f t="shared" si="0"/>
        <v>-5.3318366774238797</v>
      </c>
    </row>
    <row r="27" spans="2:31" ht="12.75" customHeight="1">
      <c r="B27" s="119" t="s">
        <v>53</v>
      </c>
      <c r="C27" s="280">
        <v>626</v>
      </c>
      <c r="D27" s="281">
        <v>583</v>
      </c>
      <c r="E27" s="281">
        <v>530</v>
      </c>
      <c r="F27" s="281">
        <v>589</v>
      </c>
      <c r="G27" s="281">
        <v>536</v>
      </c>
      <c r="H27" s="281">
        <v>515</v>
      </c>
      <c r="I27" s="281">
        <v>506</v>
      </c>
      <c r="J27" s="281">
        <v>463</v>
      </c>
      <c r="K27" s="281">
        <v>439</v>
      </c>
      <c r="L27" s="281">
        <v>429</v>
      </c>
      <c r="M27" s="281">
        <v>433</v>
      </c>
      <c r="N27" s="281">
        <v>431</v>
      </c>
      <c r="O27" s="281">
        <v>436</v>
      </c>
      <c r="P27" s="281">
        <v>363</v>
      </c>
      <c r="Q27" s="281">
        <v>383</v>
      </c>
      <c r="R27" s="281">
        <v>323</v>
      </c>
      <c r="S27" s="281">
        <v>339</v>
      </c>
      <c r="T27" s="281">
        <v>309</v>
      </c>
      <c r="U27" s="342">
        <v>363</v>
      </c>
      <c r="V27" s="281">
        <v>360</v>
      </c>
      <c r="W27" s="281">
        <v>368</v>
      </c>
      <c r="X27" s="281">
        <v>370</v>
      </c>
      <c r="Y27" s="281">
        <v>377</v>
      </c>
      <c r="Z27" s="281">
        <v>383</v>
      </c>
      <c r="AA27" s="281">
        <v>394</v>
      </c>
      <c r="AB27" s="304">
        <v>377</v>
      </c>
      <c r="AC27" s="209" t="s">
        <v>53</v>
      </c>
      <c r="AD27" s="367"/>
      <c r="AE27" s="206">
        <f t="shared" si="0"/>
        <v>-4.3147208121827418</v>
      </c>
    </row>
    <row r="28" spans="2:31" ht="12.75" customHeight="1">
      <c r="B28" s="10" t="s">
        <v>37</v>
      </c>
      <c r="C28" s="278"/>
      <c r="D28" s="279">
        <v>4564</v>
      </c>
      <c r="E28" s="279">
        <v>4515</v>
      </c>
      <c r="F28" s="279">
        <v>3440</v>
      </c>
      <c r="G28" s="279">
        <v>3341</v>
      </c>
      <c r="H28" s="279">
        <v>3594</v>
      </c>
      <c r="I28" s="279">
        <v>2173</v>
      </c>
      <c r="J28" s="279">
        <v>2071</v>
      </c>
      <c r="K28" s="279">
        <v>2186</v>
      </c>
      <c r="L28" s="279">
        <v>2220</v>
      </c>
      <c r="M28" s="279">
        <v>2262</v>
      </c>
      <c r="N28" s="279">
        <v>2290</v>
      </c>
      <c r="O28" s="279">
        <v>2649</v>
      </c>
      <c r="P28" s="279">
        <v>2158</v>
      </c>
      <c r="Q28" s="279">
        <v>2156</v>
      </c>
      <c r="R28" s="279">
        <v>2128</v>
      </c>
      <c r="S28" s="279">
        <v>2122</v>
      </c>
      <c r="T28" s="279">
        <v>2125</v>
      </c>
      <c r="U28" s="279">
        <v>2095</v>
      </c>
      <c r="V28" s="279">
        <v>2069</v>
      </c>
      <c r="W28" s="279">
        <v>2069</v>
      </c>
      <c r="X28" s="279">
        <v>2032</v>
      </c>
      <c r="Y28" s="279">
        <v>2995</v>
      </c>
      <c r="Z28" s="279">
        <v>2779</v>
      </c>
      <c r="AA28" s="279">
        <v>2917</v>
      </c>
      <c r="AB28" s="303">
        <v>2916</v>
      </c>
      <c r="AC28" s="54" t="s">
        <v>37</v>
      </c>
      <c r="AD28" s="367"/>
      <c r="AE28" s="448">
        <f t="shared" si="0"/>
        <v>-3.4281796366130379E-2</v>
      </c>
    </row>
    <row r="29" spans="2:31" ht="12.75" customHeight="1">
      <c r="B29" s="119" t="s">
        <v>39</v>
      </c>
      <c r="C29" s="280"/>
      <c r="D29" s="281"/>
      <c r="E29" s="281">
        <v>358</v>
      </c>
      <c r="F29" s="281">
        <v>300</v>
      </c>
      <c r="G29" s="281">
        <v>304</v>
      </c>
      <c r="H29" s="281">
        <v>310</v>
      </c>
      <c r="I29" s="281">
        <v>273</v>
      </c>
      <c r="J29" s="281">
        <v>273</v>
      </c>
      <c r="K29" s="281">
        <v>261</v>
      </c>
      <c r="L29" s="281">
        <v>271</v>
      </c>
      <c r="M29" s="281">
        <v>273</v>
      </c>
      <c r="N29" s="281">
        <v>267</v>
      </c>
      <c r="O29" s="281">
        <v>269</v>
      </c>
      <c r="P29" s="281">
        <v>267</v>
      </c>
      <c r="Q29" s="281">
        <v>405</v>
      </c>
      <c r="R29" s="281">
        <v>405</v>
      </c>
      <c r="S29" s="281">
        <v>405</v>
      </c>
      <c r="T29" s="281">
        <v>405</v>
      </c>
      <c r="U29" s="281">
        <v>401</v>
      </c>
      <c r="V29" s="281">
        <v>401</v>
      </c>
      <c r="W29" s="281">
        <v>400</v>
      </c>
      <c r="X29" s="281">
        <v>400</v>
      </c>
      <c r="Y29" s="281">
        <v>389</v>
      </c>
      <c r="Z29" s="281">
        <v>410</v>
      </c>
      <c r="AA29" s="281">
        <v>498</v>
      </c>
      <c r="AB29" s="304">
        <v>510</v>
      </c>
      <c r="AC29" s="209" t="s">
        <v>39</v>
      </c>
      <c r="AD29" s="367"/>
      <c r="AE29" s="525">
        <f t="shared" si="0"/>
        <v>2.409638554216869</v>
      </c>
    </row>
    <row r="30" spans="2:31" ht="12.75" customHeight="1">
      <c r="B30" s="10" t="s">
        <v>38</v>
      </c>
      <c r="C30" s="287"/>
      <c r="D30" s="288"/>
      <c r="E30" s="288"/>
      <c r="F30" s="279">
        <v>1570</v>
      </c>
      <c r="G30" s="279">
        <v>1512</v>
      </c>
      <c r="H30" s="279">
        <v>1450</v>
      </c>
      <c r="I30" s="279">
        <v>1441</v>
      </c>
      <c r="J30" s="279">
        <v>1334</v>
      </c>
      <c r="K30" s="286">
        <v>1204</v>
      </c>
      <c r="L30" s="279">
        <v>1176</v>
      </c>
      <c r="M30" s="279">
        <v>1258</v>
      </c>
      <c r="N30" s="279">
        <v>1216</v>
      </c>
      <c r="O30" s="279">
        <v>1155</v>
      </c>
      <c r="P30" s="279">
        <v>1035</v>
      </c>
      <c r="Q30" s="279">
        <v>1101</v>
      </c>
      <c r="R30" s="279">
        <v>1033</v>
      </c>
      <c r="S30" s="279">
        <v>1029</v>
      </c>
      <c r="T30" s="279">
        <v>1029</v>
      </c>
      <c r="U30" s="279">
        <v>978</v>
      </c>
      <c r="V30" s="279">
        <v>914</v>
      </c>
      <c r="W30" s="279">
        <v>851</v>
      </c>
      <c r="X30" s="279">
        <v>804</v>
      </c>
      <c r="Y30" s="279">
        <v>788</v>
      </c>
      <c r="Z30" s="279">
        <v>780</v>
      </c>
      <c r="AA30" s="279">
        <v>439</v>
      </c>
      <c r="AB30" s="303">
        <v>425</v>
      </c>
      <c r="AC30" s="54" t="s">
        <v>38</v>
      </c>
      <c r="AD30" s="367"/>
      <c r="AE30" s="448">
        <f t="shared" si="0"/>
        <v>-3.1890660592255102</v>
      </c>
    </row>
    <row r="31" spans="2:31" ht="12.75" customHeight="1">
      <c r="B31" s="119" t="s">
        <v>54</v>
      </c>
      <c r="C31" s="280">
        <v>877</v>
      </c>
      <c r="D31" s="281">
        <v>752</v>
      </c>
      <c r="E31" s="281">
        <v>669</v>
      </c>
      <c r="F31" s="281">
        <v>735</v>
      </c>
      <c r="G31" s="281">
        <v>724</v>
      </c>
      <c r="H31" s="281">
        <v>731</v>
      </c>
      <c r="I31" s="281">
        <v>731</v>
      </c>
      <c r="J31" s="281">
        <v>737</v>
      </c>
      <c r="K31" s="281">
        <v>702</v>
      </c>
      <c r="L31" s="281">
        <v>697</v>
      </c>
      <c r="M31" s="281">
        <v>694</v>
      </c>
      <c r="N31" s="281">
        <v>662</v>
      </c>
      <c r="O31" s="281">
        <v>641</v>
      </c>
      <c r="P31" s="281">
        <v>644</v>
      </c>
      <c r="Q31" s="281">
        <v>643</v>
      </c>
      <c r="R31" s="281">
        <v>652</v>
      </c>
      <c r="S31" s="281">
        <v>652</v>
      </c>
      <c r="T31" s="281">
        <v>659</v>
      </c>
      <c r="U31" s="281">
        <v>650</v>
      </c>
      <c r="V31" s="281">
        <v>647</v>
      </c>
      <c r="W31" s="281">
        <v>676</v>
      </c>
      <c r="X31" s="281">
        <v>641</v>
      </c>
      <c r="Y31" s="296">
        <v>641</v>
      </c>
      <c r="Z31" s="296">
        <v>641</v>
      </c>
      <c r="AA31" s="296">
        <f>Z31</f>
        <v>641</v>
      </c>
      <c r="AB31" s="312">
        <f>AA31</f>
        <v>641</v>
      </c>
      <c r="AC31" s="209" t="s">
        <v>54</v>
      </c>
      <c r="AD31" s="367"/>
      <c r="AE31" s="525">
        <f t="shared" si="0"/>
        <v>0</v>
      </c>
    </row>
    <row r="32" spans="2:31" ht="12.75" customHeight="1">
      <c r="B32" s="11" t="s">
        <v>55</v>
      </c>
      <c r="C32" s="282">
        <v>1408</v>
      </c>
      <c r="D32" s="283">
        <v>1576</v>
      </c>
      <c r="E32" s="283">
        <v>1234</v>
      </c>
      <c r="F32" s="283">
        <v>1032</v>
      </c>
      <c r="G32" s="283">
        <v>1121</v>
      </c>
      <c r="H32" s="283">
        <v>1178</v>
      </c>
      <c r="I32" s="283">
        <v>1217</v>
      </c>
      <c r="J32" s="283">
        <v>1231</v>
      </c>
      <c r="K32" s="283">
        <v>1377</v>
      </c>
      <c r="L32" s="283">
        <v>1462</v>
      </c>
      <c r="M32" s="283">
        <v>1694</v>
      </c>
      <c r="N32" s="283">
        <v>1820</v>
      </c>
      <c r="O32" s="283">
        <v>1823</v>
      </c>
      <c r="P32" s="283">
        <v>1927</v>
      </c>
      <c r="Q32" s="283">
        <v>2027</v>
      </c>
      <c r="R32" s="283">
        <v>2285</v>
      </c>
      <c r="S32" s="283">
        <v>2331</v>
      </c>
      <c r="T32" s="283">
        <v>2416</v>
      </c>
      <c r="U32" s="283">
        <v>2422</v>
      </c>
      <c r="V32" s="283">
        <v>2538</v>
      </c>
      <c r="W32" s="283">
        <v>2679</v>
      </c>
      <c r="X32" s="283">
        <v>2795</v>
      </c>
      <c r="Y32" s="283">
        <v>2771</v>
      </c>
      <c r="Z32" s="283">
        <v>2920</v>
      </c>
      <c r="AA32" s="283">
        <v>2997</v>
      </c>
      <c r="AB32" s="306">
        <v>3621</v>
      </c>
      <c r="AC32" s="55" t="s">
        <v>55</v>
      </c>
      <c r="AD32" s="367"/>
      <c r="AE32" s="186">
        <f t="shared" si="0"/>
        <v>20.820820820820813</v>
      </c>
    </row>
    <row r="33" spans="1:31" ht="12.75" customHeight="1">
      <c r="B33" s="119" t="s">
        <v>26</v>
      </c>
      <c r="C33" s="297" t="s">
        <v>58</v>
      </c>
      <c r="D33" s="298" t="s">
        <v>58</v>
      </c>
      <c r="E33" s="298" t="s">
        <v>58</v>
      </c>
      <c r="F33" s="298" t="s">
        <v>58</v>
      </c>
      <c r="G33" s="298" t="s">
        <v>58</v>
      </c>
      <c r="H33" s="298" t="s">
        <v>58</v>
      </c>
      <c r="I33" s="298" t="s">
        <v>58</v>
      </c>
      <c r="J33" s="298" t="s">
        <v>58</v>
      </c>
      <c r="K33" s="298" t="s">
        <v>58</v>
      </c>
      <c r="L33" s="298" t="s">
        <v>58</v>
      </c>
      <c r="M33" s="298" t="s">
        <v>58</v>
      </c>
      <c r="N33" s="298" t="s">
        <v>58</v>
      </c>
      <c r="O33" s="298" t="s">
        <v>58</v>
      </c>
      <c r="P33" s="298" t="s">
        <v>58</v>
      </c>
      <c r="Q33" s="298" t="s">
        <v>58</v>
      </c>
      <c r="R33" s="298" t="s">
        <v>58</v>
      </c>
      <c r="S33" s="298" t="s">
        <v>58</v>
      </c>
      <c r="T33" s="298" t="s">
        <v>58</v>
      </c>
      <c r="U33" s="298" t="s">
        <v>58</v>
      </c>
      <c r="V33" s="298" t="s">
        <v>58</v>
      </c>
      <c r="W33" s="336" t="s">
        <v>58</v>
      </c>
      <c r="X33" s="465" t="s">
        <v>58</v>
      </c>
      <c r="Y33" s="465" t="s">
        <v>58</v>
      </c>
      <c r="Z33" s="465" t="s">
        <v>58</v>
      </c>
      <c r="AA33" s="336" t="s">
        <v>58</v>
      </c>
      <c r="AB33" s="337" t="s">
        <v>58</v>
      </c>
      <c r="AC33" s="209" t="s">
        <v>26</v>
      </c>
      <c r="AD33" s="367"/>
      <c r="AE33" s="885" t="s">
        <v>58</v>
      </c>
    </row>
    <row r="34" spans="1:31" s="22" customFormat="1" ht="12.75" customHeight="1">
      <c r="B34" s="10" t="s">
        <v>56</v>
      </c>
      <c r="C34" s="278">
        <v>439</v>
      </c>
      <c r="D34" s="279">
        <v>430</v>
      </c>
      <c r="E34" s="279">
        <v>502</v>
      </c>
      <c r="F34" s="279">
        <v>299</v>
      </c>
      <c r="G34" s="279">
        <v>303</v>
      </c>
      <c r="H34" s="279">
        <v>269</v>
      </c>
      <c r="I34" s="279">
        <v>266</v>
      </c>
      <c r="J34" s="279">
        <v>208</v>
      </c>
      <c r="K34" s="279">
        <v>289</v>
      </c>
      <c r="L34" s="279">
        <v>223</v>
      </c>
      <c r="M34" s="279">
        <v>223</v>
      </c>
      <c r="N34" s="279">
        <v>223</v>
      </c>
      <c r="O34" s="279">
        <v>207</v>
      </c>
      <c r="P34" s="289">
        <v>544</v>
      </c>
      <c r="Q34" s="279">
        <v>593</v>
      </c>
      <c r="R34" s="279">
        <v>629</v>
      </c>
      <c r="S34" s="279">
        <v>816</v>
      </c>
      <c r="T34" s="279">
        <v>712</v>
      </c>
      <c r="U34" s="289">
        <v>270</v>
      </c>
      <c r="V34" s="279">
        <v>272</v>
      </c>
      <c r="W34" s="279">
        <v>279</v>
      </c>
      <c r="X34" s="286">
        <v>279</v>
      </c>
      <c r="Y34" s="286">
        <v>279</v>
      </c>
      <c r="Z34" s="286">
        <v>279</v>
      </c>
      <c r="AA34" s="286">
        <f>Z34</f>
        <v>279</v>
      </c>
      <c r="AB34" s="301">
        <f>AA34</f>
        <v>279</v>
      </c>
      <c r="AC34" s="54" t="s">
        <v>56</v>
      </c>
      <c r="AD34" s="367"/>
      <c r="AE34" s="894"/>
    </row>
    <row r="35" spans="1:31" ht="12.75" customHeight="1">
      <c r="A35" s="383"/>
      <c r="B35" s="210" t="s">
        <v>27</v>
      </c>
      <c r="C35" s="277">
        <v>1116</v>
      </c>
      <c r="D35" s="245">
        <v>1205</v>
      </c>
      <c r="E35" s="299">
        <v>1254</v>
      </c>
      <c r="F35" s="299">
        <v>1528</v>
      </c>
      <c r="G35" s="299">
        <v>2011</v>
      </c>
      <c r="H35" s="299">
        <v>2008</v>
      </c>
      <c r="I35" s="299">
        <v>2164</v>
      </c>
      <c r="J35" s="299">
        <v>2224</v>
      </c>
      <c r="K35" s="299">
        <v>2198</v>
      </c>
      <c r="L35" s="299">
        <v>2167</v>
      </c>
      <c r="M35" s="299">
        <v>2272</v>
      </c>
      <c r="N35" s="299">
        <v>2278</v>
      </c>
      <c r="O35" s="299">
        <v>2265</v>
      </c>
      <c r="P35" s="299">
        <v>1745</v>
      </c>
      <c r="Q35" s="299">
        <v>1752</v>
      </c>
      <c r="R35" s="299">
        <v>1680</v>
      </c>
      <c r="S35" s="299">
        <v>1645</v>
      </c>
      <c r="T35" s="299">
        <v>1632</v>
      </c>
      <c r="U35" s="299">
        <v>1694</v>
      </c>
      <c r="V35" s="299">
        <v>1633</v>
      </c>
      <c r="W35" s="299">
        <v>1678</v>
      </c>
      <c r="X35" s="299">
        <v>1675</v>
      </c>
      <c r="Y35" s="299">
        <v>1501</v>
      </c>
      <c r="Z35" s="299">
        <v>1509</v>
      </c>
      <c r="AA35" s="299">
        <v>1605</v>
      </c>
      <c r="AB35" s="305">
        <f>4+4+103+4+87+41+664+70+110+5</f>
        <v>1092</v>
      </c>
      <c r="AC35" s="210" t="s">
        <v>27</v>
      </c>
      <c r="AD35" s="367"/>
      <c r="AE35" s="532">
        <f t="shared" si="0"/>
        <v>-31.962616822429908</v>
      </c>
    </row>
    <row r="36" spans="1:31" s="22" customFormat="1" ht="12.75" customHeight="1">
      <c r="A36" s="798"/>
      <c r="B36" s="54" t="s">
        <v>311</v>
      </c>
      <c r="C36" s="764"/>
      <c r="D36" s="235"/>
      <c r="E36" s="279"/>
      <c r="F36" s="279"/>
      <c r="G36" s="279"/>
      <c r="H36" s="279"/>
      <c r="I36" s="279"/>
      <c r="J36" s="279"/>
      <c r="K36" s="279"/>
      <c r="L36" s="279"/>
      <c r="M36" s="279"/>
      <c r="N36" s="279"/>
      <c r="O36" s="279"/>
      <c r="P36" s="279"/>
      <c r="Q36" s="279"/>
      <c r="R36" s="279"/>
      <c r="T36" s="279">
        <v>187</v>
      </c>
      <c r="U36" s="279">
        <v>187</v>
      </c>
      <c r="V36" s="286">
        <f>U36</f>
        <v>187</v>
      </c>
      <c r="W36" s="279">
        <v>188</v>
      </c>
      <c r="X36" s="279">
        <v>188</v>
      </c>
      <c r="Y36" s="279">
        <v>188</v>
      </c>
      <c r="Z36" s="279">
        <v>188</v>
      </c>
      <c r="AA36" s="279">
        <v>188</v>
      </c>
      <c r="AB36" s="303">
        <v>188</v>
      </c>
      <c r="AC36" s="54" t="s">
        <v>311</v>
      </c>
      <c r="AD36" s="367"/>
      <c r="AE36" s="183">
        <f>AB36/AA36*100-100</f>
        <v>0</v>
      </c>
    </row>
    <row r="37" spans="1:31" s="22" customFormat="1" ht="12.75" customHeight="1">
      <c r="A37" s="798"/>
      <c r="B37" s="209" t="s">
        <v>139</v>
      </c>
      <c r="C37" s="280"/>
      <c r="D37" s="281"/>
      <c r="E37" s="236"/>
      <c r="F37" s="236"/>
      <c r="G37" s="236"/>
      <c r="H37" s="236"/>
      <c r="I37" s="236"/>
      <c r="J37" s="236"/>
      <c r="K37" s="236"/>
      <c r="L37" s="236"/>
      <c r="M37" s="236"/>
      <c r="N37" s="236"/>
      <c r="O37" s="236"/>
      <c r="P37" s="236"/>
      <c r="Q37" s="236"/>
      <c r="R37" s="236"/>
      <c r="S37" s="236"/>
      <c r="T37" s="236"/>
      <c r="U37" s="236"/>
      <c r="V37" s="236">
        <v>39</v>
      </c>
      <c r="W37" s="298">
        <v>39</v>
      </c>
      <c r="X37" s="298">
        <v>36</v>
      </c>
      <c r="Y37" s="298">
        <v>37</v>
      </c>
      <c r="Z37" s="336">
        <v>37</v>
      </c>
      <c r="AA37" s="336">
        <f>Z37</f>
        <v>37</v>
      </c>
      <c r="AB37" s="337">
        <f>AA37</f>
        <v>37</v>
      </c>
      <c r="AC37" s="209" t="s">
        <v>139</v>
      </c>
      <c r="AD37" s="367"/>
      <c r="AE37" s="206">
        <f t="shared" ref="AE37:AE45" si="1">AB37/AA37*100-100</f>
        <v>0</v>
      </c>
    </row>
    <row r="38" spans="1:31" s="22" customFormat="1" ht="12.75" customHeight="1">
      <c r="A38" s="798"/>
      <c r="B38" s="54" t="s">
        <v>313</v>
      </c>
      <c r="C38" s="278"/>
      <c r="D38" s="279"/>
      <c r="E38" s="235"/>
      <c r="F38" s="235">
        <v>193</v>
      </c>
      <c r="G38" s="235">
        <v>193</v>
      </c>
      <c r="H38" s="235">
        <v>192</v>
      </c>
      <c r="I38" s="235">
        <v>190</v>
      </c>
      <c r="J38" s="235">
        <v>187</v>
      </c>
      <c r="K38" s="235">
        <v>187</v>
      </c>
      <c r="L38" s="235">
        <v>185</v>
      </c>
      <c r="M38" s="235">
        <v>185</v>
      </c>
      <c r="N38" s="239">
        <f>M38</f>
        <v>185</v>
      </c>
      <c r="O38" s="235">
        <v>182</v>
      </c>
      <c r="P38" s="235">
        <v>182</v>
      </c>
      <c r="Q38" s="235">
        <v>178</v>
      </c>
      <c r="R38" s="235">
        <v>167</v>
      </c>
      <c r="S38" s="235">
        <v>166</v>
      </c>
      <c r="T38" s="235">
        <v>166</v>
      </c>
      <c r="U38" s="235">
        <v>166</v>
      </c>
      <c r="V38" s="235">
        <v>166</v>
      </c>
      <c r="W38" s="288">
        <v>154</v>
      </c>
      <c r="X38" s="288">
        <v>154</v>
      </c>
      <c r="Y38" s="288">
        <v>154</v>
      </c>
      <c r="Z38" s="288">
        <v>166</v>
      </c>
      <c r="AA38" s="288">
        <v>168</v>
      </c>
      <c r="AB38" s="311">
        <v>168</v>
      </c>
      <c r="AC38" s="54" t="s">
        <v>313</v>
      </c>
      <c r="AD38" s="367"/>
      <c r="AE38" s="183">
        <f t="shared" si="1"/>
        <v>0</v>
      </c>
    </row>
    <row r="39" spans="1:31" s="22" customFormat="1" ht="12.75" customHeight="1">
      <c r="A39" s="798"/>
      <c r="B39" s="209" t="s">
        <v>0</v>
      </c>
      <c r="C39" s="280"/>
      <c r="D39" s="281">
        <v>91</v>
      </c>
      <c r="E39" s="281">
        <v>92</v>
      </c>
      <c r="F39" s="281">
        <v>101</v>
      </c>
      <c r="G39" s="281">
        <v>71</v>
      </c>
      <c r="H39" s="281">
        <v>71</v>
      </c>
      <c r="I39" s="281">
        <v>74</v>
      </c>
      <c r="J39" s="281">
        <v>73</v>
      </c>
      <c r="K39" s="281">
        <v>73</v>
      </c>
      <c r="L39" s="281">
        <v>72</v>
      </c>
      <c r="M39" s="281">
        <v>72</v>
      </c>
      <c r="N39" s="281">
        <v>72</v>
      </c>
      <c r="O39" s="281">
        <v>67</v>
      </c>
      <c r="P39" s="281">
        <v>63</v>
      </c>
      <c r="Q39" s="281">
        <v>63</v>
      </c>
      <c r="R39" s="281">
        <v>69</v>
      </c>
      <c r="S39" s="296">
        <v>53</v>
      </c>
      <c r="T39" s="296">
        <v>53</v>
      </c>
      <c r="U39" s="281">
        <v>53</v>
      </c>
      <c r="V39" s="281">
        <v>52</v>
      </c>
      <c r="W39" s="281">
        <v>58</v>
      </c>
      <c r="X39" s="281">
        <v>58</v>
      </c>
      <c r="Y39" s="281">
        <v>59</v>
      </c>
      <c r="Z39" s="281">
        <v>59</v>
      </c>
      <c r="AA39" s="281">
        <v>67</v>
      </c>
      <c r="AB39" s="304">
        <v>67</v>
      </c>
      <c r="AC39" s="209" t="s">
        <v>0</v>
      </c>
      <c r="AD39" s="367"/>
      <c r="AE39" s="206">
        <f t="shared" si="1"/>
        <v>0</v>
      </c>
    </row>
    <row r="40" spans="1:31" s="22" customFormat="1" ht="12.75" customHeight="1">
      <c r="A40" s="798"/>
      <c r="B40" s="54" t="s">
        <v>346</v>
      </c>
      <c r="C40" s="278"/>
      <c r="D40" s="279"/>
      <c r="E40" s="279"/>
      <c r="F40" s="279"/>
      <c r="G40" s="279"/>
      <c r="H40" s="279"/>
      <c r="I40" s="279"/>
      <c r="J40" s="279"/>
      <c r="K40" s="279"/>
      <c r="L40" s="279"/>
      <c r="M40" s="279"/>
      <c r="N40" s="279"/>
      <c r="O40" s="279">
        <v>83</v>
      </c>
      <c r="P40" s="279">
        <v>85</v>
      </c>
      <c r="Q40" s="279">
        <v>81</v>
      </c>
      <c r="R40" s="279">
        <v>71</v>
      </c>
      <c r="S40" s="286">
        <v>71</v>
      </c>
      <c r="T40" s="286">
        <v>71</v>
      </c>
      <c r="U40" s="279">
        <v>71</v>
      </c>
      <c r="V40" s="279">
        <v>70</v>
      </c>
      <c r="W40" s="279">
        <v>62</v>
      </c>
      <c r="X40" s="279">
        <v>62</v>
      </c>
      <c r="Y40" s="279">
        <v>63</v>
      </c>
      <c r="Z40" s="279">
        <v>63</v>
      </c>
      <c r="AA40" s="279">
        <v>69</v>
      </c>
      <c r="AB40" s="303">
        <v>69</v>
      </c>
      <c r="AC40" s="54" t="s">
        <v>346</v>
      </c>
      <c r="AD40" s="367"/>
      <c r="AE40" s="448">
        <f t="shared" si="1"/>
        <v>0</v>
      </c>
    </row>
    <row r="41" spans="1:31" s="22" customFormat="1" ht="12.75" customHeight="1">
      <c r="A41" s="798"/>
      <c r="B41" s="209" t="s">
        <v>145</v>
      </c>
      <c r="C41" s="280"/>
      <c r="D41" s="281"/>
      <c r="E41" s="281"/>
      <c r="F41" s="281"/>
      <c r="G41" s="281"/>
      <c r="H41" s="281"/>
      <c r="I41" s="281"/>
      <c r="J41" s="281"/>
      <c r="K41" s="281"/>
      <c r="L41" s="281"/>
      <c r="M41" s="281"/>
      <c r="N41" s="281"/>
      <c r="O41" s="281"/>
      <c r="P41" s="281"/>
      <c r="Q41" s="281"/>
      <c r="R41" s="281"/>
      <c r="S41" s="281">
        <v>63</v>
      </c>
      <c r="T41" s="296">
        <f>S41</f>
        <v>63</v>
      </c>
      <c r="U41" s="296">
        <f>T41</f>
        <v>63</v>
      </c>
      <c r="V41" s="281">
        <v>38</v>
      </c>
      <c r="W41" s="281">
        <v>38</v>
      </c>
      <c r="X41" s="296">
        <f>W41</f>
        <v>38</v>
      </c>
      <c r="Y41" s="296">
        <f>X41</f>
        <v>38</v>
      </c>
      <c r="Z41" s="296">
        <f>Y41</f>
        <v>38</v>
      </c>
      <c r="AA41" s="296">
        <f>Z41</f>
        <v>38</v>
      </c>
      <c r="AB41" s="312">
        <f>38</f>
        <v>38</v>
      </c>
      <c r="AC41" s="209" t="s">
        <v>145</v>
      </c>
      <c r="AD41" s="367"/>
      <c r="AE41" s="525">
        <f t="shared" si="1"/>
        <v>0</v>
      </c>
    </row>
    <row r="42" spans="1:31" s="22" customFormat="1" ht="12.75" customHeight="1">
      <c r="A42" s="798"/>
      <c r="B42" s="54" t="s">
        <v>138</v>
      </c>
      <c r="C42" s="278"/>
      <c r="D42" s="279"/>
      <c r="E42" s="279"/>
      <c r="F42" s="279"/>
      <c r="G42" s="279"/>
      <c r="H42" s="279"/>
      <c r="I42" s="279"/>
      <c r="J42" s="279"/>
      <c r="K42" s="279"/>
      <c r="L42" s="279"/>
      <c r="M42" s="279"/>
      <c r="N42" s="279"/>
      <c r="O42" s="279"/>
      <c r="P42" s="279"/>
      <c r="Q42" s="279">
        <v>466</v>
      </c>
      <c r="R42" s="279">
        <v>485</v>
      </c>
      <c r="S42" s="279">
        <v>490</v>
      </c>
      <c r="T42" s="279">
        <v>488</v>
      </c>
      <c r="U42" s="279">
        <v>506</v>
      </c>
      <c r="V42" s="289">
        <v>306</v>
      </c>
      <c r="W42" s="279">
        <v>226</v>
      </c>
      <c r="X42" s="286">
        <v>211</v>
      </c>
      <c r="Y42" s="279">
        <v>239</v>
      </c>
      <c r="Z42" s="279">
        <v>255</v>
      </c>
      <c r="AA42" s="286">
        <v>213</v>
      </c>
      <c r="AB42" s="303">
        <v>213</v>
      </c>
      <c r="AC42" s="54" t="s">
        <v>138</v>
      </c>
      <c r="AD42" s="367"/>
      <c r="AE42" s="448">
        <f t="shared" si="1"/>
        <v>0</v>
      </c>
    </row>
    <row r="43" spans="1:31" s="22" customFormat="1" ht="12.75" customHeight="1">
      <c r="A43" s="798"/>
      <c r="B43" s="209" t="s">
        <v>40</v>
      </c>
      <c r="C43" s="666">
        <v>1055</v>
      </c>
      <c r="D43" s="236">
        <v>1101</v>
      </c>
      <c r="E43" s="236">
        <v>897</v>
      </c>
      <c r="F43" s="281">
        <v>849</v>
      </c>
      <c r="G43" s="281">
        <v>838</v>
      </c>
      <c r="H43" s="281">
        <v>819</v>
      </c>
      <c r="I43" s="281">
        <v>755</v>
      </c>
      <c r="J43" s="281">
        <v>734</v>
      </c>
      <c r="K43" s="281">
        <v>735</v>
      </c>
      <c r="L43" s="281">
        <v>732</v>
      </c>
      <c r="M43" s="281">
        <v>724</v>
      </c>
      <c r="N43" s="281">
        <v>613</v>
      </c>
      <c r="O43" s="281">
        <v>660</v>
      </c>
      <c r="P43" s="281">
        <v>673</v>
      </c>
      <c r="Q43" s="342">
        <v>744</v>
      </c>
      <c r="R43" s="281">
        <v>773</v>
      </c>
      <c r="S43" s="281">
        <v>792</v>
      </c>
      <c r="T43" s="281">
        <v>829</v>
      </c>
      <c r="U43" s="281">
        <v>864</v>
      </c>
      <c r="V43" s="281">
        <v>885</v>
      </c>
      <c r="W43" s="281">
        <v>871</v>
      </c>
      <c r="X43" s="281">
        <v>940</v>
      </c>
      <c r="Y43" s="281">
        <v>799</v>
      </c>
      <c r="Z43" s="281">
        <v>901</v>
      </c>
      <c r="AA43" s="296">
        <f>Z43</f>
        <v>901</v>
      </c>
      <c r="AB43" s="312">
        <v>901</v>
      </c>
      <c r="AC43" s="209" t="s">
        <v>40</v>
      </c>
      <c r="AD43" s="367"/>
      <c r="AE43" s="525">
        <f t="shared" si="1"/>
        <v>0</v>
      </c>
    </row>
    <row r="44" spans="1:31" s="22" customFormat="1" ht="12.75" customHeight="1">
      <c r="A44" s="798"/>
      <c r="B44" s="55" t="s">
        <v>312</v>
      </c>
      <c r="C44" s="895"/>
      <c r="D44" s="247"/>
      <c r="E44" s="247"/>
      <c r="F44" s="283"/>
      <c r="G44" s="283"/>
      <c r="H44" s="283"/>
      <c r="I44" s="283"/>
      <c r="J44" s="283"/>
      <c r="K44" s="283"/>
      <c r="L44" s="283"/>
      <c r="M44" s="283"/>
      <c r="N44" s="283"/>
      <c r="O44" s="283"/>
      <c r="P44" s="283"/>
      <c r="Q44" s="283"/>
      <c r="R44" s="283"/>
      <c r="S44" s="283"/>
      <c r="T44" s="283"/>
      <c r="U44" s="283"/>
      <c r="V44" s="283"/>
      <c r="W44" s="283"/>
      <c r="X44" s="283"/>
      <c r="Y44" s="283"/>
      <c r="Z44" s="283"/>
      <c r="AA44" s="283"/>
      <c r="AB44" s="306"/>
      <c r="AC44" s="55" t="s">
        <v>312</v>
      </c>
      <c r="AD44" s="367"/>
      <c r="AE44" s="186"/>
    </row>
    <row r="45" spans="1:31" ht="15.75" customHeight="1">
      <c r="B45" s="210" t="s">
        <v>44</v>
      </c>
      <c r="C45" s="891">
        <v>9510</v>
      </c>
      <c r="D45" s="299">
        <v>5452</v>
      </c>
      <c r="E45" s="299">
        <v>5610</v>
      </c>
      <c r="F45" s="299" t="s">
        <v>57</v>
      </c>
      <c r="G45" s="299" t="s">
        <v>57</v>
      </c>
      <c r="H45" s="299">
        <v>4430</v>
      </c>
      <c r="I45" s="299">
        <v>3588</v>
      </c>
      <c r="J45" s="299">
        <v>3505</v>
      </c>
      <c r="K45" s="299">
        <v>3177</v>
      </c>
      <c r="L45" s="892">
        <v>3271</v>
      </c>
      <c r="M45" s="299">
        <v>11367</v>
      </c>
      <c r="N45" s="299">
        <v>10639</v>
      </c>
      <c r="O45" s="299">
        <v>10562</v>
      </c>
      <c r="P45" s="299">
        <v>10710</v>
      </c>
      <c r="Q45" s="299">
        <v>11036</v>
      </c>
      <c r="R45" s="299">
        <v>11082</v>
      </c>
      <c r="S45" s="299">
        <v>11176</v>
      </c>
      <c r="T45" s="299">
        <v>11347</v>
      </c>
      <c r="U45" s="315">
        <v>11347</v>
      </c>
      <c r="V45" s="315">
        <v>11347</v>
      </c>
      <c r="W45" s="315">
        <v>11347</v>
      </c>
      <c r="X45" s="315">
        <v>11347</v>
      </c>
      <c r="Y45" s="315">
        <v>11347</v>
      </c>
      <c r="Z45" s="315">
        <f>Y45</f>
        <v>11347</v>
      </c>
      <c r="AA45" s="315">
        <f>Z45</f>
        <v>11347</v>
      </c>
      <c r="AB45" s="893">
        <f>AA45</f>
        <v>11347</v>
      </c>
      <c r="AC45" s="210" t="s">
        <v>44</v>
      </c>
      <c r="AD45" s="367"/>
      <c r="AE45" s="206">
        <f t="shared" si="1"/>
        <v>0</v>
      </c>
    </row>
    <row r="46" spans="1:31" ht="13.5" customHeight="1">
      <c r="B46" s="1406" t="s">
        <v>344</v>
      </c>
      <c r="C46" s="1406"/>
      <c r="D46" s="1406"/>
      <c r="E46" s="1406"/>
      <c r="F46" s="1406"/>
      <c r="G46" s="1406"/>
      <c r="H46" s="1406"/>
      <c r="I46" s="1406"/>
      <c r="J46" s="1407"/>
      <c r="K46" s="1407"/>
      <c r="L46" s="1407"/>
      <c r="M46" s="1407"/>
      <c r="N46" s="1407"/>
      <c r="O46" s="1407"/>
      <c r="P46" s="1407"/>
      <c r="Q46" s="1407"/>
      <c r="R46" s="1407"/>
      <c r="S46" s="1407"/>
      <c r="T46" s="1407"/>
      <c r="U46" s="1407"/>
      <c r="V46" s="1407"/>
      <c r="W46" s="1407"/>
      <c r="X46" s="1407"/>
      <c r="Y46" s="1407"/>
      <c r="Z46" s="1407"/>
      <c r="AA46" s="1407"/>
      <c r="AB46" s="1407"/>
      <c r="AC46" s="1407"/>
      <c r="AD46" s="1"/>
      <c r="AE46" s="897"/>
    </row>
    <row r="47" spans="1:31" ht="11.25" customHeight="1">
      <c r="B47" s="180" t="s">
        <v>290</v>
      </c>
      <c r="C47" s="190"/>
      <c r="D47" s="190"/>
      <c r="E47" s="190"/>
      <c r="F47" s="222"/>
      <c r="G47" s="221"/>
      <c r="H47" s="190"/>
      <c r="I47" s="219"/>
      <c r="J47" s="219"/>
      <c r="K47" s="219"/>
      <c r="L47" s="219"/>
      <c r="M47" s="219"/>
      <c r="N47" s="219"/>
      <c r="O47" s="219"/>
      <c r="P47" s="219"/>
      <c r="Q47" s="219"/>
      <c r="R47" s="219"/>
      <c r="S47" s="219"/>
      <c r="T47" s="219"/>
      <c r="U47" s="219"/>
      <c r="V47" s="219"/>
      <c r="W47" s="219"/>
      <c r="X47" s="219"/>
      <c r="Y47" s="219"/>
      <c r="Z47" s="219"/>
      <c r="AA47" s="219"/>
      <c r="AB47" s="219"/>
      <c r="AC47" s="219"/>
      <c r="AD47" s="1"/>
      <c r="AE47" s="896"/>
    </row>
    <row r="48" spans="1:31" ht="11.25" customHeight="1">
      <c r="B48" s="191" t="s">
        <v>165</v>
      </c>
      <c r="C48" s="190"/>
      <c r="D48" s="190"/>
      <c r="E48" s="190"/>
      <c r="F48" s="222"/>
      <c r="G48" s="221"/>
      <c r="H48" s="190"/>
      <c r="I48" s="219"/>
      <c r="J48" s="219"/>
      <c r="K48" s="219"/>
      <c r="L48" s="219"/>
      <c r="M48" s="219"/>
      <c r="N48" s="219"/>
      <c r="O48" s="219"/>
      <c r="P48" s="219"/>
      <c r="Q48" s="219"/>
      <c r="R48" s="219"/>
      <c r="S48" s="219"/>
      <c r="T48" s="219"/>
      <c r="U48" s="219"/>
      <c r="V48" s="219"/>
      <c r="W48"/>
      <c r="X48" s="69"/>
      <c r="Y48" s="50"/>
      <c r="Z48" s="50"/>
      <c r="AA48" s="50"/>
      <c r="AB48" s="50"/>
      <c r="AC48" s="5"/>
    </row>
    <row r="49" spans="2:31" ht="12.75">
      <c r="B49" s="467" t="s">
        <v>300</v>
      </c>
      <c r="C49" s="190"/>
      <c r="D49" s="190"/>
      <c r="E49" s="190"/>
      <c r="F49" s="222"/>
      <c r="G49" s="221"/>
      <c r="H49" s="190"/>
      <c r="I49" s="219"/>
      <c r="J49" s="219"/>
      <c r="K49" s="219"/>
      <c r="L49" s="219"/>
      <c r="M49" s="219"/>
      <c r="N49" s="219"/>
      <c r="O49" s="219"/>
      <c r="P49" s="188"/>
      <c r="Q49" s="874"/>
      <c r="R49" s="874"/>
      <c r="S49" s="219"/>
      <c r="T49" s="219"/>
      <c r="U49" s="219"/>
      <c r="V49" s="219"/>
      <c r="W49"/>
      <c r="X49" s="69"/>
      <c r="Y49"/>
      <c r="Z49" s="50"/>
      <c r="AA49" s="50"/>
      <c r="AB49" s="50"/>
      <c r="AC49" s="5"/>
    </row>
    <row r="50" spans="2:31" ht="12.75">
      <c r="B50" s="138" t="s">
        <v>260</v>
      </c>
      <c r="C50"/>
      <c r="D50" s="188"/>
      <c r="E50" s="188"/>
      <c r="F50" s="188"/>
      <c r="G50" s="188"/>
      <c r="H50" s="188"/>
      <c r="I50" s="188"/>
      <c r="J50" s="188"/>
      <c r="K50" s="188"/>
      <c r="L50" s="188"/>
      <c r="M50" s="188"/>
      <c r="N50" s="188"/>
      <c r="O50" s="188"/>
      <c r="P50" s="188"/>
      <c r="Q50" s="188"/>
      <c r="R50" s="188"/>
      <c r="S50" s="188"/>
      <c r="T50" s="188"/>
      <c r="U50" s="188"/>
      <c r="W50"/>
      <c r="X50" s="69"/>
      <c r="Y50" s="50"/>
      <c r="Z50" s="50"/>
      <c r="AA50" s="50"/>
      <c r="AB50" s="50"/>
      <c r="AC50" s="400"/>
    </row>
    <row r="51" spans="2:31" ht="12.75">
      <c r="B51" s="138" t="s">
        <v>162</v>
      </c>
      <c r="C51"/>
      <c r="D51" s="188"/>
      <c r="E51" s="188"/>
      <c r="F51" s="188"/>
      <c r="G51" s="188"/>
      <c r="H51" s="188"/>
      <c r="I51" s="188"/>
      <c r="J51" s="188"/>
      <c r="K51" s="181"/>
      <c r="L51" s="181"/>
      <c r="M51" s="181"/>
      <c r="N51" s="181"/>
      <c r="O51" s="181"/>
      <c r="P51" s="181"/>
      <c r="Q51" s="181"/>
      <c r="R51" s="181"/>
      <c r="S51" s="181"/>
      <c r="T51" s="181"/>
      <c r="U51" s="181"/>
      <c r="V51" s="181"/>
      <c r="W51" s="181"/>
      <c r="X51" s="193"/>
      <c r="Y51" s="193"/>
      <c r="Z51" s="193"/>
      <c r="AA51" s="193"/>
      <c r="AB51" s="193"/>
      <c r="AC51" s="193"/>
      <c r="AD51"/>
      <c r="AE51" s="436"/>
    </row>
    <row r="52" spans="2:31">
      <c r="AE52" s="3"/>
    </row>
    <row r="53" spans="2:31">
      <c r="C53" s="198"/>
      <c r="D53" s="198"/>
      <c r="AE53" s="3"/>
    </row>
    <row r="54" spans="2:31">
      <c r="AE54" s="3"/>
    </row>
    <row r="55" spans="2:31">
      <c r="AE55" s="3"/>
    </row>
    <row r="56" spans="2:31">
      <c r="AE56" s="3"/>
    </row>
    <row r="57" spans="2:31">
      <c r="AE57" s="3"/>
    </row>
    <row r="58" spans="2:31">
      <c r="AE58" s="3"/>
    </row>
    <row r="59" spans="2:31" ht="12.75">
      <c r="D59" s="356"/>
      <c r="AE59" s="3"/>
    </row>
    <row r="60" spans="2:31" ht="12.75">
      <c r="D60" s="356"/>
      <c r="AE60" s="3"/>
    </row>
    <row r="61" spans="2:31" ht="12.75">
      <c r="D61" s="356"/>
      <c r="AE61" s="3"/>
    </row>
    <row r="62" spans="2:31" ht="12.75">
      <c r="D62" s="356"/>
      <c r="AE62" s="3"/>
    </row>
    <row r="63" spans="2:31" ht="12.75">
      <c r="D63" s="356"/>
      <c r="AE63" s="3"/>
    </row>
    <row r="64" spans="2:31" ht="12.75">
      <c r="D64" s="356"/>
      <c r="AE64" s="3"/>
    </row>
    <row r="65" spans="4:31" ht="12.75">
      <c r="D65" s="356"/>
      <c r="AE65" s="3"/>
    </row>
    <row r="66" spans="4:31" ht="12.75">
      <c r="D66" s="356"/>
      <c r="AE66" s="3"/>
    </row>
    <row r="67" spans="4:31" ht="12.75">
      <c r="D67" s="356"/>
      <c r="AE67" s="3"/>
    </row>
    <row r="68" spans="4:31" ht="12.75">
      <c r="D68" s="356"/>
      <c r="AE68" s="3"/>
    </row>
    <row r="69" spans="4:31" ht="12.75">
      <c r="D69" s="356"/>
      <c r="AE69" s="3"/>
    </row>
    <row r="70" spans="4:31" ht="12.75">
      <c r="D70" s="356"/>
      <c r="AE70" s="3"/>
    </row>
    <row r="71" spans="4:31" ht="12.75">
      <c r="D71" s="356"/>
      <c r="AE71" s="3"/>
    </row>
    <row r="72" spans="4:31" ht="12.75">
      <c r="D72" s="356"/>
      <c r="AE72" s="3"/>
    </row>
    <row r="73" spans="4:31" ht="12.75">
      <c r="D73" s="356"/>
      <c r="AE73" s="3"/>
    </row>
    <row r="74" spans="4:31" ht="12.75">
      <c r="D74" s="356"/>
      <c r="AE74" s="3"/>
    </row>
    <row r="75" spans="4:31">
      <c r="AE75" s="3"/>
    </row>
    <row r="76" spans="4:31">
      <c r="AE76" s="3"/>
    </row>
    <row r="77" spans="4:31">
      <c r="AE77" s="3"/>
    </row>
    <row r="79" spans="4:31">
      <c r="E79" s="138"/>
    </row>
  </sheetData>
  <mergeCells count="3">
    <mergeCell ref="B46:AC46"/>
    <mergeCell ref="B2:AC2"/>
    <mergeCell ref="B3:AC3"/>
  </mergeCells>
  <phoneticPr fontId="9" type="noConversion"/>
  <printOptions horizontalCentered="1"/>
  <pageMargins left="0.6692913385826772" right="0.28000000000000003" top="0.51181102362204722" bottom="0.27559055118110237" header="0" footer="0"/>
  <pageSetup paperSize="9" scale="9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343"/>
  <dimension ref="A1:AE53"/>
  <sheetViews>
    <sheetView zoomScaleNormal="100" workbookViewId="0">
      <selection activeCell="AG11" sqref="AG11"/>
    </sheetView>
  </sheetViews>
  <sheetFormatPr defaultRowHeight="11.25"/>
  <cols>
    <col min="1" max="1" width="3.7109375" style="3" customWidth="1"/>
    <col min="2" max="2" width="4" style="3" customWidth="1"/>
    <col min="3" max="4" width="7.7109375" style="3" customWidth="1"/>
    <col min="5" max="5" width="7.7109375" style="2" customWidth="1"/>
    <col min="6" max="10" width="7.7109375" style="3" customWidth="1"/>
    <col min="11" max="12" width="8.28515625" style="3" customWidth="1"/>
    <col min="13" max="23" width="8.28515625" style="3" hidden="1" customWidth="1"/>
    <col min="24" max="24" width="8.28515625" style="3" customWidth="1"/>
    <col min="25" max="27" width="7" style="3" customWidth="1"/>
    <col min="28" max="28" width="6.85546875" style="3" customWidth="1"/>
    <col min="29" max="29" width="6.140625" style="3" customWidth="1"/>
    <col min="30" max="30" width="2.42578125" style="3" customWidth="1"/>
    <col min="31" max="31" width="6.5703125" style="470" customWidth="1"/>
    <col min="32" max="16384" width="9.140625" style="3"/>
  </cols>
  <sheetData>
    <row r="1" spans="1:31" s="14" customFormat="1" ht="14.25" customHeight="1">
      <c r="A1" s="30"/>
      <c r="B1" s="28"/>
      <c r="C1" s="23"/>
      <c r="D1" s="23"/>
      <c r="E1" s="110"/>
      <c r="F1" s="23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 t="s">
        <v>118</v>
      </c>
      <c r="AD1" s="29"/>
      <c r="AE1" s="470"/>
    </row>
    <row r="2" spans="1:31" s="48" customFormat="1" ht="30" customHeight="1">
      <c r="A2" s="70"/>
      <c r="B2" s="1307" t="s">
        <v>270</v>
      </c>
      <c r="C2" s="1307"/>
      <c r="D2" s="1307"/>
      <c r="E2" s="1307"/>
      <c r="F2" s="1307"/>
      <c r="G2" s="1307"/>
      <c r="H2" s="1307"/>
      <c r="I2" s="1307"/>
      <c r="J2" s="1307"/>
      <c r="K2" s="1307"/>
      <c r="L2" s="1307"/>
      <c r="M2" s="1307"/>
      <c r="N2" s="1307"/>
      <c r="O2" s="1307"/>
      <c r="P2" s="1307"/>
      <c r="Q2" s="1307"/>
      <c r="R2" s="1307"/>
      <c r="S2" s="1307"/>
      <c r="T2" s="1307"/>
      <c r="U2" s="1307"/>
      <c r="V2" s="1307"/>
      <c r="W2" s="1307"/>
      <c r="X2" s="1307"/>
      <c r="Y2" s="1307"/>
      <c r="Z2" s="1307"/>
      <c r="AA2" s="1307"/>
      <c r="AB2" s="1307"/>
      <c r="AC2" s="1307"/>
      <c r="AD2" s="334"/>
      <c r="AE2" s="453"/>
    </row>
    <row r="3" spans="1:31" s="14" customFormat="1" ht="18" customHeight="1">
      <c r="A3" s="30"/>
      <c r="B3" s="1409" t="s">
        <v>122</v>
      </c>
      <c r="C3" s="1409"/>
      <c r="D3" s="1409"/>
      <c r="E3" s="1409"/>
      <c r="F3" s="1409"/>
      <c r="G3" s="1409"/>
      <c r="H3" s="1409"/>
      <c r="I3" s="1409"/>
      <c r="J3" s="1409"/>
      <c r="K3" s="1409"/>
      <c r="L3" s="1409"/>
      <c r="M3" s="1409"/>
      <c r="N3" s="1409"/>
      <c r="O3" s="1409"/>
      <c r="P3" s="1409"/>
      <c r="Q3" s="1409"/>
      <c r="R3" s="1409"/>
      <c r="S3" s="1409"/>
      <c r="T3" s="1409"/>
      <c r="U3" s="1409"/>
      <c r="V3" s="1409"/>
      <c r="W3" s="1409"/>
      <c r="X3" s="1409"/>
      <c r="Y3" s="1409"/>
      <c r="Z3" s="1409"/>
      <c r="AA3" s="1288"/>
      <c r="AB3" s="1288"/>
      <c r="AC3" s="1288"/>
      <c r="AD3" s="333"/>
      <c r="AE3" s="470"/>
    </row>
    <row r="4" spans="1:31" ht="24.95" customHeight="1">
      <c r="A4" s="2"/>
      <c r="B4" s="84"/>
      <c r="C4" s="38">
        <v>1970</v>
      </c>
      <c r="D4" s="39">
        <v>1980</v>
      </c>
      <c r="E4" s="39">
        <v>1990</v>
      </c>
      <c r="F4" s="39">
        <v>2000</v>
      </c>
      <c r="G4" s="39">
        <v>2001</v>
      </c>
      <c r="H4" s="39">
        <v>2002</v>
      </c>
      <c r="I4" s="39">
        <v>2003</v>
      </c>
      <c r="J4" s="39">
        <v>2004</v>
      </c>
      <c r="K4" s="39">
        <v>2005</v>
      </c>
      <c r="L4" s="39">
        <v>2006</v>
      </c>
      <c r="M4" s="39">
        <v>2007</v>
      </c>
      <c r="N4" s="39">
        <v>2008</v>
      </c>
      <c r="O4" s="39">
        <v>2009</v>
      </c>
      <c r="P4" s="73">
        <v>2010</v>
      </c>
      <c r="Q4" s="73">
        <v>2011</v>
      </c>
      <c r="R4" s="39">
        <v>2012</v>
      </c>
      <c r="S4" s="39">
        <v>2013</v>
      </c>
      <c r="T4" s="39">
        <v>2014</v>
      </c>
      <c r="U4" s="73">
        <v>2015</v>
      </c>
      <c r="V4" s="73">
        <v>2016</v>
      </c>
      <c r="W4" s="73">
        <v>2017</v>
      </c>
      <c r="X4" s="39">
        <v>2018</v>
      </c>
      <c r="Y4" s="39">
        <v>2019</v>
      </c>
      <c r="Z4" s="39">
        <v>2020</v>
      </c>
      <c r="AA4" s="46">
        <v>2021</v>
      </c>
      <c r="AB4" s="47">
        <v>2022</v>
      </c>
      <c r="AC4" s="451"/>
      <c r="AD4" s="6"/>
      <c r="AE4" s="471" t="s">
        <v>345</v>
      </c>
    </row>
    <row r="5" spans="1:31" ht="12.75" customHeight="1">
      <c r="A5" s="2"/>
      <c r="B5" s="118" t="s">
        <v>238</v>
      </c>
      <c r="C5" s="276"/>
      <c r="D5" s="275"/>
      <c r="E5" s="274"/>
      <c r="F5" s="274">
        <f>SUM(F6:F32)</f>
        <v>100940</v>
      </c>
      <c r="G5" s="274">
        <f t="shared" ref="G5:AB5" si="0">SUM(G6:G32)</f>
        <v>101073</v>
      </c>
      <c r="H5" s="274">
        <f t="shared" si="0"/>
        <v>98265</v>
      </c>
      <c r="I5" s="274">
        <f t="shared" si="0"/>
        <v>94466</v>
      </c>
      <c r="J5" s="274">
        <f t="shared" si="0"/>
        <v>90568</v>
      </c>
      <c r="K5" s="274">
        <f t="shared" si="0"/>
        <v>91104</v>
      </c>
      <c r="L5" s="274">
        <f t="shared" si="0"/>
        <v>84972</v>
      </c>
      <c r="M5" s="274">
        <f t="shared" si="0"/>
        <v>84547</v>
      </c>
      <c r="N5" s="274">
        <f t="shared" si="0"/>
        <v>86522</v>
      </c>
      <c r="O5" s="274">
        <f t="shared" si="0"/>
        <v>89577</v>
      </c>
      <c r="P5" s="274">
        <f t="shared" si="0"/>
        <v>89900</v>
      </c>
      <c r="Q5" s="274">
        <f t="shared" si="0"/>
        <v>87133</v>
      </c>
      <c r="R5" s="274">
        <f t="shared" si="0"/>
        <v>86758</v>
      </c>
      <c r="S5" s="274">
        <f t="shared" si="0"/>
        <v>92244</v>
      </c>
      <c r="T5" s="274">
        <f t="shared" si="0"/>
        <v>96013</v>
      </c>
      <c r="U5" s="274">
        <f t="shared" si="0"/>
        <v>94273</v>
      </c>
      <c r="V5" s="274">
        <f t="shared" si="0"/>
        <v>95165</v>
      </c>
      <c r="W5" s="274">
        <f t="shared" si="0"/>
        <v>93502</v>
      </c>
      <c r="X5" s="274">
        <f t="shared" si="0"/>
        <v>94004</v>
      </c>
      <c r="Y5" s="274">
        <f t="shared" si="0"/>
        <v>94857</v>
      </c>
      <c r="Z5" s="274">
        <f t="shared" si="0"/>
        <v>93592</v>
      </c>
      <c r="AA5" s="274">
        <f t="shared" si="0"/>
        <v>94188</v>
      </c>
      <c r="AB5" s="300">
        <f t="shared" si="0"/>
        <v>93232</v>
      </c>
      <c r="AC5" s="51" t="s">
        <v>238</v>
      </c>
      <c r="AD5" s="369"/>
      <c r="AE5" s="458">
        <f>AB5/AA5*100-100</f>
        <v>-1.0149912940077286</v>
      </c>
    </row>
    <row r="6" spans="1:31" ht="12.75" customHeight="1">
      <c r="A6" s="8"/>
      <c r="B6" s="9" t="s">
        <v>45</v>
      </c>
      <c r="C6" s="307">
        <v>3415</v>
      </c>
      <c r="D6" s="308">
        <v>3609</v>
      </c>
      <c r="E6" s="308">
        <v>3286</v>
      </c>
      <c r="F6" s="308">
        <v>3494</v>
      </c>
      <c r="G6" s="308">
        <v>3462</v>
      </c>
      <c r="H6" s="308">
        <v>3413</v>
      </c>
      <c r="I6" s="308">
        <v>3358</v>
      </c>
      <c r="J6" s="308">
        <v>3292</v>
      </c>
      <c r="K6" s="308">
        <v>3251</v>
      </c>
      <c r="L6" s="308">
        <v>3235</v>
      </c>
      <c r="M6" s="308">
        <v>3275</v>
      </c>
      <c r="N6" s="308">
        <v>3201</v>
      </c>
      <c r="O6" s="308">
        <v>3412</v>
      </c>
      <c r="P6" s="308">
        <v>3412</v>
      </c>
      <c r="Q6" s="308">
        <v>3290</v>
      </c>
      <c r="R6" s="309">
        <v>3290</v>
      </c>
      <c r="S6" s="308">
        <v>2345</v>
      </c>
      <c r="T6" s="309">
        <v>2345</v>
      </c>
      <c r="U6" s="309">
        <v>2345</v>
      </c>
      <c r="V6" s="308">
        <v>3879</v>
      </c>
      <c r="W6" s="308">
        <v>3838</v>
      </c>
      <c r="X6" s="309">
        <v>3838</v>
      </c>
      <c r="Y6" s="309">
        <v>3838</v>
      </c>
      <c r="Z6" s="309">
        <v>3838</v>
      </c>
      <c r="AA6" s="309">
        <f>Z6</f>
        <v>3838</v>
      </c>
      <c r="AB6" s="889">
        <f>AA6</f>
        <v>3838</v>
      </c>
      <c r="AC6" s="53" t="s">
        <v>45</v>
      </c>
      <c r="AD6" s="369"/>
      <c r="AE6" s="390">
        <f t="shared" ref="AE6:AE45" si="1">AB6/AA6*100-100</f>
        <v>0</v>
      </c>
    </row>
    <row r="7" spans="1:31" ht="12.75" customHeight="1">
      <c r="A7" s="8"/>
      <c r="B7" s="43" t="s">
        <v>28</v>
      </c>
      <c r="C7" s="280">
        <v>1762</v>
      </c>
      <c r="D7" s="281">
        <v>2441</v>
      </c>
      <c r="E7" s="281">
        <v>2386</v>
      </c>
      <c r="F7" s="281">
        <v>2099</v>
      </c>
      <c r="G7" s="281">
        <v>1935</v>
      </c>
      <c r="H7" s="281">
        <v>1655</v>
      </c>
      <c r="I7" s="281">
        <v>1705</v>
      </c>
      <c r="J7" s="281">
        <v>1749</v>
      </c>
      <c r="K7" s="281">
        <v>1558</v>
      </c>
      <c r="L7" s="281">
        <v>1531</v>
      </c>
      <c r="M7" s="281">
        <v>1550</v>
      </c>
      <c r="N7" s="281">
        <v>1599</v>
      </c>
      <c r="O7" s="281">
        <v>1602</v>
      </c>
      <c r="P7" s="281">
        <v>1369</v>
      </c>
      <c r="Q7" s="281">
        <v>1777</v>
      </c>
      <c r="R7" s="281">
        <v>1777</v>
      </c>
      <c r="S7" s="335">
        <v>744</v>
      </c>
      <c r="T7" s="281">
        <v>759</v>
      </c>
      <c r="U7" s="281">
        <v>756</v>
      </c>
      <c r="V7" s="281">
        <v>756</v>
      </c>
      <c r="W7" s="281">
        <v>756</v>
      </c>
      <c r="X7" s="457">
        <v>778</v>
      </c>
      <c r="Y7" s="457">
        <v>766</v>
      </c>
      <c r="Z7" s="457">
        <v>667</v>
      </c>
      <c r="AA7" s="457">
        <v>572</v>
      </c>
      <c r="AB7" s="457">
        <v>572</v>
      </c>
      <c r="AC7" s="43" t="s">
        <v>28</v>
      </c>
      <c r="AD7" s="369"/>
      <c r="AE7" s="182">
        <f t="shared" si="1"/>
        <v>0</v>
      </c>
    </row>
    <row r="8" spans="1:31" ht="12.75" customHeight="1">
      <c r="A8" s="8"/>
      <c r="B8" s="10" t="s">
        <v>30</v>
      </c>
      <c r="C8" s="287"/>
      <c r="D8" s="288"/>
      <c r="E8" s="288"/>
      <c r="F8" s="279">
        <v>5252</v>
      </c>
      <c r="G8" s="279">
        <v>5223</v>
      </c>
      <c r="H8" s="279">
        <v>5103</v>
      </c>
      <c r="I8" s="279">
        <v>5085</v>
      </c>
      <c r="J8" s="279">
        <v>4985</v>
      </c>
      <c r="K8" s="279">
        <v>4895</v>
      </c>
      <c r="L8" s="279">
        <v>4767</v>
      </c>
      <c r="M8" s="279">
        <v>4566</v>
      </c>
      <c r="N8" s="279">
        <v>4561</v>
      </c>
      <c r="O8" s="279">
        <v>4553</v>
      </c>
      <c r="P8" s="279">
        <v>4514</v>
      </c>
      <c r="Q8" s="279">
        <v>4463</v>
      </c>
      <c r="R8" s="279">
        <v>4419</v>
      </c>
      <c r="S8" s="279">
        <v>4312</v>
      </c>
      <c r="T8" s="279">
        <v>4363</v>
      </c>
      <c r="U8" s="279">
        <v>4139</v>
      </c>
      <c r="V8" s="279">
        <v>3988</v>
      </c>
      <c r="W8" s="279">
        <v>3872</v>
      </c>
      <c r="X8" s="279">
        <v>3845</v>
      </c>
      <c r="Y8" s="279">
        <v>3816</v>
      </c>
      <c r="Z8" s="279">
        <v>3771</v>
      </c>
      <c r="AA8" s="279">
        <v>3738</v>
      </c>
      <c r="AB8" s="279">
        <v>3641</v>
      </c>
      <c r="AC8" s="10" t="s">
        <v>30</v>
      </c>
      <c r="AD8" s="369"/>
      <c r="AE8" s="183">
        <f t="shared" si="1"/>
        <v>-2.5949705724986671</v>
      </c>
    </row>
    <row r="9" spans="1:31" ht="12.75" customHeight="1">
      <c r="A9" s="8"/>
      <c r="B9" s="43" t="s">
        <v>41</v>
      </c>
      <c r="C9" s="280">
        <v>1526</v>
      </c>
      <c r="D9" s="281">
        <v>1613</v>
      </c>
      <c r="E9" s="281">
        <v>1594</v>
      </c>
      <c r="F9" s="281">
        <v>1590</v>
      </c>
      <c r="G9" s="281">
        <v>1573</v>
      </c>
      <c r="H9" s="281">
        <v>1704</v>
      </c>
      <c r="I9" s="281">
        <v>1538</v>
      </c>
      <c r="J9" s="281">
        <v>1525</v>
      </c>
      <c r="K9" s="295">
        <v>1473</v>
      </c>
      <c r="L9" s="281">
        <v>1602</v>
      </c>
      <c r="M9" s="281">
        <v>1663</v>
      </c>
      <c r="N9" s="281">
        <v>1703</v>
      </c>
      <c r="O9" s="281">
        <v>1890</v>
      </c>
      <c r="P9" s="281">
        <v>2069</v>
      </c>
      <c r="Q9" s="281">
        <v>2139</v>
      </c>
      <c r="R9" s="281">
        <v>2143</v>
      </c>
      <c r="S9" s="281">
        <v>2139</v>
      </c>
      <c r="T9" s="281">
        <v>2675</v>
      </c>
      <c r="U9" s="281">
        <v>2755</v>
      </c>
      <c r="V9" s="281">
        <v>2420</v>
      </c>
      <c r="W9" s="281">
        <v>2252</v>
      </c>
      <c r="X9" s="457">
        <v>2252</v>
      </c>
      <c r="Y9" s="457">
        <v>2195</v>
      </c>
      <c r="Z9" s="457">
        <v>2171</v>
      </c>
      <c r="AA9" s="457">
        <v>2173</v>
      </c>
      <c r="AB9" s="457">
        <v>2059</v>
      </c>
      <c r="AC9" s="43" t="s">
        <v>41</v>
      </c>
      <c r="AD9" s="369"/>
      <c r="AE9" s="182">
        <f t="shared" si="1"/>
        <v>-5.2462034054302791</v>
      </c>
    </row>
    <row r="10" spans="1:31" ht="12.75" customHeight="1">
      <c r="A10" s="8"/>
      <c r="B10" s="10" t="s">
        <v>46</v>
      </c>
      <c r="C10" s="290">
        <v>31506</v>
      </c>
      <c r="D10" s="279">
        <v>29118</v>
      </c>
      <c r="E10" s="279">
        <v>24139</v>
      </c>
      <c r="F10" s="279">
        <v>21097</v>
      </c>
      <c r="G10" s="279">
        <v>21139</v>
      </c>
      <c r="H10" s="279">
        <v>21728</v>
      </c>
      <c r="I10" s="279">
        <v>20992</v>
      </c>
      <c r="J10" s="279">
        <v>20396</v>
      </c>
      <c r="K10" s="279">
        <v>20169</v>
      </c>
      <c r="L10" s="279">
        <v>18174</v>
      </c>
      <c r="M10" s="279">
        <v>17537</v>
      </c>
      <c r="N10" s="279">
        <v>18671</v>
      </c>
      <c r="O10" s="279">
        <v>18607</v>
      </c>
      <c r="P10" s="279">
        <v>18565</v>
      </c>
      <c r="Q10" s="279">
        <v>17849</v>
      </c>
      <c r="R10" s="279">
        <v>17743</v>
      </c>
      <c r="S10" s="279">
        <v>18290</v>
      </c>
      <c r="T10" s="279">
        <v>21217</v>
      </c>
      <c r="U10" s="279">
        <v>18990</v>
      </c>
      <c r="V10" s="279">
        <v>19034</v>
      </c>
      <c r="W10" s="279">
        <v>17753</v>
      </c>
      <c r="X10" s="279">
        <v>18059</v>
      </c>
      <c r="Y10" s="279">
        <v>18133</v>
      </c>
      <c r="Z10" s="279">
        <v>17874</v>
      </c>
      <c r="AA10" s="279">
        <v>17913</v>
      </c>
      <c r="AB10" s="279">
        <v>18233</v>
      </c>
      <c r="AC10" s="10" t="s">
        <v>46</v>
      </c>
      <c r="AD10" s="369"/>
      <c r="AE10" s="183">
        <f t="shared" si="1"/>
        <v>1.7864121029419948</v>
      </c>
    </row>
    <row r="11" spans="1:31" ht="12.75" customHeight="1">
      <c r="A11" s="8"/>
      <c r="B11" s="43" t="s">
        <v>31</v>
      </c>
      <c r="C11" s="280"/>
      <c r="D11" s="281"/>
      <c r="E11" s="292">
        <v>596</v>
      </c>
      <c r="F11" s="281">
        <v>241</v>
      </c>
      <c r="G11" s="281">
        <v>308</v>
      </c>
      <c r="H11" s="281">
        <v>203</v>
      </c>
      <c r="I11" s="281">
        <v>251</v>
      </c>
      <c r="J11" s="281">
        <v>192</v>
      </c>
      <c r="K11" s="281">
        <v>234</v>
      </c>
      <c r="L11" s="281">
        <v>234</v>
      </c>
      <c r="M11" s="281">
        <v>186</v>
      </c>
      <c r="N11" s="281">
        <v>186</v>
      </c>
      <c r="O11" s="281">
        <v>215</v>
      </c>
      <c r="P11" s="281">
        <v>217</v>
      </c>
      <c r="Q11" s="281">
        <v>217</v>
      </c>
      <c r="R11" s="281">
        <v>253</v>
      </c>
      <c r="S11" s="281">
        <v>267</v>
      </c>
      <c r="T11" s="281">
        <v>280</v>
      </c>
      <c r="U11" s="281">
        <v>280</v>
      </c>
      <c r="V11" s="281">
        <v>280</v>
      </c>
      <c r="W11" s="281">
        <v>274</v>
      </c>
      <c r="X11" s="457">
        <v>273</v>
      </c>
      <c r="Y11" s="457">
        <v>267</v>
      </c>
      <c r="Z11" s="457">
        <v>199</v>
      </c>
      <c r="AA11" s="457">
        <v>106</v>
      </c>
      <c r="AB11" s="457">
        <v>98</v>
      </c>
      <c r="AC11" s="43" t="s">
        <v>31</v>
      </c>
      <c r="AD11" s="369"/>
      <c r="AE11" s="182">
        <f t="shared" si="1"/>
        <v>-7.5471698113207566</v>
      </c>
    </row>
    <row r="12" spans="1:31" ht="12.75" customHeight="1">
      <c r="A12" s="8"/>
      <c r="B12" s="10" t="s">
        <v>49</v>
      </c>
      <c r="C12" s="278">
        <v>484</v>
      </c>
      <c r="D12" s="279">
        <v>348</v>
      </c>
      <c r="E12" s="279">
        <v>314</v>
      </c>
      <c r="F12" s="279">
        <v>421</v>
      </c>
      <c r="G12" s="279">
        <v>418</v>
      </c>
      <c r="H12" s="279">
        <v>419</v>
      </c>
      <c r="I12" s="279">
        <v>405</v>
      </c>
      <c r="J12" s="279">
        <v>554</v>
      </c>
      <c r="K12" s="279">
        <v>581</v>
      </c>
      <c r="L12" s="279">
        <v>581</v>
      </c>
      <c r="M12" s="279">
        <v>581</v>
      </c>
      <c r="N12" s="279">
        <v>649</v>
      </c>
      <c r="O12" s="279">
        <v>592</v>
      </c>
      <c r="P12" s="286">
        <v>592</v>
      </c>
      <c r="Q12" s="286">
        <v>592</v>
      </c>
      <c r="R12" s="289">
        <v>426</v>
      </c>
      <c r="S12" s="279">
        <v>426</v>
      </c>
      <c r="T12" s="279">
        <v>426</v>
      </c>
      <c r="U12" s="279">
        <v>426</v>
      </c>
      <c r="V12" s="279">
        <v>426</v>
      </c>
      <c r="W12" s="279">
        <v>426</v>
      </c>
      <c r="X12" s="279">
        <v>426</v>
      </c>
      <c r="Y12" s="279">
        <v>426</v>
      </c>
      <c r="Z12" s="279">
        <v>426</v>
      </c>
      <c r="AA12" s="286">
        <f>Z12</f>
        <v>426</v>
      </c>
      <c r="AB12" s="286">
        <f>AA12</f>
        <v>426</v>
      </c>
      <c r="AC12" s="10" t="s">
        <v>49</v>
      </c>
      <c r="AD12" s="369"/>
      <c r="AE12" s="183">
        <f t="shared" si="1"/>
        <v>0</v>
      </c>
    </row>
    <row r="13" spans="1:31" ht="12.75" customHeight="1">
      <c r="A13" s="8"/>
      <c r="B13" s="43" t="s">
        <v>42</v>
      </c>
      <c r="C13" s="280">
        <v>574</v>
      </c>
      <c r="D13" s="281">
        <v>660</v>
      </c>
      <c r="E13" s="281">
        <v>810</v>
      </c>
      <c r="F13" s="281">
        <v>505</v>
      </c>
      <c r="G13" s="281">
        <v>509</v>
      </c>
      <c r="H13" s="281">
        <v>660</v>
      </c>
      <c r="I13" s="281">
        <v>457</v>
      </c>
      <c r="J13" s="281">
        <v>514</v>
      </c>
      <c r="K13" s="281">
        <v>564</v>
      </c>
      <c r="L13" s="281">
        <v>591</v>
      </c>
      <c r="M13" s="281">
        <v>781</v>
      </c>
      <c r="N13" s="281">
        <v>793</v>
      </c>
      <c r="O13" s="281">
        <v>793</v>
      </c>
      <c r="P13" s="281">
        <v>718</v>
      </c>
      <c r="Q13" s="281">
        <v>718</v>
      </c>
      <c r="R13" s="281">
        <v>718</v>
      </c>
      <c r="S13" s="281">
        <v>724</v>
      </c>
      <c r="T13" s="281">
        <v>707</v>
      </c>
      <c r="U13" s="281">
        <v>707</v>
      </c>
      <c r="V13" s="281">
        <v>707</v>
      </c>
      <c r="W13" s="281">
        <v>707</v>
      </c>
      <c r="X13" s="457">
        <v>707</v>
      </c>
      <c r="Y13" s="457">
        <v>312</v>
      </c>
      <c r="Z13" s="457">
        <v>312</v>
      </c>
      <c r="AA13" s="457">
        <v>312</v>
      </c>
      <c r="AB13" s="457">
        <v>319</v>
      </c>
      <c r="AC13" s="43" t="s">
        <v>42</v>
      </c>
      <c r="AD13" s="369"/>
      <c r="AE13" s="182">
        <f t="shared" si="1"/>
        <v>2.2435897435897374</v>
      </c>
    </row>
    <row r="14" spans="1:31" ht="12.75" customHeight="1">
      <c r="A14" s="8"/>
      <c r="B14" s="10" t="s">
        <v>47</v>
      </c>
      <c r="C14" s="278">
        <v>3904</v>
      </c>
      <c r="D14" s="279">
        <v>3721</v>
      </c>
      <c r="E14" s="279">
        <v>3839</v>
      </c>
      <c r="F14" s="279">
        <v>4315</v>
      </c>
      <c r="G14" s="279">
        <v>4267</v>
      </c>
      <c r="H14" s="279">
        <v>4345</v>
      </c>
      <c r="I14" s="279">
        <v>4408</v>
      </c>
      <c r="J14" s="279">
        <v>4473</v>
      </c>
      <c r="K14" s="279">
        <v>5236</v>
      </c>
      <c r="L14" s="279">
        <v>5021</v>
      </c>
      <c r="M14" s="279">
        <v>5033</v>
      </c>
      <c r="N14" s="279">
        <v>4732</v>
      </c>
      <c r="O14" s="279">
        <v>5253</v>
      </c>
      <c r="P14" s="279">
        <v>5365</v>
      </c>
      <c r="Q14" s="279">
        <v>5327</v>
      </c>
      <c r="R14" s="286">
        <v>4944</v>
      </c>
      <c r="S14" s="286">
        <v>5225</v>
      </c>
      <c r="T14" s="286">
        <v>5285</v>
      </c>
      <c r="U14" s="286">
        <v>4292</v>
      </c>
      <c r="V14" s="286">
        <v>4280</v>
      </c>
      <c r="W14" s="279">
        <v>4321</v>
      </c>
      <c r="X14" s="279">
        <v>4267</v>
      </c>
      <c r="Y14" s="279">
        <v>4420</v>
      </c>
      <c r="Z14" s="279">
        <v>4323</v>
      </c>
      <c r="AA14" s="279">
        <f>309+3929</f>
        <v>4238</v>
      </c>
      <c r="AB14" s="279">
        <v>4227</v>
      </c>
      <c r="AC14" s="10" t="s">
        <v>47</v>
      </c>
      <c r="AD14" s="369"/>
      <c r="AE14" s="183">
        <f t="shared" si="1"/>
        <v>-0.25955639452571688</v>
      </c>
    </row>
    <row r="15" spans="1:31" ht="12.75" customHeight="1">
      <c r="A15" s="8"/>
      <c r="B15" s="43" t="s">
        <v>48</v>
      </c>
      <c r="C15" s="280">
        <v>11687</v>
      </c>
      <c r="D15" s="281">
        <v>15922</v>
      </c>
      <c r="E15" s="281">
        <v>15798</v>
      </c>
      <c r="F15" s="281">
        <v>15694</v>
      </c>
      <c r="G15" s="281">
        <v>16653</v>
      </c>
      <c r="H15" s="281">
        <v>15685</v>
      </c>
      <c r="I15" s="281">
        <v>15553</v>
      </c>
      <c r="J15" s="281">
        <v>15630</v>
      </c>
      <c r="K15" s="281">
        <v>15879</v>
      </c>
      <c r="L15" s="281">
        <v>12258</v>
      </c>
      <c r="M15" s="281">
        <v>12550</v>
      </c>
      <c r="N15" s="281">
        <v>12751</v>
      </c>
      <c r="O15" s="281">
        <v>12974</v>
      </c>
      <c r="P15" s="281">
        <v>13521</v>
      </c>
      <c r="Q15" s="281">
        <v>13957</v>
      </c>
      <c r="R15" s="281">
        <v>14688</v>
      </c>
      <c r="S15" s="342">
        <v>22246</v>
      </c>
      <c r="T15" s="281">
        <v>22898</v>
      </c>
      <c r="U15" s="457">
        <v>23958</v>
      </c>
      <c r="V15" s="281">
        <v>24285</v>
      </c>
      <c r="W15" s="281">
        <v>24173</v>
      </c>
      <c r="X15" s="457">
        <v>25443</v>
      </c>
      <c r="Y15" s="457">
        <v>25931</v>
      </c>
      <c r="Z15" s="457">
        <v>26506</v>
      </c>
      <c r="AA15" s="457">
        <v>25679</v>
      </c>
      <c r="AB15" s="457">
        <v>25337</v>
      </c>
      <c r="AC15" s="43" t="s">
        <v>48</v>
      </c>
      <c r="AD15" s="369"/>
      <c r="AE15" s="182">
        <f t="shared" si="1"/>
        <v>-1.3318275633786385</v>
      </c>
    </row>
    <row r="16" spans="1:31" ht="12.75" customHeight="1">
      <c r="A16" s="8"/>
      <c r="B16" s="10" t="s">
        <v>59</v>
      </c>
      <c r="C16" s="278"/>
      <c r="D16" s="279"/>
      <c r="E16" s="279">
        <v>1052</v>
      </c>
      <c r="F16" s="279">
        <v>720</v>
      </c>
      <c r="G16" s="279">
        <v>698</v>
      </c>
      <c r="H16" s="279">
        <v>681</v>
      </c>
      <c r="I16" s="279">
        <v>640</v>
      </c>
      <c r="J16" s="279">
        <v>617</v>
      </c>
      <c r="K16" s="279">
        <v>579</v>
      </c>
      <c r="L16" s="279">
        <v>571</v>
      </c>
      <c r="M16" s="279">
        <v>552</v>
      </c>
      <c r="N16" s="279">
        <v>553</v>
      </c>
      <c r="O16" s="279">
        <v>523</v>
      </c>
      <c r="P16" s="279">
        <v>523</v>
      </c>
      <c r="Q16" s="279">
        <v>519</v>
      </c>
      <c r="R16" s="286">
        <v>519</v>
      </c>
      <c r="S16" s="279">
        <v>541</v>
      </c>
      <c r="T16" s="279">
        <v>529</v>
      </c>
      <c r="U16" s="279">
        <v>545</v>
      </c>
      <c r="V16" s="279">
        <v>543</v>
      </c>
      <c r="W16" s="279">
        <v>513</v>
      </c>
      <c r="X16" s="279">
        <v>497</v>
      </c>
      <c r="Y16" s="279">
        <v>452</v>
      </c>
      <c r="Z16" s="279">
        <v>527</v>
      </c>
      <c r="AA16" s="279">
        <v>543</v>
      </c>
      <c r="AB16" s="279">
        <v>491</v>
      </c>
      <c r="AC16" s="10" t="s">
        <v>59</v>
      </c>
      <c r="AD16" s="369"/>
      <c r="AE16" s="183">
        <f t="shared" si="1"/>
        <v>-9.5764272559852657</v>
      </c>
    </row>
    <row r="17" spans="1:31" ht="12.75" customHeight="1">
      <c r="A17" s="8"/>
      <c r="B17" s="119" t="s">
        <v>50</v>
      </c>
      <c r="C17" s="280">
        <v>11060</v>
      </c>
      <c r="D17" s="281">
        <v>13444</v>
      </c>
      <c r="E17" s="281">
        <v>14025</v>
      </c>
      <c r="F17" s="281">
        <v>11914</v>
      </c>
      <c r="G17" s="281">
        <v>11933</v>
      </c>
      <c r="H17" s="281">
        <v>11007</v>
      </c>
      <c r="I17" s="281">
        <v>10813</v>
      </c>
      <c r="J17" s="281">
        <v>10277</v>
      </c>
      <c r="K17" s="281">
        <v>10066</v>
      </c>
      <c r="L17" s="281">
        <v>10418</v>
      </c>
      <c r="M17" s="281">
        <v>10174</v>
      </c>
      <c r="N17" s="281">
        <v>9825</v>
      </c>
      <c r="O17" s="281">
        <v>12474</v>
      </c>
      <c r="P17" s="281">
        <v>12465</v>
      </c>
      <c r="Q17" s="281">
        <v>10743</v>
      </c>
      <c r="R17" s="281">
        <v>10041</v>
      </c>
      <c r="S17" s="281">
        <v>9510</v>
      </c>
      <c r="T17" s="281">
        <v>9022</v>
      </c>
      <c r="U17" s="281">
        <v>9762</v>
      </c>
      <c r="V17" s="281">
        <v>9443</v>
      </c>
      <c r="W17" s="281">
        <v>9050</v>
      </c>
      <c r="X17" s="281">
        <v>8692</v>
      </c>
      <c r="Y17" s="281">
        <v>9390</v>
      </c>
      <c r="Z17" s="281">
        <v>8598</v>
      </c>
      <c r="AA17" s="281">
        <v>8273</v>
      </c>
      <c r="AB17" s="296">
        <f>7412+708</f>
        <v>8120</v>
      </c>
      <c r="AC17" s="119" t="s">
        <v>50</v>
      </c>
      <c r="AD17" s="369"/>
      <c r="AE17" s="206">
        <f t="shared" si="1"/>
        <v>-1.8493895805632832</v>
      </c>
    </row>
    <row r="18" spans="1:31" ht="12.75" customHeight="1">
      <c r="A18" s="8"/>
      <c r="B18" s="10" t="s">
        <v>29</v>
      </c>
      <c r="C18" s="287" t="s">
        <v>58</v>
      </c>
      <c r="D18" s="288" t="s">
        <v>58</v>
      </c>
      <c r="E18" s="288" t="s">
        <v>58</v>
      </c>
      <c r="F18" s="288" t="s">
        <v>58</v>
      </c>
      <c r="G18" s="288" t="s">
        <v>58</v>
      </c>
      <c r="H18" s="288" t="s">
        <v>58</v>
      </c>
      <c r="I18" s="288" t="s">
        <v>58</v>
      </c>
      <c r="J18" s="288" t="s">
        <v>58</v>
      </c>
      <c r="K18" s="288" t="s">
        <v>58</v>
      </c>
      <c r="L18" s="288" t="s">
        <v>58</v>
      </c>
      <c r="M18" s="288" t="s">
        <v>58</v>
      </c>
      <c r="N18" s="288" t="s">
        <v>58</v>
      </c>
      <c r="O18" s="288" t="s">
        <v>58</v>
      </c>
      <c r="P18" s="288" t="s">
        <v>58</v>
      </c>
      <c r="Q18" s="288" t="s">
        <v>58</v>
      </c>
      <c r="R18" s="288" t="s">
        <v>58</v>
      </c>
      <c r="S18" s="288" t="s">
        <v>58</v>
      </c>
      <c r="T18" s="288" t="s">
        <v>58</v>
      </c>
      <c r="U18" s="288" t="s">
        <v>58</v>
      </c>
      <c r="V18" s="288" t="s">
        <v>58</v>
      </c>
      <c r="W18" s="288" t="s">
        <v>58</v>
      </c>
      <c r="X18" s="288" t="s">
        <v>58</v>
      </c>
      <c r="Y18" s="288" t="s">
        <v>58</v>
      </c>
      <c r="Z18" s="288" t="s">
        <v>58</v>
      </c>
      <c r="AA18" s="288" t="s">
        <v>58</v>
      </c>
      <c r="AB18" s="288" t="s">
        <v>58</v>
      </c>
      <c r="AC18" s="10" t="s">
        <v>29</v>
      </c>
      <c r="AD18" s="369"/>
      <c r="AE18" s="887" t="s">
        <v>58</v>
      </c>
    </row>
    <row r="19" spans="1:31" ht="12.75" customHeight="1">
      <c r="A19" s="8"/>
      <c r="B19" s="119" t="s">
        <v>33</v>
      </c>
      <c r="C19" s="280"/>
      <c r="D19" s="281"/>
      <c r="E19" s="281">
        <v>1226</v>
      </c>
      <c r="F19" s="281">
        <v>702</v>
      </c>
      <c r="G19" s="281">
        <v>621</v>
      </c>
      <c r="H19" s="281">
        <v>597</v>
      </c>
      <c r="I19" s="281">
        <v>579</v>
      </c>
      <c r="J19" s="281">
        <v>535</v>
      </c>
      <c r="K19" s="281">
        <v>490</v>
      </c>
      <c r="L19" s="281">
        <v>490</v>
      </c>
      <c r="M19" s="281">
        <v>491</v>
      </c>
      <c r="N19" s="281">
        <v>451</v>
      </c>
      <c r="O19" s="281">
        <v>294</v>
      </c>
      <c r="P19" s="281">
        <v>238</v>
      </c>
      <c r="Q19" s="281">
        <v>238</v>
      </c>
      <c r="R19" s="281">
        <v>238</v>
      </c>
      <c r="S19" s="281">
        <v>238</v>
      </c>
      <c r="T19" s="281">
        <v>238</v>
      </c>
      <c r="U19" s="281">
        <v>374</v>
      </c>
      <c r="V19" s="281">
        <v>372</v>
      </c>
      <c r="W19" s="281">
        <v>370</v>
      </c>
      <c r="X19" s="281">
        <v>370</v>
      </c>
      <c r="Y19" s="296">
        <v>370</v>
      </c>
      <c r="Z19" s="296">
        <v>370</v>
      </c>
      <c r="AA19" s="296">
        <f>Z19</f>
        <v>370</v>
      </c>
      <c r="AB19" s="296">
        <f>AA19</f>
        <v>370</v>
      </c>
      <c r="AC19" s="119" t="s">
        <v>33</v>
      </c>
      <c r="AD19" s="369"/>
      <c r="AE19" s="206">
        <f t="shared" si="1"/>
        <v>0</v>
      </c>
    </row>
    <row r="20" spans="1:31" ht="12.75" customHeight="1">
      <c r="A20" s="8"/>
      <c r="B20" s="10" t="s">
        <v>34</v>
      </c>
      <c r="C20" s="278"/>
      <c r="D20" s="279"/>
      <c r="E20" s="286">
        <v>664</v>
      </c>
      <c r="F20" s="279">
        <v>563</v>
      </c>
      <c r="G20" s="279">
        <v>537</v>
      </c>
      <c r="H20" s="279">
        <v>509</v>
      </c>
      <c r="I20" s="279">
        <v>480</v>
      </c>
      <c r="J20" s="279">
        <v>475</v>
      </c>
      <c r="K20" s="279">
        <v>467</v>
      </c>
      <c r="L20" s="279">
        <v>458</v>
      </c>
      <c r="M20" s="279">
        <v>423</v>
      </c>
      <c r="N20" s="279">
        <v>363</v>
      </c>
      <c r="O20" s="279">
        <v>340</v>
      </c>
      <c r="P20" s="279">
        <v>337</v>
      </c>
      <c r="Q20" s="279">
        <v>268</v>
      </c>
      <c r="R20" s="279">
        <v>262</v>
      </c>
      <c r="S20" s="279">
        <v>264</v>
      </c>
      <c r="T20" s="279">
        <v>234</v>
      </c>
      <c r="U20" s="279">
        <v>217</v>
      </c>
      <c r="V20" s="279">
        <v>230</v>
      </c>
      <c r="W20" s="279">
        <v>214</v>
      </c>
      <c r="X20" s="279">
        <v>192</v>
      </c>
      <c r="Y20" s="279">
        <v>171</v>
      </c>
      <c r="Z20" s="279">
        <v>165</v>
      </c>
      <c r="AA20" s="279">
        <v>157</v>
      </c>
      <c r="AB20" s="303">
        <v>154</v>
      </c>
      <c r="AC20" s="10" t="s">
        <v>34</v>
      </c>
      <c r="AD20" s="369"/>
      <c r="AE20" s="183">
        <f t="shared" si="1"/>
        <v>-1.9108280254777128</v>
      </c>
    </row>
    <row r="21" spans="1:31" ht="12.75" customHeight="1">
      <c r="A21" s="8"/>
      <c r="B21" s="119" t="s">
        <v>51</v>
      </c>
      <c r="C21" s="280">
        <v>114</v>
      </c>
      <c r="D21" s="281">
        <v>102</v>
      </c>
      <c r="E21" s="281">
        <v>114</v>
      </c>
      <c r="F21" s="281">
        <v>149</v>
      </c>
      <c r="G21" s="281">
        <v>152</v>
      </c>
      <c r="H21" s="281">
        <v>150</v>
      </c>
      <c r="I21" s="281">
        <v>150</v>
      </c>
      <c r="J21" s="281">
        <v>212</v>
      </c>
      <c r="K21" s="281">
        <v>185</v>
      </c>
      <c r="L21" s="281">
        <v>191</v>
      </c>
      <c r="M21" s="281">
        <v>191</v>
      </c>
      <c r="N21" s="281">
        <v>187</v>
      </c>
      <c r="O21" s="281">
        <v>187</v>
      </c>
      <c r="P21" s="281">
        <v>214</v>
      </c>
      <c r="Q21" s="281">
        <v>210</v>
      </c>
      <c r="R21" s="281">
        <v>210</v>
      </c>
      <c r="S21" s="281">
        <v>210</v>
      </c>
      <c r="T21" s="281">
        <v>210</v>
      </c>
      <c r="U21" s="281">
        <v>242</v>
      </c>
      <c r="V21" s="281">
        <v>242</v>
      </c>
      <c r="W21" s="281">
        <v>259</v>
      </c>
      <c r="X21" s="281">
        <v>251</v>
      </c>
      <c r="Y21" s="281">
        <v>251</v>
      </c>
      <c r="Z21" s="281">
        <v>255</v>
      </c>
      <c r="AA21" s="281">
        <v>255</v>
      </c>
      <c r="AB21" s="304">
        <v>255</v>
      </c>
      <c r="AC21" s="209" t="s">
        <v>51</v>
      </c>
      <c r="AD21" s="369"/>
      <c r="AE21" s="525">
        <f t="shared" si="1"/>
        <v>0</v>
      </c>
    </row>
    <row r="22" spans="1:31" ht="12.75" customHeight="1">
      <c r="A22" s="8"/>
      <c r="B22" s="10" t="s">
        <v>32</v>
      </c>
      <c r="C22" s="278"/>
      <c r="D22" s="279"/>
      <c r="E22" s="279">
        <v>4385</v>
      </c>
      <c r="F22" s="279">
        <v>3191</v>
      </c>
      <c r="G22" s="279">
        <v>3226</v>
      </c>
      <c r="H22" s="279">
        <v>3087</v>
      </c>
      <c r="I22" s="279">
        <v>3093</v>
      </c>
      <c r="J22" s="279">
        <v>3060</v>
      </c>
      <c r="K22" s="279">
        <v>3060</v>
      </c>
      <c r="L22" s="286">
        <f>K22</f>
        <v>3060</v>
      </c>
      <c r="M22" s="286">
        <f>L22</f>
        <v>3060</v>
      </c>
      <c r="N22" s="279">
        <v>2852</v>
      </c>
      <c r="O22" s="279">
        <v>2881</v>
      </c>
      <c r="P22" s="279">
        <v>2788</v>
      </c>
      <c r="Q22" s="279">
        <v>2884</v>
      </c>
      <c r="R22" s="279">
        <v>2855</v>
      </c>
      <c r="S22" s="279">
        <v>2594</v>
      </c>
      <c r="T22" s="279">
        <v>2536</v>
      </c>
      <c r="U22" s="279">
        <v>2619</v>
      </c>
      <c r="V22" s="279">
        <v>2267</v>
      </c>
      <c r="W22" s="279">
        <v>2238</v>
      </c>
      <c r="X22" s="279">
        <v>2112</v>
      </c>
      <c r="Y22" s="279">
        <v>2111</v>
      </c>
      <c r="Z22" s="279">
        <v>2056</v>
      </c>
      <c r="AA22" s="797">
        <v>2121</v>
      </c>
      <c r="AB22" s="303">
        <v>2003</v>
      </c>
      <c r="AC22" s="54" t="s">
        <v>32</v>
      </c>
      <c r="AD22" s="369"/>
      <c r="AE22" s="448">
        <f t="shared" si="1"/>
        <v>-5.5634134842055545</v>
      </c>
    </row>
    <row r="23" spans="1:31" ht="12.75" customHeight="1">
      <c r="A23" s="8"/>
      <c r="B23" s="119" t="s">
        <v>35</v>
      </c>
      <c r="C23" s="297" t="s">
        <v>58</v>
      </c>
      <c r="D23" s="298" t="s">
        <v>58</v>
      </c>
      <c r="E23" s="298" t="s">
        <v>58</v>
      </c>
      <c r="F23" s="298" t="s">
        <v>58</v>
      </c>
      <c r="G23" s="298" t="s">
        <v>58</v>
      </c>
      <c r="H23" s="298" t="s">
        <v>58</v>
      </c>
      <c r="I23" s="298" t="s">
        <v>58</v>
      </c>
      <c r="J23" s="298" t="s">
        <v>58</v>
      </c>
      <c r="K23" s="298" t="s">
        <v>58</v>
      </c>
      <c r="L23" s="298" t="s">
        <v>58</v>
      </c>
      <c r="M23" s="298" t="s">
        <v>58</v>
      </c>
      <c r="N23" s="298" t="s">
        <v>58</v>
      </c>
      <c r="O23" s="298" t="s">
        <v>58</v>
      </c>
      <c r="P23" s="298" t="s">
        <v>58</v>
      </c>
      <c r="Q23" s="298" t="s">
        <v>58</v>
      </c>
      <c r="R23" s="298" t="s">
        <v>58</v>
      </c>
      <c r="S23" s="298" t="s">
        <v>58</v>
      </c>
      <c r="T23" s="298" t="s">
        <v>58</v>
      </c>
      <c r="U23" s="298" t="s">
        <v>58</v>
      </c>
      <c r="V23" s="298" t="s">
        <v>58</v>
      </c>
      <c r="W23" s="298" t="s">
        <v>58</v>
      </c>
      <c r="X23" s="298" t="s">
        <v>58</v>
      </c>
      <c r="Y23" s="298" t="s">
        <v>58</v>
      </c>
      <c r="Z23" s="298" t="s">
        <v>58</v>
      </c>
      <c r="AA23" s="298" t="s">
        <v>58</v>
      </c>
      <c r="AB23" s="313" t="s">
        <v>58</v>
      </c>
      <c r="AC23" s="209" t="s">
        <v>35</v>
      </c>
      <c r="AD23" s="369"/>
      <c r="AE23" s="888" t="s">
        <v>58</v>
      </c>
    </row>
    <row r="24" spans="1:31" ht="12.75" customHeight="1">
      <c r="A24" s="8"/>
      <c r="B24" s="10" t="s">
        <v>43</v>
      </c>
      <c r="C24" s="278">
        <v>1919</v>
      </c>
      <c r="D24" s="279">
        <v>1958</v>
      </c>
      <c r="E24" s="279">
        <v>2268</v>
      </c>
      <c r="F24" s="279">
        <v>2742</v>
      </c>
      <c r="G24" s="279">
        <v>2742</v>
      </c>
      <c r="H24" s="279">
        <v>2693</v>
      </c>
      <c r="I24" s="314">
        <v>2758</v>
      </c>
      <c r="J24" s="279">
        <v>833</v>
      </c>
      <c r="K24" s="279">
        <v>852</v>
      </c>
      <c r="L24" s="279">
        <v>870</v>
      </c>
      <c r="M24" s="291">
        <v>833</v>
      </c>
      <c r="N24" s="279">
        <v>2818</v>
      </c>
      <c r="O24" s="279">
        <v>2531</v>
      </c>
      <c r="P24" s="279">
        <v>2824</v>
      </c>
      <c r="Q24" s="279">
        <v>2854</v>
      </c>
      <c r="R24" s="279">
        <v>2948</v>
      </c>
      <c r="S24" s="279">
        <v>2895</v>
      </c>
      <c r="T24" s="279">
        <v>2849</v>
      </c>
      <c r="U24" s="279">
        <v>2791</v>
      </c>
      <c r="V24" s="279">
        <v>2993</v>
      </c>
      <c r="W24" s="279">
        <v>3093</v>
      </c>
      <c r="X24" s="279">
        <v>3165</v>
      </c>
      <c r="Y24" s="279">
        <v>3233</v>
      </c>
      <c r="Z24" s="279">
        <v>3274</v>
      </c>
      <c r="AA24" s="279">
        <v>3593</v>
      </c>
      <c r="AB24" s="303">
        <v>3415</v>
      </c>
      <c r="AC24" s="54" t="s">
        <v>43</v>
      </c>
      <c r="AD24" s="369"/>
      <c r="AE24" s="448">
        <f t="shared" si="1"/>
        <v>-4.9540773726690759</v>
      </c>
    </row>
    <row r="25" spans="1:31" ht="12.75" customHeight="1">
      <c r="A25" s="8"/>
      <c r="B25" s="119" t="s">
        <v>52</v>
      </c>
      <c r="C25" s="280">
        <v>4125</v>
      </c>
      <c r="D25" s="281">
        <v>4025</v>
      </c>
      <c r="E25" s="281">
        <v>3689</v>
      </c>
      <c r="F25" s="281">
        <v>3468</v>
      </c>
      <c r="G25" s="281">
        <v>3332</v>
      </c>
      <c r="H25" s="281">
        <v>3320</v>
      </c>
      <c r="I25" s="281">
        <v>3175</v>
      </c>
      <c r="J25" s="281">
        <v>3102</v>
      </c>
      <c r="K25" s="281">
        <v>3112</v>
      </c>
      <c r="L25" s="281">
        <v>3040</v>
      </c>
      <c r="M25" s="281">
        <v>2978</v>
      </c>
      <c r="N25" s="281">
        <v>3010</v>
      </c>
      <c r="O25" s="281">
        <v>2995</v>
      </c>
      <c r="P25" s="281">
        <v>2974</v>
      </c>
      <c r="Q25" s="281">
        <v>2860</v>
      </c>
      <c r="R25" s="281">
        <v>2815</v>
      </c>
      <c r="S25" s="281">
        <v>2819</v>
      </c>
      <c r="T25" s="281">
        <v>2687</v>
      </c>
      <c r="U25" s="281">
        <v>2646</v>
      </c>
      <c r="V25" s="281">
        <v>2834</v>
      </c>
      <c r="W25" s="296">
        <v>2834</v>
      </c>
      <c r="X25" s="296">
        <v>2834</v>
      </c>
      <c r="Y25" s="281">
        <v>3004</v>
      </c>
      <c r="Z25" s="281">
        <v>2935</v>
      </c>
      <c r="AA25" s="281">
        <v>2916</v>
      </c>
      <c r="AB25" s="304">
        <v>2691</v>
      </c>
      <c r="AC25" s="209" t="s">
        <v>52</v>
      </c>
      <c r="AD25" s="369"/>
      <c r="AE25" s="525">
        <f t="shared" si="1"/>
        <v>-7.7160493827160508</v>
      </c>
    </row>
    <row r="26" spans="1:31" ht="12.75" customHeight="1">
      <c r="A26" s="8"/>
      <c r="B26" s="10" t="s">
        <v>36</v>
      </c>
      <c r="C26" s="278">
        <v>8522</v>
      </c>
      <c r="D26" s="279">
        <v>7493</v>
      </c>
      <c r="E26" s="279">
        <v>11928</v>
      </c>
      <c r="F26" s="279">
        <v>9761</v>
      </c>
      <c r="G26" s="279">
        <v>9544</v>
      </c>
      <c r="H26" s="279">
        <v>8985</v>
      </c>
      <c r="I26" s="279">
        <v>8877</v>
      </c>
      <c r="J26" s="279">
        <v>8603</v>
      </c>
      <c r="K26" s="279">
        <v>8843</v>
      </c>
      <c r="L26" s="279">
        <v>8298</v>
      </c>
      <c r="M26" s="279">
        <v>8277</v>
      </c>
      <c r="N26" s="279">
        <v>7863</v>
      </c>
      <c r="O26" s="279">
        <v>7799</v>
      </c>
      <c r="P26" s="279">
        <v>7885</v>
      </c>
      <c r="Q26" s="279">
        <v>7797</v>
      </c>
      <c r="R26" s="279">
        <v>7330</v>
      </c>
      <c r="S26" s="279">
        <v>7478</v>
      </c>
      <c r="T26" s="279">
        <v>7406</v>
      </c>
      <c r="U26" s="279">
        <v>7409</v>
      </c>
      <c r="V26" s="279">
        <v>6972</v>
      </c>
      <c r="W26" s="279">
        <v>7263</v>
      </c>
      <c r="X26" s="279">
        <v>6764</v>
      </c>
      <c r="Y26" s="279">
        <v>6808</v>
      </c>
      <c r="Z26" s="279">
        <v>6392</v>
      </c>
      <c r="AA26" s="279">
        <v>7113</v>
      </c>
      <c r="AB26" s="303">
        <v>7164</v>
      </c>
      <c r="AC26" s="54" t="s">
        <v>36</v>
      </c>
      <c r="AD26" s="369"/>
      <c r="AE26" s="448">
        <f t="shared" si="1"/>
        <v>0.71699704765921979</v>
      </c>
    </row>
    <row r="27" spans="1:31" ht="12.75" customHeight="1">
      <c r="A27" s="8"/>
      <c r="B27" s="119" t="s">
        <v>53</v>
      </c>
      <c r="C27" s="280">
        <v>980</v>
      </c>
      <c r="D27" s="281">
        <v>1137</v>
      </c>
      <c r="E27" s="281">
        <v>1232</v>
      </c>
      <c r="F27" s="281">
        <v>1303</v>
      </c>
      <c r="G27" s="281">
        <v>1313</v>
      </c>
      <c r="H27" s="241">
        <v>1258</v>
      </c>
      <c r="I27" s="281">
        <v>1203</v>
      </c>
      <c r="J27" s="281">
        <v>1150</v>
      </c>
      <c r="K27" s="281">
        <v>1125</v>
      </c>
      <c r="L27" s="281">
        <v>1062</v>
      </c>
      <c r="M27" s="281">
        <v>1060</v>
      </c>
      <c r="N27" s="281">
        <v>1051</v>
      </c>
      <c r="O27" s="281">
        <v>1043</v>
      </c>
      <c r="P27" s="281">
        <v>965</v>
      </c>
      <c r="Q27" s="281">
        <v>953</v>
      </c>
      <c r="R27" s="281">
        <v>980</v>
      </c>
      <c r="S27" s="281">
        <v>973</v>
      </c>
      <c r="T27" s="281">
        <v>980</v>
      </c>
      <c r="U27" s="281">
        <v>977</v>
      </c>
      <c r="V27" s="281">
        <v>966</v>
      </c>
      <c r="W27" s="281">
        <v>981</v>
      </c>
      <c r="X27" s="281">
        <v>981</v>
      </c>
      <c r="Y27" s="281">
        <v>990</v>
      </c>
      <c r="Z27" s="281">
        <v>988</v>
      </c>
      <c r="AA27" s="281">
        <v>1100</v>
      </c>
      <c r="AB27" s="304">
        <v>1011</v>
      </c>
      <c r="AC27" s="209" t="s">
        <v>53</v>
      </c>
      <c r="AD27" s="369"/>
      <c r="AE27" s="525">
        <f t="shared" si="1"/>
        <v>-8.0909090909090935</v>
      </c>
    </row>
    <row r="28" spans="1:31" ht="12.75" customHeight="1">
      <c r="A28" s="8"/>
      <c r="B28" s="10" t="s">
        <v>37</v>
      </c>
      <c r="C28" s="278"/>
      <c r="D28" s="279">
        <v>5579</v>
      </c>
      <c r="E28" s="279">
        <v>6352</v>
      </c>
      <c r="F28" s="279">
        <v>6234</v>
      </c>
      <c r="G28" s="279">
        <v>6245</v>
      </c>
      <c r="H28" s="314">
        <v>5467</v>
      </c>
      <c r="I28" s="279">
        <v>3629</v>
      </c>
      <c r="J28" s="279">
        <v>3407</v>
      </c>
      <c r="K28" s="279">
        <v>3310</v>
      </c>
      <c r="L28" s="279">
        <v>3380</v>
      </c>
      <c r="M28" s="279">
        <v>3462</v>
      </c>
      <c r="N28" s="279">
        <v>3314</v>
      </c>
      <c r="O28" s="279">
        <v>3312</v>
      </c>
      <c r="P28" s="279">
        <v>3037</v>
      </c>
      <c r="Q28" s="279">
        <v>2059</v>
      </c>
      <c r="R28" s="279">
        <v>2511</v>
      </c>
      <c r="S28" s="279">
        <v>2304</v>
      </c>
      <c r="T28" s="279">
        <v>2630</v>
      </c>
      <c r="U28" s="279">
        <v>2329</v>
      </c>
      <c r="V28" s="279">
        <v>2313</v>
      </c>
      <c r="W28" s="279">
        <v>2318</v>
      </c>
      <c r="X28" s="286">
        <v>2312</v>
      </c>
      <c r="Y28" s="289">
        <v>2000</v>
      </c>
      <c r="Z28" s="279">
        <v>1702</v>
      </c>
      <c r="AA28" s="279">
        <v>2317</v>
      </c>
      <c r="AB28" s="303">
        <v>2281</v>
      </c>
      <c r="AC28" s="54" t="s">
        <v>37</v>
      </c>
      <c r="AD28" s="369"/>
      <c r="AE28" s="448">
        <f t="shared" si="1"/>
        <v>-1.5537332757876641</v>
      </c>
    </row>
    <row r="29" spans="1:31" ht="12.75" customHeight="1">
      <c r="A29" s="8"/>
      <c r="B29" s="119" t="s">
        <v>39</v>
      </c>
      <c r="C29" s="280"/>
      <c r="D29" s="281"/>
      <c r="E29" s="281">
        <v>606</v>
      </c>
      <c r="F29" s="281">
        <v>461</v>
      </c>
      <c r="G29" s="281">
        <v>470</v>
      </c>
      <c r="H29" s="281">
        <v>482</v>
      </c>
      <c r="I29" s="281">
        <v>432</v>
      </c>
      <c r="J29" s="281">
        <v>403</v>
      </c>
      <c r="K29" s="281">
        <v>401</v>
      </c>
      <c r="L29" s="281">
        <v>400</v>
      </c>
      <c r="M29" s="281">
        <v>373</v>
      </c>
      <c r="N29" s="281">
        <v>362</v>
      </c>
      <c r="O29" s="281">
        <v>360</v>
      </c>
      <c r="P29" s="281">
        <v>355</v>
      </c>
      <c r="Q29" s="281">
        <v>355</v>
      </c>
      <c r="R29" s="281">
        <v>355</v>
      </c>
      <c r="S29" s="281">
        <v>355</v>
      </c>
      <c r="T29" s="281">
        <v>355</v>
      </c>
      <c r="U29" s="281">
        <v>349</v>
      </c>
      <c r="V29" s="281">
        <v>349</v>
      </c>
      <c r="W29" s="281">
        <v>349</v>
      </c>
      <c r="X29" s="281">
        <v>347</v>
      </c>
      <c r="Y29" s="281">
        <v>348</v>
      </c>
      <c r="Z29" s="281">
        <v>356</v>
      </c>
      <c r="AA29" s="281">
        <v>442</v>
      </c>
      <c r="AB29" s="304">
        <v>432</v>
      </c>
      <c r="AC29" s="209" t="s">
        <v>39</v>
      </c>
      <c r="AD29" s="369"/>
      <c r="AE29" s="525">
        <f t="shared" si="1"/>
        <v>-2.2624434389140333</v>
      </c>
    </row>
    <row r="30" spans="1:31" ht="12.75" customHeight="1">
      <c r="A30" s="8"/>
      <c r="B30" s="10" t="s">
        <v>38</v>
      </c>
      <c r="C30" s="287"/>
      <c r="D30" s="288"/>
      <c r="E30" s="288"/>
      <c r="F30" s="279">
        <v>2273</v>
      </c>
      <c r="G30" s="279">
        <v>1915</v>
      </c>
      <c r="H30" s="279">
        <v>2189</v>
      </c>
      <c r="I30" s="279">
        <v>1984</v>
      </c>
      <c r="J30" s="279">
        <v>1797</v>
      </c>
      <c r="K30" s="279">
        <v>1808</v>
      </c>
      <c r="L30" s="279">
        <v>1727</v>
      </c>
      <c r="M30" s="279">
        <v>1771</v>
      </c>
      <c r="N30" s="279">
        <v>1709</v>
      </c>
      <c r="O30" s="279">
        <v>1646</v>
      </c>
      <c r="P30" s="279">
        <v>1530</v>
      </c>
      <c r="Q30" s="279">
        <v>1569</v>
      </c>
      <c r="R30" s="279">
        <v>1516</v>
      </c>
      <c r="S30" s="279">
        <v>1467</v>
      </c>
      <c r="T30" s="279">
        <v>1395</v>
      </c>
      <c r="U30" s="279">
        <v>1406</v>
      </c>
      <c r="V30" s="279">
        <v>1419</v>
      </c>
      <c r="W30" s="279">
        <v>1373</v>
      </c>
      <c r="X30" s="279">
        <v>1289</v>
      </c>
      <c r="Y30" s="279">
        <v>1303</v>
      </c>
      <c r="Z30" s="279">
        <v>1377</v>
      </c>
      <c r="AA30" s="286">
        <f>Z30</f>
        <v>1377</v>
      </c>
      <c r="AB30" s="301">
        <f>AA30</f>
        <v>1377</v>
      </c>
      <c r="AC30" s="54" t="s">
        <v>38</v>
      </c>
      <c r="AD30" s="369"/>
      <c r="AE30" s="448">
        <f t="shared" si="1"/>
        <v>0</v>
      </c>
    </row>
    <row r="31" spans="1:31" ht="12.75" customHeight="1">
      <c r="A31" s="8"/>
      <c r="B31" s="119" t="s">
        <v>54</v>
      </c>
      <c r="C31" s="280">
        <v>1032</v>
      </c>
      <c r="D31" s="281">
        <v>1100</v>
      </c>
      <c r="E31" s="281">
        <v>957</v>
      </c>
      <c r="F31" s="281">
        <v>1003</v>
      </c>
      <c r="G31" s="281">
        <v>1011</v>
      </c>
      <c r="H31" s="281">
        <v>1030</v>
      </c>
      <c r="I31" s="281">
        <v>1060</v>
      </c>
      <c r="J31" s="281">
        <v>1029</v>
      </c>
      <c r="K31" s="281">
        <v>1084</v>
      </c>
      <c r="L31" s="281">
        <v>1083</v>
      </c>
      <c r="M31" s="281">
        <v>1024</v>
      </c>
      <c r="N31" s="281">
        <v>1035</v>
      </c>
      <c r="O31" s="281">
        <v>1033</v>
      </c>
      <c r="P31" s="281">
        <v>1071</v>
      </c>
      <c r="Q31" s="281">
        <v>1102</v>
      </c>
      <c r="R31" s="281">
        <v>1131</v>
      </c>
      <c r="S31" s="281">
        <v>1163</v>
      </c>
      <c r="T31" s="281">
        <v>1181</v>
      </c>
      <c r="U31" s="281">
        <v>1101</v>
      </c>
      <c r="V31" s="281">
        <v>1203</v>
      </c>
      <c r="W31" s="281">
        <v>1227</v>
      </c>
      <c r="X31" s="281">
        <v>1226</v>
      </c>
      <c r="Y31" s="296">
        <v>1226</v>
      </c>
      <c r="Z31" s="296">
        <v>1226</v>
      </c>
      <c r="AA31" s="296">
        <f>Z31</f>
        <v>1226</v>
      </c>
      <c r="AB31" s="312">
        <f>AA31</f>
        <v>1226</v>
      </c>
      <c r="AC31" s="209" t="s">
        <v>54</v>
      </c>
      <c r="AD31" s="369"/>
      <c r="AE31" s="525">
        <f t="shared" si="1"/>
        <v>0</v>
      </c>
    </row>
    <row r="32" spans="1:31" ht="12.75" customHeight="1">
      <c r="A32" s="8"/>
      <c r="B32" s="11" t="s">
        <v>55</v>
      </c>
      <c r="C32" s="282">
        <v>2746</v>
      </c>
      <c r="D32" s="283">
        <v>1998</v>
      </c>
      <c r="E32" s="283">
        <v>1747</v>
      </c>
      <c r="F32" s="283">
        <v>1748</v>
      </c>
      <c r="G32" s="391">
        <v>1847</v>
      </c>
      <c r="H32" s="283">
        <v>1895</v>
      </c>
      <c r="I32" s="283">
        <v>1841</v>
      </c>
      <c r="J32" s="283">
        <v>1758</v>
      </c>
      <c r="K32" s="283">
        <v>1882</v>
      </c>
      <c r="L32" s="283">
        <v>1930</v>
      </c>
      <c r="M32" s="283">
        <v>2156</v>
      </c>
      <c r="N32" s="283">
        <v>2283</v>
      </c>
      <c r="O32" s="283">
        <v>2268</v>
      </c>
      <c r="P32" s="283">
        <v>2352</v>
      </c>
      <c r="Q32" s="283">
        <v>2393</v>
      </c>
      <c r="R32" s="283">
        <v>2646</v>
      </c>
      <c r="S32" s="283">
        <v>2715</v>
      </c>
      <c r="T32" s="283">
        <v>2806</v>
      </c>
      <c r="U32" s="283">
        <v>2858</v>
      </c>
      <c r="V32" s="283">
        <v>2964</v>
      </c>
      <c r="W32" s="283">
        <v>3048</v>
      </c>
      <c r="X32" s="283">
        <v>3084</v>
      </c>
      <c r="Y32" s="283">
        <v>3096</v>
      </c>
      <c r="Z32" s="283">
        <v>3284</v>
      </c>
      <c r="AA32" s="283">
        <v>3390</v>
      </c>
      <c r="AB32" s="306">
        <v>3492</v>
      </c>
      <c r="AC32" s="55" t="s">
        <v>55</v>
      </c>
      <c r="AD32" s="369"/>
      <c r="AE32" s="459">
        <f t="shared" si="1"/>
        <v>3.0088495575221259</v>
      </c>
    </row>
    <row r="33" spans="1:31" ht="12.75" customHeight="1">
      <c r="A33" s="8"/>
      <c r="B33" s="118" t="s">
        <v>26</v>
      </c>
      <c r="C33" s="297" t="s">
        <v>58</v>
      </c>
      <c r="D33" s="298" t="s">
        <v>58</v>
      </c>
      <c r="E33" s="298" t="s">
        <v>58</v>
      </c>
      <c r="F33" s="298" t="s">
        <v>58</v>
      </c>
      <c r="G33" s="298" t="s">
        <v>58</v>
      </c>
      <c r="H33" s="298" t="s">
        <v>58</v>
      </c>
      <c r="I33" s="298" t="s">
        <v>58</v>
      </c>
      <c r="J33" s="298" t="s">
        <v>58</v>
      </c>
      <c r="K33" s="298" t="s">
        <v>58</v>
      </c>
      <c r="L33" s="298" t="s">
        <v>58</v>
      </c>
      <c r="M33" s="298" t="s">
        <v>58</v>
      </c>
      <c r="N33" s="298" t="s">
        <v>58</v>
      </c>
      <c r="O33" s="298" t="s">
        <v>58</v>
      </c>
      <c r="P33" s="298" t="s">
        <v>58</v>
      </c>
      <c r="Q33" s="298" t="s">
        <v>58</v>
      </c>
      <c r="R33" s="298" t="s">
        <v>58</v>
      </c>
      <c r="S33" s="298" t="s">
        <v>58</v>
      </c>
      <c r="T33" s="298" t="s">
        <v>58</v>
      </c>
      <c r="U33" s="298" t="s">
        <v>58</v>
      </c>
      <c r="V33" s="298" t="s">
        <v>58</v>
      </c>
      <c r="W33" s="298" t="s">
        <v>58</v>
      </c>
      <c r="X33" s="298" t="s">
        <v>58</v>
      </c>
      <c r="Y33" s="298" t="s">
        <v>58</v>
      </c>
      <c r="Z33" s="298" t="s">
        <v>58</v>
      </c>
      <c r="AA33" s="298" t="s">
        <v>58</v>
      </c>
      <c r="AB33" s="313" t="s">
        <v>58</v>
      </c>
      <c r="AC33" s="209" t="s">
        <v>26</v>
      </c>
      <c r="AD33" s="369"/>
      <c r="AE33" s="888" t="s">
        <v>58</v>
      </c>
    </row>
    <row r="34" spans="1:31" ht="12.75" customHeight="1">
      <c r="A34" s="8"/>
      <c r="B34" s="10" t="s">
        <v>56</v>
      </c>
      <c r="C34" s="278">
        <v>1067</v>
      </c>
      <c r="D34" s="279">
        <v>908</v>
      </c>
      <c r="E34" s="279">
        <v>900</v>
      </c>
      <c r="F34" s="279">
        <v>918</v>
      </c>
      <c r="G34" s="279">
        <v>942</v>
      </c>
      <c r="H34" s="279">
        <v>850</v>
      </c>
      <c r="I34" s="316">
        <v>231</v>
      </c>
      <c r="J34" s="235">
        <v>237</v>
      </c>
      <c r="K34" s="235">
        <v>191</v>
      </c>
      <c r="L34" s="235">
        <v>191</v>
      </c>
      <c r="M34" s="235">
        <v>191</v>
      </c>
      <c r="N34" s="235">
        <v>191</v>
      </c>
      <c r="O34" s="235">
        <v>191</v>
      </c>
      <c r="P34" s="235">
        <v>210</v>
      </c>
      <c r="Q34" s="235">
        <v>212</v>
      </c>
      <c r="R34" s="235">
        <v>209</v>
      </c>
      <c r="S34" s="235">
        <v>175</v>
      </c>
      <c r="T34" s="235">
        <v>383</v>
      </c>
      <c r="U34" s="235">
        <v>386</v>
      </c>
      <c r="V34" s="235">
        <v>388</v>
      </c>
      <c r="W34" s="235">
        <v>394</v>
      </c>
      <c r="X34" s="239">
        <v>394</v>
      </c>
      <c r="Y34" s="239">
        <v>394</v>
      </c>
      <c r="Z34" s="239">
        <v>394</v>
      </c>
      <c r="AA34" s="239">
        <f>Z34</f>
        <v>394</v>
      </c>
      <c r="AB34" s="469">
        <f>AA34</f>
        <v>394</v>
      </c>
      <c r="AC34" s="54" t="s">
        <v>56</v>
      </c>
      <c r="AD34" s="369"/>
      <c r="AE34" s="448">
        <f t="shared" si="1"/>
        <v>0</v>
      </c>
    </row>
    <row r="35" spans="1:31" ht="12.75" customHeight="1">
      <c r="A35" s="8"/>
      <c r="B35" s="120" t="s">
        <v>27</v>
      </c>
      <c r="C35" s="277">
        <v>3816</v>
      </c>
      <c r="D35" s="245">
        <v>4006</v>
      </c>
      <c r="E35" s="299">
        <v>4136</v>
      </c>
      <c r="F35" s="299">
        <v>3333</v>
      </c>
      <c r="G35" s="299">
        <v>3925</v>
      </c>
      <c r="H35" s="299">
        <v>4020</v>
      </c>
      <c r="I35" s="299">
        <v>4076</v>
      </c>
      <c r="J35" s="299">
        <v>4359</v>
      </c>
      <c r="K35" s="299">
        <v>4293</v>
      </c>
      <c r="L35" s="299">
        <v>4463</v>
      </c>
      <c r="M35" s="315">
        <v>4491</v>
      </c>
      <c r="N35" s="299">
        <v>4470</v>
      </c>
      <c r="O35" s="299">
        <v>4470</v>
      </c>
      <c r="P35" s="299">
        <v>4949</v>
      </c>
      <c r="Q35" s="299">
        <v>4822</v>
      </c>
      <c r="R35" s="299">
        <v>4911</v>
      </c>
      <c r="S35" s="299">
        <v>4997</v>
      </c>
      <c r="T35" s="299">
        <v>4865</v>
      </c>
      <c r="U35" s="299">
        <v>5245</v>
      </c>
      <c r="V35" s="299">
        <v>5280</v>
      </c>
      <c r="W35" s="299">
        <v>5355</v>
      </c>
      <c r="X35" s="299">
        <v>5474</v>
      </c>
      <c r="Y35" s="299">
        <v>5566</v>
      </c>
      <c r="Z35" s="299">
        <v>5940</v>
      </c>
      <c r="AA35" s="299">
        <v>5871</v>
      </c>
      <c r="AB35" s="305">
        <f>537+401+5356</f>
        <v>6294</v>
      </c>
      <c r="AC35" s="210" t="s">
        <v>27</v>
      </c>
      <c r="AD35" s="369"/>
      <c r="AE35" s="460">
        <f t="shared" si="1"/>
        <v>7.2049054675523649</v>
      </c>
    </row>
    <row r="36" spans="1:31" ht="12.75" customHeight="1">
      <c r="A36" s="8"/>
      <c r="B36" s="10" t="s">
        <v>311</v>
      </c>
      <c r="C36" s="278"/>
      <c r="D36" s="279"/>
      <c r="E36" s="279"/>
      <c r="F36" s="279">
        <v>300</v>
      </c>
      <c r="G36" s="286">
        <v>302</v>
      </c>
      <c r="H36" s="279">
        <v>246</v>
      </c>
      <c r="I36" s="279">
        <v>248</v>
      </c>
      <c r="J36" s="279">
        <v>168</v>
      </c>
      <c r="K36" s="279">
        <v>180</v>
      </c>
      <c r="L36" s="279">
        <v>180</v>
      </c>
      <c r="M36" s="279">
        <v>181</v>
      </c>
      <c r="N36" s="279">
        <v>181</v>
      </c>
      <c r="O36" s="279">
        <v>190</v>
      </c>
      <c r="P36" s="279">
        <v>187</v>
      </c>
      <c r="Q36" s="767">
        <v>183</v>
      </c>
      <c r="R36" s="279">
        <v>132</v>
      </c>
      <c r="S36" s="279">
        <v>132</v>
      </c>
      <c r="T36" s="279">
        <v>132</v>
      </c>
      <c r="U36" s="279">
        <v>132</v>
      </c>
      <c r="V36" s="279">
        <v>214</v>
      </c>
      <c r="W36" s="279">
        <v>214</v>
      </c>
      <c r="X36" s="279">
        <v>214</v>
      </c>
      <c r="Y36" s="279">
        <v>200</v>
      </c>
      <c r="Z36" s="279">
        <v>188</v>
      </c>
      <c r="AA36" s="279">
        <v>188</v>
      </c>
      <c r="AB36" s="303">
        <v>187</v>
      </c>
      <c r="AC36" s="54" t="s">
        <v>311</v>
      </c>
      <c r="AD36" s="369"/>
      <c r="AE36" s="448">
        <f t="shared" si="1"/>
        <v>-0.53191489361702793</v>
      </c>
    </row>
    <row r="37" spans="1:31" s="22" customFormat="1" ht="12.75" customHeight="1">
      <c r="A37" s="203"/>
      <c r="B37" s="119" t="s">
        <v>139</v>
      </c>
      <c r="C37" s="280"/>
      <c r="D37" s="281"/>
      <c r="E37" s="236"/>
      <c r="F37" s="236"/>
      <c r="G37" s="236"/>
      <c r="H37" s="236"/>
      <c r="I37" s="236"/>
      <c r="J37" s="236">
        <v>78</v>
      </c>
      <c r="K37" s="236">
        <v>83</v>
      </c>
      <c r="L37" s="236">
        <v>83</v>
      </c>
      <c r="M37" s="236">
        <v>68</v>
      </c>
      <c r="N37" s="241">
        <f>M37</f>
        <v>68</v>
      </c>
      <c r="O37" s="241">
        <f t="shared" ref="O37:V37" si="2">N37</f>
        <v>68</v>
      </c>
      <c r="P37" s="241">
        <f t="shared" si="2"/>
        <v>68</v>
      </c>
      <c r="Q37" s="241">
        <f t="shared" si="2"/>
        <v>68</v>
      </c>
      <c r="R37" s="241">
        <f t="shared" si="2"/>
        <v>68</v>
      </c>
      <c r="S37" s="241">
        <f t="shared" si="2"/>
        <v>68</v>
      </c>
      <c r="T37" s="241">
        <f t="shared" si="2"/>
        <v>68</v>
      </c>
      <c r="U37" s="241">
        <f t="shared" si="2"/>
        <v>68</v>
      </c>
      <c r="V37" s="241">
        <f t="shared" si="2"/>
        <v>68</v>
      </c>
      <c r="W37" s="236">
        <v>35</v>
      </c>
      <c r="X37" s="298">
        <v>35</v>
      </c>
      <c r="Y37" s="298">
        <v>34</v>
      </c>
      <c r="Z37" s="298">
        <v>27</v>
      </c>
      <c r="AA37" s="298">
        <v>24</v>
      </c>
      <c r="AB37" s="313">
        <v>25</v>
      </c>
      <c r="AC37" s="209" t="s">
        <v>139</v>
      </c>
      <c r="AD37" s="369"/>
      <c r="AE37" s="525">
        <f t="shared" si="1"/>
        <v>4.1666666666666714</v>
      </c>
    </row>
    <row r="38" spans="1:31" s="22" customFormat="1" ht="12.75" customHeight="1">
      <c r="A38" s="203"/>
      <c r="B38" s="10" t="s">
        <v>313</v>
      </c>
      <c r="C38" s="278"/>
      <c r="D38" s="279"/>
      <c r="E38" s="235"/>
      <c r="F38" s="235">
        <v>582</v>
      </c>
      <c r="G38" s="601">
        <v>561</v>
      </c>
      <c r="H38" s="235">
        <v>580</v>
      </c>
      <c r="I38" s="235">
        <v>580</v>
      </c>
      <c r="J38" s="235">
        <v>560</v>
      </c>
      <c r="K38" s="235">
        <v>548</v>
      </c>
      <c r="L38" s="235">
        <v>521</v>
      </c>
      <c r="M38" s="235">
        <v>502</v>
      </c>
      <c r="N38" s="235">
        <v>489</v>
      </c>
      <c r="O38" s="235">
        <v>411</v>
      </c>
      <c r="P38" s="235">
        <v>458</v>
      </c>
      <c r="Q38" s="235">
        <v>370</v>
      </c>
      <c r="R38" s="235">
        <v>359</v>
      </c>
      <c r="S38" s="235">
        <v>359</v>
      </c>
      <c r="T38" s="235">
        <v>359</v>
      </c>
      <c r="U38" s="235">
        <v>324</v>
      </c>
      <c r="V38" s="235">
        <v>268</v>
      </c>
      <c r="W38" s="239">
        <v>268</v>
      </c>
      <c r="X38" s="239">
        <v>268</v>
      </c>
      <c r="Y38" s="288">
        <v>262</v>
      </c>
      <c r="Z38" s="288">
        <v>264</v>
      </c>
      <c r="AA38" s="288">
        <v>212</v>
      </c>
      <c r="AB38" s="311">
        <v>220</v>
      </c>
      <c r="AC38" s="54" t="s">
        <v>313</v>
      </c>
      <c r="AD38" s="369"/>
      <c r="AE38" s="448">
        <f t="shared" si="1"/>
        <v>3.7735849056603712</v>
      </c>
    </row>
    <row r="39" spans="1:31" ht="12.75" customHeight="1">
      <c r="A39" s="8"/>
      <c r="B39" s="119" t="s">
        <v>0</v>
      </c>
      <c r="C39" s="280"/>
      <c r="D39" s="281">
        <v>180</v>
      </c>
      <c r="E39" s="281">
        <v>175</v>
      </c>
      <c r="F39" s="281">
        <v>164</v>
      </c>
      <c r="G39" s="281">
        <v>139</v>
      </c>
      <c r="H39" s="281">
        <v>139</v>
      </c>
      <c r="I39" s="281">
        <v>137</v>
      </c>
      <c r="J39" s="281">
        <v>135</v>
      </c>
      <c r="K39" s="281">
        <v>125</v>
      </c>
      <c r="L39" s="281">
        <v>124</v>
      </c>
      <c r="M39" s="281">
        <v>124</v>
      </c>
      <c r="N39" s="281">
        <v>124</v>
      </c>
      <c r="O39" s="281">
        <v>110</v>
      </c>
      <c r="P39" s="281">
        <v>64</v>
      </c>
      <c r="Q39" s="281">
        <v>64</v>
      </c>
      <c r="R39" s="281">
        <v>68</v>
      </c>
      <c r="S39" s="281">
        <v>67</v>
      </c>
      <c r="T39" s="281">
        <v>67</v>
      </c>
      <c r="U39" s="281">
        <v>67</v>
      </c>
      <c r="V39" s="281">
        <v>67</v>
      </c>
      <c r="W39" s="281">
        <v>67</v>
      </c>
      <c r="X39" s="281">
        <v>67</v>
      </c>
      <c r="Y39" s="281">
        <v>67</v>
      </c>
      <c r="Z39" s="281">
        <v>67</v>
      </c>
      <c r="AA39" s="281">
        <v>67</v>
      </c>
      <c r="AB39" s="304">
        <v>65</v>
      </c>
      <c r="AC39" s="209" t="s">
        <v>0</v>
      </c>
      <c r="AD39" s="369"/>
      <c r="AE39" s="525">
        <f t="shared" si="1"/>
        <v>-2.9850746268656678</v>
      </c>
    </row>
    <row r="40" spans="1:31" s="22" customFormat="1" ht="12.75" customHeight="1">
      <c r="A40" s="203"/>
      <c r="B40" s="935" t="s">
        <v>346</v>
      </c>
      <c r="C40" s="279"/>
      <c r="D40" s="279"/>
      <c r="E40" s="279"/>
      <c r="F40" s="279"/>
      <c r="G40" s="279"/>
      <c r="H40" s="279"/>
      <c r="I40" s="279"/>
      <c r="J40" s="279"/>
      <c r="K40" s="279"/>
      <c r="L40" s="279"/>
      <c r="M40" s="279"/>
      <c r="N40" s="279"/>
      <c r="O40" s="279"/>
      <c r="P40" s="279"/>
      <c r="Q40" s="279"/>
      <c r="R40" s="279"/>
      <c r="S40" s="279"/>
      <c r="T40" s="279"/>
      <c r="U40" s="279"/>
      <c r="V40" s="279"/>
      <c r="W40" s="279"/>
      <c r="X40" s="279">
        <v>123</v>
      </c>
      <c r="Y40" s="279">
        <v>123</v>
      </c>
      <c r="Z40" s="279">
        <v>118</v>
      </c>
      <c r="AA40" s="279">
        <v>117</v>
      </c>
      <c r="AB40" s="303">
        <v>116</v>
      </c>
      <c r="AC40" s="54" t="s">
        <v>346</v>
      </c>
      <c r="AD40" s="1006"/>
      <c r="AE40" s="448">
        <f t="shared" si="1"/>
        <v>-0.85470085470085166</v>
      </c>
    </row>
    <row r="41" spans="1:31" s="22" customFormat="1" ht="12.75" customHeight="1">
      <c r="A41" s="203"/>
      <c r="B41" s="941" t="s">
        <v>145</v>
      </c>
      <c r="C41" s="442"/>
      <c r="D41" s="442"/>
      <c r="E41" s="1003"/>
      <c r="F41" s="296">
        <v>99</v>
      </c>
      <c r="G41" s="281">
        <v>76</v>
      </c>
      <c r="H41" s="281">
        <v>86</v>
      </c>
      <c r="I41" s="296">
        <v>88</v>
      </c>
      <c r="J41" s="281">
        <v>88</v>
      </c>
      <c r="K41" s="281">
        <v>88</v>
      </c>
      <c r="L41" s="281">
        <v>88</v>
      </c>
      <c r="M41" s="281">
        <v>88</v>
      </c>
      <c r="N41" s="296">
        <f>M41</f>
        <v>88</v>
      </c>
      <c r="O41" s="296">
        <f t="shared" ref="O41:AA41" si="3">N41</f>
        <v>88</v>
      </c>
      <c r="P41" s="296">
        <f t="shared" si="3"/>
        <v>88</v>
      </c>
      <c r="Q41" s="296">
        <f t="shared" si="3"/>
        <v>88</v>
      </c>
      <c r="R41" s="296">
        <f t="shared" si="3"/>
        <v>88</v>
      </c>
      <c r="S41" s="296">
        <f t="shared" si="3"/>
        <v>88</v>
      </c>
      <c r="T41" s="296">
        <f t="shared" si="3"/>
        <v>88</v>
      </c>
      <c r="U41" s="296">
        <f t="shared" si="3"/>
        <v>88</v>
      </c>
      <c r="V41" s="296">
        <f t="shared" si="3"/>
        <v>88</v>
      </c>
      <c r="W41" s="296">
        <f t="shared" si="3"/>
        <v>88</v>
      </c>
      <c r="X41" s="296">
        <f t="shared" si="3"/>
        <v>88</v>
      </c>
      <c r="Y41" s="296">
        <f t="shared" si="3"/>
        <v>88</v>
      </c>
      <c r="Z41" s="296">
        <f t="shared" si="3"/>
        <v>88</v>
      </c>
      <c r="AA41" s="296">
        <f t="shared" si="3"/>
        <v>88</v>
      </c>
      <c r="AB41" s="312">
        <f>AA41</f>
        <v>88</v>
      </c>
      <c r="AC41" s="209" t="s">
        <v>145</v>
      </c>
      <c r="AD41" s="1002"/>
      <c r="AE41" s="525">
        <f t="shared" si="1"/>
        <v>0</v>
      </c>
    </row>
    <row r="42" spans="1:31" s="22" customFormat="1" ht="12.75" customHeight="1">
      <c r="A42" s="203"/>
      <c r="B42" s="935" t="s">
        <v>138</v>
      </c>
      <c r="C42" s="278"/>
      <c r="D42" s="279"/>
      <c r="E42" s="279"/>
      <c r="F42" s="279"/>
      <c r="G42" s="279"/>
      <c r="H42" s="279"/>
      <c r="I42" s="279">
        <v>795</v>
      </c>
      <c r="J42" s="279">
        <v>793</v>
      </c>
      <c r="K42" s="279">
        <v>784</v>
      </c>
      <c r="L42" s="279">
        <v>784</v>
      </c>
      <c r="M42" s="279">
        <v>784</v>
      </c>
      <c r="N42" s="279">
        <v>784</v>
      </c>
      <c r="O42" s="279">
        <v>784</v>
      </c>
      <c r="P42" s="279">
        <v>784</v>
      </c>
      <c r="Q42" s="279">
        <v>784</v>
      </c>
      <c r="R42" s="279">
        <v>767</v>
      </c>
      <c r="S42" s="279">
        <v>769</v>
      </c>
      <c r="T42" s="291">
        <v>732</v>
      </c>
      <c r="U42" s="279">
        <v>817</v>
      </c>
      <c r="V42" s="279">
        <v>883</v>
      </c>
      <c r="W42" s="279">
        <v>691</v>
      </c>
      <c r="X42" s="279">
        <v>542</v>
      </c>
      <c r="Y42" s="279">
        <v>467</v>
      </c>
      <c r="Z42" s="279">
        <v>464</v>
      </c>
      <c r="AA42" s="279">
        <v>397</v>
      </c>
      <c r="AB42" s="301">
        <f>AA42</f>
        <v>397</v>
      </c>
      <c r="AC42" s="54" t="s">
        <v>138</v>
      </c>
      <c r="AD42" s="1006"/>
      <c r="AE42" s="448">
        <f t="shared" si="1"/>
        <v>0</v>
      </c>
    </row>
    <row r="43" spans="1:31" s="22" customFormat="1" ht="12.75" customHeight="1">
      <c r="A43" s="203"/>
      <c r="B43" s="939" t="s">
        <v>40</v>
      </c>
      <c r="C43" s="952">
        <v>1548</v>
      </c>
      <c r="D43" s="236">
        <v>1351</v>
      </c>
      <c r="E43" s="236">
        <v>1443</v>
      </c>
      <c r="F43" s="281">
        <v>1415</v>
      </c>
      <c r="G43" s="281">
        <v>1385</v>
      </c>
      <c r="H43" s="281">
        <v>1356</v>
      </c>
      <c r="I43" s="281">
        <v>1294</v>
      </c>
      <c r="J43" s="281">
        <v>1318</v>
      </c>
      <c r="K43" s="281">
        <v>1312</v>
      </c>
      <c r="L43" s="281">
        <v>1306</v>
      </c>
      <c r="M43" s="281">
        <v>1319</v>
      </c>
      <c r="N43" s="281">
        <v>1304</v>
      </c>
      <c r="O43" s="281">
        <v>1313</v>
      </c>
      <c r="P43" s="281">
        <v>1342</v>
      </c>
      <c r="Q43" s="281">
        <v>1347</v>
      </c>
      <c r="R43" s="281">
        <v>1365</v>
      </c>
      <c r="S43" s="281">
        <v>1381</v>
      </c>
      <c r="T43" s="281">
        <v>1307</v>
      </c>
      <c r="U43" s="281">
        <v>1467</v>
      </c>
      <c r="V43" s="281">
        <v>1426</v>
      </c>
      <c r="W43" s="281">
        <v>1426</v>
      </c>
      <c r="X43" s="281">
        <v>1332</v>
      </c>
      <c r="Y43" s="281">
        <v>1521</v>
      </c>
      <c r="Z43" s="281">
        <v>1338</v>
      </c>
      <c r="AA43" s="281">
        <v>640</v>
      </c>
      <c r="AB43" s="304">
        <v>637</v>
      </c>
      <c r="AC43" s="209" t="s">
        <v>40</v>
      </c>
      <c r="AD43" s="1002"/>
      <c r="AE43" s="525">
        <f t="shared" si="1"/>
        <v>-0.46875</v>
      </c>
    </row>
    <row r="44" spans="1:31" s="22" customFormat="1" ht="12.75" customHeight="1">
      <c r="A44" s="203"/>
      <c r="B44" s="11" t="s">
        <v>312</v>
      </c>
      <c r="C44" s="895"/>
      <c r="D44" s="247"/>
      <c r="E44" s="247"/>
      <c r="F44" s="283">
        <v>8667</v>
      </c>
      <c r="G44" s="283">
        <v>8620</v>
      </c>
      <c r="H44" s="283">
        <v>8329</v>
      </c>
      <c r="I44" s="391">
        <f>H44</f>
        <v>8329</v>
      </c>
      <c r="J44" s="283">
        <v>9911</v>
      </c>
      <c r="K44" s="283">
        <v>11812</v>
      </c>
      <c r="L44" s="283">
        <v>9425</v>
      </c>
      <c r="M44" s="391">
        <f>L44</f>
        <v>9425</v>
      </c>
      <c r="N44" s="391">
        <f>M44</f>
        <v>9425</v>
      </c>
      <c r="O44" s="283">
        <v>7444</v>
      </c>
      <c r="P44" s="283">
        <v>7315</v>
      </c>
      <c r="Q44" s="283">
        <v>7115</v>
      </c>
      <c r="R44" s="283">
        <v>6767</v>
      </c>
      <c r="S44" s="283">
        <v>6216</v>
      </c>
      <c r="T44" s="283">
        <v>5362</v>
      </c>
      <c r="U44" s="283">
        <v>5226</v>
      </c>
      <c r="V44" s="283">
        <v>4509</v>
      </c>
      <c r="W44" s="283">
        <v>4463</v>
      </c>
      <c r="X44" s="283">
        <v>4323</v>
      </c>
      <c r="Y44" s="283">
        <v>4032</v>
      </c>
      <c r="Z44" s="283">
        <v>3826</v>
      </c>
      <c r="AA44" s="283">
        <v>3692</v>
      </c>
      <c r="AB44" s="306">
        <v>3742</v>
      </c>
      <c r="AC44" s="55" t="s">
        <v>312</v>
      </c>
      <c r="AD44" s="1006"/>
      <c r="AE44" s="459">
        <f t="shared" si="1"/>
        <v>1.3542795232936129</v>
      </c>
    </row>
    <row r="45" spans="1:31" s="22" customFormat="1" ht="12.75" customHeight="1">
      <c r="A45" s="203"/>
      <c r="B45" s="942" t="s">
        <v>44</v>
      </c>
      <c r="C45" s="867">
        <v>18678</v>
      </c>
      <c r="D45" s="1004">
        <v>17042</v>
      </c>
      <c r="E45" s="1005"/>
      <c r="F45" s="315">
        <v>10424.174167483587</v>
      </c>
      <c r="G45" s="299">
        <v>10425</v>
      </c>
      <c r="H45" s="299">
        <v>16982</v>
      </c>
      <c r="I45" s="315">
        <v>14562.5</v>
      </c>
      <c r="J45" s="299">
        <v>12143</v>
      </c>
      <c r="K45" s="299">
        <v>10934</v>
      </c>
      <c r="L45" s="299">
        <v>10934</v>
      </c>
      <c r="M45" s="299">
        <v>10896</v>
      </c>
      <c r="N45" s="299">
        <v>11515</v>
      </c>
      <c r="O45" s="299">
        <v>11751</v>
      </c>
      <c r="P45" s="299">
        <v>11751</v>
      </c>
      <c r="Q45" s="299">
        <v>12144</v>
      </c>
      <c r="R45" s="299">
        <v>12234</v>
      </c>
      <c r="S45" s="299">
        <v>12341</v>
      </c>
      <c r="T45" s="299">
        <v>12304</v>
      </c>
      <c r="U45" s="315">
        <v>12304</v>
      </c>
      <c r="V45" s="315">
        <v>12304</v>
      </c>
      <c r="W45" s="315">
        <v>12304</v>
      </c>
      <c r="X45" s="315">
        <v>12304</v>
      </c>
      <c r="Y45" s="315">
        <v>12304</v>
      </c>
      <c r="Z45" s="315">
        <f>Y45</f>
        <v>12304</v>
      </c>
      <c r="AA45" s="315">
        <f>Z45</f>
        <v>12304</v>
      </c>
      <c r="AB45" s="893">
        <f>AA45</f>
        <v>12304</v>
      </c>
      <c r="AC45" s="210" t="s">
        <v>44</v>
      </c>
      <c r="AD45" s="1002"/>
      <c r="AE45" s="460">
        <f t="shared" si="1"/>
        <v>0</v>
      </c>
    </row>
    <row r="46" spans="1:31" ht="14.25" customHeight="1">
      <c r="B46" s="1356" t="s">
        <v>255</v>
      </c>
      <c r="C46" s="1356"/>
      <c r="D46" s="1356"/>
      <c r="E46" s="1356"/>
      <c r="F46" s="1356"/>
      <c r="G46" s="1356"/>
      <c r="H46" s="1356"/>
      <c r="I46" s="1356"/>
      <c r="J46" s="1356"/>
      <c r="K46" s="1410"/>
      <c r="L46" s="1410"/>
      <c r="M46" s="1410"/>
      <c r="N46" s="1410"/>
      <c r="O46" s="1410"/>
      <c r="P46" s="1410"/>
      <c r="Q46" s="1410"/>
      <c r="R46" s="1410"/>
      <c r="S46" s="1410"/>
      <c r="T46" s="1410"/>
      <c r="U46" s="1410"/>
      <c r="V46" s="1410"/>
      <c r="W46" s="1410"/>
      <c r="X46" s="1410"/>
      <c r="Y46" s="1410"/>
      <c r="Z46" s="1410"/>
      <c r="AA46" s="1410"/>
      <c r="AB46" s="1410"/>
      <c r="AC46" s="1410"/>
      <c r="AD46" s="14"/>
    </row>
    <row r="47" spans="1:31" ht="12" customHeight="1">
      <c r="B47" s="180" t="s">
        <v>290</v>
      </c>
      <c r="C47" s="190"/>
      <c r="D47" s="190"/>
      <c r="E47" s="190"/>
      <c r="F47" s="190"/>
      <c r="G47" s="190"/>
      <c r="H47" s="190"/>
      <c r="R47" s="338"/>
      <c r="S47" s="338"/>
      <c r="T47" s="338"/>
      <c r="U47" s="338"/>
      <c r="V47" s="338"/>
      <c r="W47" s="338"/>
      <c r="X47" s="338"/>
      <c r="Y47" s="338"/>
      <c r="Z47" s="338"/>
      <c r="AA47" s="338"/>
      <c r="AB47" s="338"/>
      <c r="AD47" s="232"/>
    </row>
    <row r="48" spans="1:31" ht="13.5" customHeight="1">
      <c r="B48" s="1411" t="s">
        <v>81</v>
      </c>
      <c r="C48" s="1412"/>
      <c r="D48" s="1412"/>
      <c r="E48" s="1412"/>
      <c r="F48" s="1412"/>
      <c r="G48" s="1412"/>
      <c r="H48" s="1412"/>
      <c r="I48" s="1412"/>
      <c r="J48" s="1412"/>
      <c r="K48" s="1412"/>
      <c r="L48" s="1412"/>
      <c r="M48" s="1412"/>
      <c r="N48" s="1412"/>
      <c r="O48" s="1412"/>
      <c r="P48" s="1412"/>
      <c r="Q48" s="1412"/>
      <c r="R48" s="1412"/>
      <c r="S48" s="1412"/>
      <c r="T48" s="1412"/>
      <c r="U48" s="1412"/>
      <c r="V48" s="1412"/>
      <c r="W48" s="1412"/>
      <c r="X48" s="1412"/>
      <c r="Y48" s="1412"/>
      <c r="Z48" s="1412"/>
      <c r="AA48" s="1412"/>
      <c r="AB48" s="1412"/>
      <c r="AC48" s="1412"/>
    </row>
    <row r="49" spans="2:30" ht="10.5" customHeight="1">
      <c r="B49" s="181" t="s">
        <v>256</v>
      </c>
      <c r="C49" s="48"/>
      <c r="D49" s="188"/>
      <c r="E49" s="188"/>
      <c r="F49" s="468"/>
      <c r="G49" s="468"/>
      <c r="H49" s="468"/>
      <c r="I49" s="468"/>
      <c r="J49" s="468"/>
      <c r="K49" s="468"/>
      <c r="L49" s="468"/>
      <c r="M49" s="468"/>
      <c r="N49" s="468"/>
      <c r="O49" s="468"/>
      <c r="P49" s="468"/>
      <c r="Q49" s="468"/>
      <c r="R49" s="468"/>
      <c r="S49" s="468"/>
      <c r="T49" s="468"/>
      <c r="U49" s="468"/>
      <c r="V49" s="468"/>
      <c r="W49" s="468"/>
      <c r="X49" s="468"/>
      <c r="Y49" s="468"/>
      <c r="Z49" s="480"/>
      <c r="AA49" s="616"/>
      <c r="AB49" s="873"/>
      <c r="AC49" s="468"/>
    </row>
    <row r="50" spans="2:30" ht="12.75">
      <c r="B50" s="181" t="s">
        <v>166</v>
      </c>
      <c r="C50" s="48"/>
      <c r="D50" s="181"/>
      <c r="E50" s="193"/>
      <c r="F50" s="188"/>
      <c r="G50" s="188"/>
      <c r="H50" s="188"/>
      <c r="I50" s="188"/>
      <c r="J50" s="192"/>
      <c r="K50" s="192"/>
      <c r="L50" s="192"/>
      <c r="M50" s="192"/>
      <c r="N50" s="192"/>
      <c r="O50" s="192"/>
      <c r="P50" s="192"/>
      <c r="Q50" s="192"/>
      <c r="R50" s="192"/>
      <c r="S50" s="192"/>
      <c r="T50" s="192"/>
      <c r="U50" s="192"/>
      <c r="V50" s="192"/>
      <c r="W50" s="192"/>
      <c r="X50" s="192"/>
      <c r="Y50" s="192"/>
      <c r="Z50" s="192"/>
      <c r="AA50" s="192"/>
      <c r="AB50" s="192"/>
      <c r="AC50" s="192"/>
      <c r="AD50" s="37"/>
    </row>
    <row r="51" spans="2:30" ht="12.75">
      <c r="F51" s="181"/>
      <c r="G51" s="181"/>
      <c r="H51" s="181"/>
      <c r="I51" s="181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480"/>
      <c r="AA51" s="616"/>
      <c r="AB51" s="873"/>
      <c r="AC51" s="37"/>
      <c r="AD51" s="192"/>
    </row>
    <row r="53" spans="2:30">
      <c r="G53" s="3">
        <v>3191</v>
      </c>
      <c r="H53" s="3">
        <v>3226</v>
      </c>
      <c r="I53" s="3">
        <v>3087</v>
      </c>
      <c r="J53" s="3">
        <v>3093</v>
      </c>
      <c r="K53" s="3">
        <v>3060</v>
      </c>
      <c r="L53" s="3">
        <v>3060</v>
      </c>
      <c r="M53" s="3" t="s">
        <v>314</v>
      </c>
      <c r="N53" s="3" t="s">
        <v>314</v>
      </c>
      <c r="O53" s="3">
        <v>2852</v>
      </c>
      <c r="P53" s="3">
        <v>2881</v>
      </c>
      <c r="Q53" s="3">
        <v>2788</v>
      </c>
      <c r="R53" s="3">
        <v>2884</v>
      </c>
      <c r="S53" s="3">
        <v>2855</v>
      </c>
      <c r="T53" s="3">
        <v>2594</v>
      </c>
      <c r="U53" s="3">
        <v>2536</v>
      </c>
      <c r="V53" s="3">
        <v>2619</v>
      </c>
      <c r="W53" s="3">
        <v>2267</v>
      </c>
      <c r="X53" s="3">
        <v>2238</v>
      </c>
      <c r="Y53" s="3">
        <v>2112</v>
      </c>
      <c r="Z53" s="3">
        <v>2111</v>
      </c>
      <c r="AA53" s="3">
        <v>2056</v>
      </c>
      <c r="AB53" s="3">
        <v>2121</v>
      </c>
      <c r="AC53" s="3">
        <v>2003</v>
      </c>
    </row>
  </sheetData>
  <mergeCells count="4">
    <mergeCell ref="B2:AC2"/>
    <mergeCell ref="B3:AC3"/>
    <mergeCell ref="B46:AC46"/>
    <mergeCell ref="B48:AC48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scale="9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341"/>
  <dimension ref="A1:AC51"/>
  <sheetViews>
    <sheetView zoomScaleNormal="100" workbookViewId="0">
      <selection activeCell="AE5" sqref="AE5"/>
    </sheetView>
  </sheetViews>
  <sheetFormatPr defaultRowHeight="11.25"/>
  <cols>
    <col min="1" max="1" width="3.7109375" style="3" customWidth="1"/>
    <col min="2" max="2" width="4" style="3" customWidth="1"/>
    <col min="3" max="10" width="7.7109375" style="3" customWidth="1"/>
    <col min="11" max="13" width="8.28515625" style="2" customWidth="1"/>
    <col min="14" max="26" width="8.28515625" style="3" customWidth="1"/>
    <col min="27" max="28" width="7.140625" style="3" customWidth="1"/>
    <col min="29" max="29" width="5.140625" style="3" customWidth="1"/>
    <col min="30" max="16384" width="9.140625" style="3"/>
  </cols>
  <sheetData>
    <row r="1" spans="1:29" ht="14.25" customHeight="1">
      <c r="B1" s="28"/>
      <c r="C1" s="18"/>
      <c r="D1" s="18"/>
      <c r="E1" s="18"/>
      <c r="F1" s="18"/>
      <c r="G1" s="18"/>
      <c r="H1" s="29"/>
      <c r="K1" s="194"/>
      <c r="L1" s="194"/>
      <c r="M1" s="194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AB1" s="29" t="s">
        <v>119</v>
      </c>
    </row>
    <row r="2" spans="1:29" s="48" customFormat="1" ht="30" customHeight="1">
      <c r="B2" s="1287" t="s">
        <v>271</v>
      </c>
      <c r="C2" s="1287"/>
      <c r="D2" s="1287"/>
      <c r="E2" s="1287"/>
      <c r="F2" s="1287"/>
      <c r="G2" s="1287"/>
      <c r="H2" s="1287"/>
      <c r="I2" s="1287"/>
      <c r="J2" s="1287"/>
      <c r="K2" s="1287"/>
      <c r="L2" s="1287"/>
      <c r="M2" s="1287"/>
      <c r="N2" s="1287"/>
      <c r="O2" s="1287"/>
      <c r="P2" s="1287"/>
      <c r="Q2" s="1287"/>
      <c r="R2" s="1287"/>
      <c r="S2" s="1287"/>
      <c r="T2" s="1287"/>
      <c r="U2" s="1287"/>
      <c r="V2" s="1287"/>
      <c r="W2" s="1287"/>
      <c r="X2" s="1287"/>
      <c r="Y2" s="1287"/>
      <c r="Z2" s="1287"/>
      <c r="AA2" s="1287"/>
      <c r="AB2" s="1287"/>
      <c r="AC2" s="1287"/>
    </row>
    <row r="3" spans="1:29" ht="18" customHeight="1">
      <c r="B3" s="1408" t="s">
        <v>3</v>
      </c>
      <c r="C3" s="1408"/>
      <c r="D3" s="1408"/>
      <c r="E3" s="1408"/>
      <c r="F3" s="1408"/>
      <c r="G3" s="1408"/>
      <c r="H3" s="1408"/>
      <c r="I3" s="1408"/>
      <c r="J3" s="1408"/>
      <c r="K3" s="1408"/>
      <c r="L3" s="1408"/>
      <c r="M3" s="1408"/>
      <c r="N3" s="1408"/>
      <c r="O3" s="1408"/>
      <c r="P3" s="1408"/>
      <c r="Q3" s="1408"/>
      <c r="R3" s="1408"/>
      <c r="S3" s="1408"/>
      <c r="T3" s="1408"/>
      <c r="U3" s="1408"/>
      <c r="V3" s="1408"/>
      <c r="W3" s="1408"/>
      <c r="X3" s="1408"/>
      <c r="Y3" s="1408"/>
      <c r="Z3" s="1408"/>
      <c r="AA3" s="1408"/>
      <c r="AB3" s="1408"/>
      <c r="AC3" s="1408"/>
    </row>
    <row r="4" spans="1:29" ht="24.95" customHeight="1">
      <c r="B4" s="84"/>
      <c r="C4" s="38">
        <v>1970</v>
      </c>
      <c r="D4" s="39">
        <v>1980</v>
      </c>
      <c r="E4" s="39">
        <v>1990</v>
      </c>
      <c r="F4" s="39">
        <v>2000</v>
      </c>
      <c r="G4" s="39">
        <v>2001</v>
      </c>
      <c r="H4" s="39">
        <v>2002</v>
      </c>
      <c r="I4" s="39">
        <v>2003</v>
      </c>
      <c r="J4" s="39">
        <v>2004</v>
      </c>
      <c r="K4" s="40">
        <v>2005</v>
      </c>
      <c r="L4" s="39">
        <v>2006</v>
      </c>
      <c r="M4" s="39" t="s">
        <v>86</v>
      </c>
      <c r="N4" s="39" t="s">
        <v>96</v>
      </c>
      <c r="O4" s="39" t="s">
        <v>123</v>
      </c>
      <c r="P4" s="39" t="s">
        <v>133</v>
      </c>
      <c r="Q4" s="39" t="s">
        <v>136</v>
      </c>
      <c r="R4" s="39" t="s">
        <v>144</v>
      </c>
      <c r="S4" s="39" t="s">
        <v>150</v>
      </c>
      <c r="T4" s="73" t="s">
        <v>161</v>
      </c>
      <c r="U4" s="73" t="s">
        <v>163</v>
      </c>
      <c r="V4" s="39" t="s">
        <v>167</v>
      </c>
      <c r="W4" s="39" t="s">
        <v>172</v>
      </c>
      <c r="X4" s="39" t="s">
        <v>239</v>
      </c>
      <c r="Y4" s="39" t="s">
        <v>298</v>
      </c>
      <c r="Z4" s="73">
        <v>2020</v>
      </c>
      <c r="AA4" s="73">
        <v>2021</v>
      </c>
      <c r="AB4" s="73">
        <v>2022</v>
      </c>
      <c r="AC4" s="451"/>
    </row>
    <row r="5" spans="1:29" ht="12.75" customHeight="1">
      <c r="B5" s="118" t="s">
        <v>238</v>
      </c>
      <c r="C5" s="56"/>
      <c r="D5" s="57"/>
      <c r="E5" s="275"/>
      <c r="F5" s="275"/>
      <c r="G5" s="274">
        <v>867967</v>
      </c>
      <c r="H5" s="274">
        <v>834634</v>
      </c>
      <c r="I5" s="274"/>
      <c r="J5" s="274"/>
      <c r="K5" s="300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274"/>
      <c r="W5" s="274"/>
      <c r="X5" s="274"/>
      <c r="Y5" s="274"/>
      <c r="Z5" s="274"/>
      <c r="AA5" s="274"/>
      <c r="AB5" s="300"/>
      <c r="AC5" s="51" t="s">
        <v>238</v>
      </c>
    </row>
    <row r="6" spans="1:29" ht="12.75" customHeight="1">
      <c r="A6" s="8"/>
      <c r="B6" s="9" t="s">
        <v>45</v>
      </c>
      <c r="C6" s="58">
        <v>44651</v>
      </c>
      <c r="D6" s="59">
        <v>42968</v>
      </c>
      <c r="E6" s="308">
        <v>30332</v>
      </c>
      <c r="F6" s="308">
        <v>18790</v>
      </c>
      <c r="G6" s="308">
        <v>19719</v>
      </c>
      <c r="H6" s="308">
        <v>20312</v>
      </c>
      <c r="I6" s="308">
        <v>20101</v>
      </c>
      <c r="J6" s="308">
        <v>18782</v>
      </c>
      <c r="K6" s="310">
        <v>17375</v>
      </c>
      <c r="L6" s="308">
        <v>15544</v>
      </c>
      <c r="M6" s="308">
        <v>10616</v>
      </c>
      <c r="N6" s="308">
        <v>9573</v>
      </c>
      <c r="O6" s="308">
        <v>11612</v>
      </c>
      <c r="P6" s="308">
        <v>11612</v>
      </c>
      <c r="Q6" s="309">
        <v>11612</v>
      </c>
      <c r="R6" s="309">
        <v>11612</v>
      </c>
      <c r="S6" s="309">
        <v>11612</v>
      </c>
      <c r="T6" s="309">
        <v>11612</v>
      </c>
      <c r="U6" s="309">
        <v>11612</v>
      </c>
      <c r="V6" s="308">
        <v>6934</v>
      </c>
      <c r="W6" s="308">
        <v>6934</v>
      </c>
      <c r="X6" s="308">
        <v>7046</v>
      </c>
      <c r="Y6" s="308">
        <v>7123</v>
      </c>
      <c r="Z6" s="309">
        <v>7123</v>
      </c>
      <c r="AA6" s="309">
        <f>5225</f>
        <v>5225</v>
      </c>
      <c r="AB6" s="889">
        <v>5225</v>
      </c>
      <c r="AC6" s="53" t="s">
        <v>45</v>
      </c>
    </row>
    <row r="7" spans="1:29" ht="12.75" customHeight="1">
      <c r="A7" s="8"/>
      <c r="B7" s="43" t="s">
        <v>28</v>
      </c>
      <c r="C7" s="60">
        <v>33850</v>
      </c>
      <c r="D7" s="61">
        <v>37272</v>
      </c>
      <c r="E7" s="319">
        <v>42459</v>
      </c>
      <c r="F7" s="281">
        <v>29720</v>
      </c>
      <c r="G7" s="281">
        <v>16609</v>
      </c>
      <c r="H7" s="281">
        <v>17508</v>
      </c>
      <c r="I7" s="281">
        <v>17259</v>
      </c>
      <c r="J7" s="281">
        <v>16382</v>
      </c>
      <c r="K7" s="302">
        <v>16511</v>
      </c>
      <c r="L7" s="281">
        <v>17111</v>
      </c>
      <c r="M7" s="281">
        <v>12417</v>
      </c>
      <c r="N7" s="281">
        <v>12825</v>
      </c>
      <c r="O7" s="281">
        <v>12743</v>
      </c>
      <c r="P7" s="281">
        <v>11751</v>
      </c>
      <c r="Q7" s="281">
        <v>16458</v>
      </c>
      <c r="R7" s="281">
        <v>16576</v>
      </c>
      <c r="S7" s="335">
        <v>5483</v>
      </c>
      <c r="T7" s="281">
        <v>5325</v>
      </c>
      <c r="U7" s="281">
        <v>4572</v>
      </c>
      <c r="V7" s="281">
        <v>4586</v>
      </c>
      <c r="W7" s="281">
        <v>4510</v>
      </c>
      <c r="X7" s="457">
        <v>4629</v>
      </c>
      <c r="Y7" s="457">
        <v>4877</v>
      </c>
      <c r="Z7" s="457">
        <v>4838</v>
      </c>
      <c r="AA7" s="457">
        <v>4873</v>
      </c>
      <c r="AB7" s="302">
        <v>4858</v>
      </c>
      <c r="AC7" s="52" t="s">
        <v>28</v>
      </c>
    </row>
    <row r="8" spans="1:29" ht="12.75" customHeight="1">
      <c r="A8" s="8"/>
      <c r="B8" s="10" t="s">
        <v>30</v>
      </c>
      <c r="C8" s="62"/>
      <c r="D8" s="63"/>
      <c r="E8" s="288"/>
      <c r="F8" s="279">
        <v>58524</v>
      </c>
      <c r="G8" s="279">
        <v>50180</v>
      </c>
      <c r="H8" s="279">
        <v>46789</v>
      </c>
      <c r="I8" s="279">
        <v>45506</v>
      </c>
      <c r="J8" s="279">
        <v>44805</v>
      </c>
      <c r="K8" s="303">
        <v>44545</v>
      </c>
      <c r="L8" s="279">
        <v>42762</v>
      </c>
      <c r="M8" s="279">
        <v>32809</v>
      </c>
      <c r="N8" s="279">
        <v>31656</v>
      </c>
      <c r="O8" s="279">
        <v>29194</v>
      </c>
      <c r="P8" s="279">
        <v>27416</v>
      </c>
      <c r="Q8" s="279">
        <v>27314</v>
      </c>
      <c r="R8" s="279">
        <v>27066</v>
      </c>
      <c r="S8" s="279">
        <v>26281</v>
      </c>
      <c r="T8" s="279">
        <v>25965</v>
      </c>
      <c r="U8" s="279">
        <v>25863</v>
      </c>
      <c r="V8" s="279">
        <v>25322</v>
      </c>
      <c r="W8" s="279">
        <v>23560</v>
      </c>
      <c r="X8" s="279">
        <v>22578</v>
      </c>
      <c r="Y8" s="279">
        <v>21835</v>
      </c>
      <c r="Z8" s="279">
        <v>21611</v>
      </c>
      <c r="AA8" s="279">
        <v>20600</v>
      </c>
      <c r="AB8" s="303">
        <v>20585</v>
      </c>
      <c r="AC8" s="54" t="s">
        <v>30</v>
      </c>
    </row>
    <row r="9" spans="1:29" ht="12.75" customHeight="1">
      <c r="A9" s="8"/>
      <c r="B9" s="43" t="s">
        <v>41</v>
      </c>
      <c r="C9" s="60">
        <v>10995</v>
      </c>
      <c r="D9" s="61">
        <v>6883</v>
      </c>
      <c r="E9" s="281">
        <v>4632</v>
      </c>
      <c r="F9" s="281">
        <v>2236</v>
      </c>
      <c r="G9" s="281">
        <v>2236</v>
      </c>
      <c r="H9" s="292">
        <v>2200</v>
      </c>
      <c r="I9" s="241"/>
      <c r="J9" s="241"/>
      <c r="K9" s="320"/>
      <c r="L9" s="241"/>
      <c r="M9" s="241"/>
      <c r="N9" s="241"/>
      <c r="O9" s="241"/>
      <c r="P9" s="241"/>
      <c r="Q9" s="241"/>
      <c r="R9" s="241"/>
      <c r="S9" s="241"/>
      <c r="T9" s="241"/>
      <c r="U9" s="241"/>
      <c r="V9" s="241"/>
      <c r="W9" s="241"/>
      <c r="X9" s="472"/>
      <c r="Y9" s="472"/>
      <c r="Z9" s="472"/>
      <c r="AA9" s="472"/>
      <c r="AB9" s="320"/>
      <c r="AC9" s="52" t="s">
        <v>41</v>
      </c>
    </row>
    <row r="10" spans="1:29" ht="12.75" customHeight="1">
      <c r="A10" s="8"/>
      <c r="B10" s="10" t="s">
        <v>46</v>
      </c>
      <c r="C10" s="65">
        <v>459030</v>
      </c>
      <c r="D10" s="64">
        <v>476437</v>
      </c>
      <c r="E10" s="279">
        <v>366724</v>
      </c>
      <c r="F10" s="279">
        <v>189558</v>
      </c>
      <c r="G10" s="279">
        <v>182836</v>
      </c>
      <c r="H10" s="239">
        <v>179000</v>
      </c>
      <c r="I10" s="279">
        <v>176837</v>
      </c>
      <c r="J10" s="279">
        <v>237313</v>
      </c>
      <c r="K10" s="303">
        <v>158247</v>
      </c>
      <c r="L10" s="279">
        <v>155468</v>
      </c>
      <c r="M10" s="279">
        <v>95595</v>
      </c>
      <c r="N10" s="279">
        <v>119916</v>
      </c>
      <c r="O10" s="279">
        <v>113657</v>
      </c>
      <c r="P10" s="279">
        <v>108840</v>
      </c>
      <c r="Q10" s="279">
        <v>106727</v>
      </c>
      <c r="R10" s="279">
        <v>104460</v>
      </c>
      <c r="S10" s="279">
        <v>96868</v>
      </c>
      <c r="T10" s="279">
        <v>91787</v>
      </c>
      <c r="U10" s="279">
        <v>88066</v>
      </c>
      <c r="V10" s="279">
        <v>86468</v>
      </c>
      <c r="W10" s="279">
        <v>82864</v>
      </c>
      <c r="X10" s="279">
        <v>80608</v>
      </c>
      <c r="Y10" s="279">
        <v>79531</v>
      </c>
      <c r="Z10" s="279">
        <v>78101</v>
      </c>
      <c r="AA10" s="279">
        <v>76873</v>
      </c>
      <c r="AB10" s="303">
        <v>75406</v>
      </c>
      <c r="AC10" s="54" t="s">
        <v>46</v>
      </c>
    </row>
    <row r="11" spans="1:29" ht="12.75" customHeight="1">
      <c r="A11" s="8"/>
      <c r="B11" s="43" t="s">
        <v>31</v>
      </c>
      <c r="C11" s="60"/>
      <c r="D11" s="61"/>
      <c r="E11" s="281"/>
      <c r="F11" s="281">
        <v>5857</v>
      </c>
      <c r="G11" s="281">
        <v>6122</v>
      </c>
      <c r="H11" s="281">
        <v>7531</v>
      </c>
      <c r="I11" s="281">
        <v>17436</v>
      </c>
      <c r="J11" s="281">
        <v>20352</v>
      </c>
      <c r="K11" s="302">
        <v>18971</v>
      </c>
      <c r="L11" s="281">
        <v>18376</v>
      </c>
      <c r="M11" s="281">
        <v>16781</v>
      </c>
      <c r="N11" s="281">
        <v>19643</v>
      </c>
      <c r="O11" s="281">
        <v>18284</v>
      </c>
      <c r="P11" s="281">
        <v>17575</v>
      </c>
      <c r="Q11" s="281">
        <v>18995</v>
      </c>
      <c r="R11" s="281">
        <v>21667</v>
      </c>
      <c r="S11" s="281">
        <v>22285</v>
      </c>
      <c r="T11" s="281">
        <v>21188</v>
      </c>
      <c r="U11" s="281">
        <v>21501</v>
      </c>
      <c r="V11" s="281">
        <v>21586</v>
      </c>
      <c r="W11" s="281">
        <v>21835</v>
      </c>
      <c r="X11" s="457">
        <v>22522</v>
      </c>
      <c r="Y11" s="457">
        <v>22752</v>
      </c>
      <c r="Z11" s="457">
        <v>22852</v>
      </c>
      <c r="AA11" s="457">
        <v>22678</v>
      </c>
      <c r="AB11" s="302">
        <v>22709</v>
      </c>
      <c r="AC11" s="52" t="s">
        <v>31</v>
      </c>
    </row>
    <row r="12" spans="1:29" ht="12.75" customHeight="1">
      <c r="A12" s="8"/>
      <c r="B12" s="10" t="s">
        <v>49</v>
      </c>
      <c r="C12" s="65">
        <v>9727</v>
      </c>
      <c r="D12" s="64">
        <v>4417</v>
      </c>
      <c r="E12" s="279">
        <v>1830</v>
      </c>
      <c r="F12" s="279">
        <v>1856</v>
      </c>
      <c r="G12" s="279">
        <v>1856</v>
      </c>
      <c r="H12" s="279">
        <v>1856</v>
      </c>
      <c r="I12" s="279">
        <v>1611</v>
      </c>
      <c r="J12" s="279">
        <v>833</v>
      </c>
      <c r="K12" s="303">
        <v>926</v>
      </c>
      <c r="L12" s="279">
        <v>1095</v>
      </c>
      <c r="M12" s="279">
        <v>891</v>
      </c>
      <c r="N12" s="279">
        <v>891</v>
      </c>
      <c r="O12" s="279"/>
      <c r="P12" s="279">
        <v>502</v>
      </c>
      <c r="Q12" s="286">
        <v>502</v>
      </c>
      <c r="R12" s="279">
        <v>254</v>
      </c>
      <c r="S12" s="286">
        <v>254</v>
      </c>
      <c r="T12" s="279">
        <v>254</v>
      </c>
      <c r="U12" s="279">
        <v>254</v>
      </c>
      <c r="V12" s="286">
        <v>254</v>
      </c>
      <c r="W12" s="279">
        <v>254</v>
      </c>
      <c r="X12" s="279">
        <v>254</v>
      </c>
      <c r="Y12" s="279">
        <v>254</v>
      </c>
      <c r="Z12" s="279">
        <v>254</v>
      </c>
      <c r="AA12" s="286">
        <f>Z12</f>
        <v>254</v>
      </c>
      <c r="AB12" s="301">
        <f>AA12</f>
        <v>254</v>
      </c>
      <c r="AC12" s="54" t="s">
        <v>49</v>
      </c>
    </row>
    <row r="13" spans="1:29" ht="12.75" customHeight="1">
      <c r="A13" s="8"/>
      <c r="B13" s="43" t="s">
        <v>42</v>
      </c>
      <c r="C13" s="60">
        <v>9025</v>
      </c>
      <c r="D13" s="61">
        <v>10871</v>
      </c>
      <c r="E13" s="281">
        <v>10967</v>
      </c>
      <c r="F13" s="281">
        <v>3453</v>
      </c>
      <c r="G13" s="281">
        <v>3539</v>
      </c>
      <c r="H13" s="281">
        <v>3539</v>
      </c>
      <c r="I13" s="281">
        <v>3473</v>
      </c>
      <c r="J13" s="281">
        <v>3497</v>
      </c>
      <c r="K13" s="302">
        <v>3491</v>
      </c>
      <c r="L13" s="281">
        <v>3166</v>
      </c>
      <c r="M13" s="281">
        <v>3568</v>
      </c>
      <c r="N13" s="281">
        <v>4763</v>
      </c>
      <c r="O13" s="281"/>
      <c r="P13" s="281">
        <v>3158</v>
      </c>
      <c r="Q13" s="281">
        <v>3158</v>
      </c>
      <c r="R13" s="281">
        <v>3158</v>
      </c>
      <c r="S13" s="281">
        <v>3184</v>
      </c>
      <c r="T13" s="281">
        <v>3522</v>
      </c>
      <c r="U13" s="281">
        <v>3522</v>
      </c>
      <c r="V13" s="281">
        <v>3522</v>
      </c>
      <c r="W13" s="281">
        <v>3522</v>
      </c>
      <c r="X13" s="890">
        <v>715</v>
      </c>
      <c r="Y13" s="457">
        <v>715</v>
      </c>
      <c r="Z13" s="457">
        <v>715</v>
      </c>
      <c r="AA13" s="457">
        <f>715</f>
        <v>715</v>
      </c>
      <c r="AB13" s="302">
        <v>712</v>
      </c>
      <c r="AC13" s="52" t="s">
        <v>42</v>
      </c>
    </row>
    <row r="14" spans="1:29" ht="12.75" customHeight="1">
      <c r="A14" s="8"/>
      <c r="B14" s="10" t="s">
        <v>47</v>
      </c>
      <c r="C14" s="65">
        <v>53336</v>
      </c>
      <c r="D14" s="64">
        <v>40773</v>
      </c>
      <c r="E14" s="279">
        <v>37687</v>
      </c>
      <c r="F14" s="279">
        <v>26452</v>
      </c>
      <c r="G14" s="279">
        <v>25867</v>
      </c>
      <c r="H14" s="279">
        <v>26228</v>
      </c>
      <c r="I14" s="279">
        <v>25426</v>
      </c>
      <c r="J14" s="279">
        <v>25542</v>
      </c>
      <c r="K14" s="303">
        <v>23842</v>
      </c>
      <c r="L14" s="279">
        <v>15031</v>
      </c>
      <c r="M14" s="279">
        <v>15524</v>
      </c>
      <c r="N14" s="279">
        <v>14973</v>
      </c>
      <c r="O14" s="279">
        <v>12447</v>
      </c>
      <c r="P14" s="279">
        <v>14337</v>
      </c>
      <c r="Q14" s="279">
        <v>13732</v>
      </c>
      <c r="R14" s="279">
        <v>14148</v>
      </c>
      <c r="S14" s="279">
        <v>14900</v>
      </c>
      <c r="T14" s="279">
        <v>13702</v>
      </c>
      <c r="U14" s="279">
        <v>11353</v>
      </c>
      <c r="V14" s="279">
        <v>11346</v>
      </c>
      <c r="W14" s="279">
        <v>11292</v>
      </c>
      <c r="X14" s="279">
        <v>11382</v>
      </c>
      <c r="Y14" s="279">
        <v>10168</v>
      </c>
      <c r="Z14" s="279">
        <v>10162</v>
      </c>
      <c r="AA14" s="279">
        <v>9980</v>
      </c>
      <c r="AB14" s="303">
        <v>9621</v>
      </c>
      <c r="AC14" s="54" t="s">
        <v>47</v>
      </c>
    </row>
    <row r="15" spans="1:29" ht="12.75" customHeight="1">
      <c r="A15" s="8"/>
      <c r="B15" s="43" t="s">
        <v>48</v>
      </c>
      <c r="C15" s="60">
        <v>291450</v>
      </c>
      <c r="D15" s="61">
        <v>239800</v>
      </c>
      <c r="E15" s="319">
        <v>148100</v>
      </c>
      <c r="F15" s="281">
        <v>110972</v>
      </c>
      <c r="G15" s="281">
        <v>109770</v>
      </c>
      <c r="H15" s="281">
        <v>107033</v>
      </c>
      <c r="I15" s="281">
        <v>103833</v>
      </c>
      <c r="J15" s="281">
        <v>99372</v>
      </c>
      <c r="K15" s="302">
        <v>95238</v>
      </c>
      <c r="L15" s="281">
        <v>87952</v>
      </c>
      <c r="M15" s="281">
        <v>88211</v>
      </c>
      <c r="N15" s="281">
        <v>88644</v>
      </c>
      <c r="O15" s="281">
        <v>89009</v>
      </c>
      <c r="P15" s="281">
        <v>89101</v>
      </c>
      <c r="Q15" s="281">
        <v>89332</v>
      </c>
      <c r="R15" s="281">
        <v>89472</v>
      </c>
      <c r="S15" s="281">
        <v>91244</v>
      </c>
      <c r="T15" s="281">
        <v>85539</v>
      </c>
      <c r="U15" s="281">
        <v>81084</v>
      </c>
      <c r="V15" s="281">
        <v>78644</v>
      </c>
      <c r="W15" s="281">
        <v>75327</v>
      </c>
      <c r="X15" s="457">
        <v>73772</v>
      </c>
      <c r="Y15" s="457">
        <v>71373</v>
      </c>
      <c r="Z15" s="457">
        <v>68099</v>
      </c>
      <c r="AA15" s="457">
        <v>67078</v>
      </c>
      <c r="AB15" s="302">
        <v>65943</v>
      </c>
      <c r="AC15" s="52" t="s">
        <v>48</v>
      </c>
    </row>
    <row r="16" spans="1:29" ht="12.75" customHeight="1">
      <c r="A16" s="8"/>
      <c r="B16" s="10" t="s">
        <v>59</v>
      </c>
      <c r="C16" s="65">
        <v>0</v>
      </c>
      <c r="D16" s="64">
        <v>12852</v>
      </c>
      <c r="E16" s="279">
        <v>13720</v>
      </c>
      <c r="F16" s="279">
        <v>9986</v>
      </c>
      <c r="G16" s="279">
        <v>9456</v>
      </c>
      <c r="H16" s="279">
        <v>8774</v>
      </c>
      <c r="I16" s="279">
        <v>7920</v>
      </c>
      <c r="J16" s="279">
        <v>7376</v>
      </c>
      <c r="K16" s="303">
        <v>7330</v>
      </c>
      <c r="L16" s="279">
        <v>6813</v>
      </c>
      <c r="M16" s="279">
        <v>6781</v>
      </c>
      <c r="N16" s="279">
        <v>6632</v>
      </c>
      <c r="O16" s="279">
        <v>5857</v>
      </c>
      <c r="P16" s="279">
        <v>6674</v>
      </c>
      <c r="Q16" s="279">
        <v>6063</v>
      </c>
      <c r="R16" s="286">
        <v>6063</v>
      </c>
      <c r="S16" s="279">
        <v>5959</v>
      </c>
      <c r="T16" s="279">
        <v>5518</v>
      </c>
      <c r="U16" s="279">
        <v>5519</v>
      </c>
      <c r="V16" s="279">
        <v>5513</v>
      </c>
      <c r="W16" s="279">
        <v>5420</v>
      </c>
      <c r="X16" s="279">
        <v>5326</v>
      </c>
      <c r="Y16" s="279">
        <v>5252</v>
      </c>
      <c r="Z16" s="279">
        <v>5251</v>
      </c>
      <c r="AA16" s="279">
        <v>4969</v>
      </c>
      <c r="AB16" s="303">
        <v>4145</v>
      </c>
      <c r="AC16" s="54" t="s">
        <v>59</v>
      </c>
    </row>
    <row r="17" spans="1:29" ht="12.75" customHeight="1">
      <c r="A17" s="8"/>
      <c r="B17" s="119" t="s">
        <v>50</v>
      </c>
      <c r="C17" s="223">
        <v>125200</v>
      </c>
      <c r="D17" s="224">
        <v>115228</v>
      </c>
      <c r="E17" s="321">
        <v>99728</v>
      </c>
      <c r="F17" s="281">
        <v>70115</v>
      </c>
      <c r="G17" s="281">
        <v>73146</v>
      </c>
      <c r="H17" s="281">
        <v>56900</v>
      </c>
      <c r="I17" s="281">
        <v>56175</v>
      </c>
      <c r="J17" s="281">
        <v>54598</v>
      </c>
      <c r="K17" s="304">
        <v>45730</v>
      </c>
      <c r="L17" s="281">
        <v>46450</v>
      </c>
      <c r="M17" s="281">
        <v>41477</v>
      </c>
      <c r="N17" s="281">
        <v>40819</v>
      </c>
      <c r="O17" s="281">
        <v>38500</v>
      </c>
      <c r="P17" s="281">
        <v>30331</v>
      </c>
      <c r="Q17" s="281">
        <v>28493</v>
      </c>
      <c r="R17" s="281">
        <v>22140</v>
      </c>
      <c r="S17" s="281">
        <v>20625</v>
      </c>
      <c r="T17" s="281">
        <v>20515</v>
      </c>
      <c r="U17" s="281">
        <v>20270</v>
      </c>
      <c r="V17" s="281">
        <v>19079</v>
      </c>
      <c r="W17" s="281">
        <v>17364</v>
      </c>
      <c r="X17" s="281">
        <v>15383</v>
      </c>
      <c r="Y17" s="281">
        <v>13697</v>
      </c>
      <c r="Z17" s="281">
        <v>13173</v>
      </c>
      <c r="AA17" s="281">
        <v>10168</v>
      </c>
      <c r="AB17" s="304">
        <v>9681</v>
      </c>
      <c r="AC17" s="209" t="s">
        <v>50</v>
      </c>
    </row>
    <row r="18" spans="1:29" ht="12.75" customHeight="1">
      <c r="A18" s="8"/>
      <c r="B18" s="10" t="s">
        <v>29</v>
      </c>
      <c r="C18" s="62" t="s">
        <v>58</v>
      </c>
      <c r="D18" s="63" t="s">
        <v>58</v>
      </c>
      <c r="E18" s="288" t="s">
        <v>58</v>
      </c>
      <c r="F18" s="288" t="s">
        <v>58</v>
      </c>
      <c r="G18" s="288" t="s">
        <v>58</v>
      </c>
      <c r="H18" s="288" t="s">
        <v>58</v>
      </c>
      <c r="I18" s="288" t="s">
        <v>58</v>
      </c>
      <c r="J18" s="288" t="s">
        <v>58</v>
      </c>
      <c r="K18" s="311" t="s">
        <v>58</v>
      </c>
      <c r="L18" s="288" t="s">
        <v>58</v>
      </c>
      <c r="M18" s="288" t="s">
        <v>58</v>
      </c>
      <c r="N18" s="288" t="s">
        <v>58</v>
      </c>
      <c r="O18" s="288" t="s">
        <v>58</v>
      </c>
      <c r="P18" s="288" t="s">
        <v>58</v>
      </c>
      <c r="Q18" s="288" t="s">
        <v>58</v>
      </c>
      <c r="R18" s="288" t="s">
        <v>58</v>
      </c>
      <c r="S18" s="288" t="s">
        <v>58</v>
      </c>
      <c r="T18" s="288" t="s">
        <v>58</v>
      </c>
      <c r="U18" s="288" t="s">
        <v>58</v>
      </c>
      <c r="V18" s="288" t="s">
        <v>58</v>
      </c>
      <c r="W18" s="288" t="s">
        <v>58</v>
      </c>
      <c r="X18" s="288" t="s">
        <v>58</v>
      </c>
      <c r="Y18" s="288" t="s">
        <v>58</v>
      </c>
      <c r="Z18" s="288" t="s">
        <v>58</v>
      </c>
      <c r="AA18" s="288" t="s">
        <v>58</v>
      </c>
      <c r="AB18" s="311" t="s">
        <v>58</v>
      </c>
      <c r="AC18" s="54" t="s">
        <v>29</v>
      </c>
    </row>
    <row r="19" spans="1:29" ht="12.75" customHeight="1">
      <c r="A19" s="8"/>
      <c r="B19" s="119" t="s">
        <v>33</v>
      </c>
      <c r="C19" s="223"/>
      <c r="D19" s="224"/>
      <c r="E19" s="281">
        <v>11085</v>
      </c>
      <c r="F19" s="281">
        <v>9146</v>
      </c>
      <c r="G19" s="281">
        <v>8105</v>
      </c>
      <c r="H19" s="281">
        <v>7911</v>
      </c>
      <c r="I19" s="281">
        <v>7952</v>
      </c>
      <c r="J19" s="281">
        <v>8706</v>
      </c>
      <c r="K19" s="304">
        <v>8871</v>
      </c>
      <c r="L19" s="281">
        <v>8848</v>
      </c>
      <c r="M19" s="281">
        <v>8891</v>
      </c>
      <c r="N19" s="281">
        <v>8796</v>
      </c>
      <c r="O19" s="281">
        <v>9493</v>
      </c>
      <c r="P19" s="281">
        <v>9033</v>
      </c>
      <c r="Q19" s="281">
        <v>9221</v>
      </c>
      <c r="R19" s="281">
        <v>9602</v>
      </c>
      <c r="S19" s="281">
        <v>9992</v>
      </c>
      <c r="T19" s="281">
        <v>10239</v>
      </c>
      <c r="U19" s="281">
        <v>9807</v>
      </c>
      <c r="V19" s="281">
        <v>8896</v>
      </c>
      <c r="W19" s="281">
        <v>8769</v>
      </c>
      <c r="X19" s="281">
        <v>8012</v>
      </c>
      <c r="Y19" s="281">
        <v>7215</v>
      </c>
      <c r="Z19" s="281">
        <v>6107</v>
      </c>
      <c r="AA19" s="281">
        <v>5981</v>
      </c>
      <c r="AB19" s="304">
        <v>5709</v>
      </c>
      <c r="AC19" s="209" t="s">
        <v>33</v>
      </c>
    </row>
    <row r="20" spans="1:29" ht="12.75" customHeight="1">
      <c r="A20" s="8"/>
      <c r="B20" s="10" t="s">
        <v>34</v>
      </c>
      <c r="C20" s="65"/>
      <c r="D20" s="64"/>
      <c r="E20" s="286">
        <v>12860</v>
      </c>
      <c r="F20" s="279">
        <v>13155</v>
      </c>
      <c r="G20" s="279">
        <v>12509</v>
      </c>
      <c r="H20" s="279">
        <v>12391</v>
      </c>
      <c r="I20" s="279">
        <v>12144</v>
      </c>
      <c r="J20" s="279">
        <v>13134</v>
      </c>
      <c r="K20" s="303">
        <v>13192</v>
      </c>
      <c r="L20" s="279">
        <v>13393</v>
      </c>
      <c r="M20" s="279">
        <v>9486</v>
      </c>
      <c r="N20" s="279">
        <v>9648</v>
      </c>
      <c r="O20" s="279">
        <v>9561</v>
      </c>
      <c r="P20" s="279">
        <v>9238</v>
      </c>
      <c r="Q20" s="279">
        <v>9212</v>
      </c>
      <c r="R20" s="279">
        <v>9112</v>
      </c>
      <c r="S20" s="279">
        <v>9202</v>
      </c>
      <c r="T20" s="279">
        <v>8784</v>
      </c>
      <c r="U20" s="279">
        <v>8574</v>
      </c>
      <c r="V20" s="279">
        <v>8333</v>
      </c>
      <c r="W20" s="279">
        <v>8131</v>
      </c>
      <c r="X20" s="279">
        <v>7772</v>
      </c>
      <c r="Y20" s="279">
        <v>7692</v>
      </c>
      <c r="Z20" s="279">
        <v>7514</v>
      </c>
      <c r="AA20" s="279">
        <v>7176</v>
      </c>
      <c r="AB20" s="303">
        <v>6558</v>
      </c>
      <c r="AC20" s="54" t="s">
        <v>34</v>
      </c>
    </row>
    <row r="21" spans="1:29" ht="12.75" customHeight="1">
      <c r="A21" s="8"/>
      <c r="B21" s="119" t="s">
        <v>51</v>
      </c>
      <c r="C21" s="223">
        <v>4230</v>
      </c>
      <c r="D21" s="224">
        <v>3650</v>
      </c>
      <c r="E21" s="281">
        <v>2719</v>
      </c>
      <c r="F21" s="281">
        <v>2626</v>
      </c>
      <c r="G21" s="281">
        <v>2878</v>
      </c>
      <c r="H21" s="281">
        <v>3092</v>
      </c>
      <c r="I21" s="281">
        <v>3328</v>
      </c>
      <c r="J21" s="281">
        <v>3206</v>
      </c>
      <c r="K21" s="304">
        <v>3222</v>
      </c>
      <c r="L21" s="281">
        <v>3456</v>
      </c>
      <c r="M21" s="281">
        <v>3526</v>
      </c>
      <c r="N21" s="281">
        <v>3836</v>
      </c>
      <c r="O21" s="281">
        <v>3895</v>
      </c>
      <c r="P21" s="281">
        <v>4147</v>
      </c>
      <c r="Q21" s="281">
        <v>4005</v>
      </c>
      <c r="R21" s="281">
        <v>3603</v>
      </c>
      <c r="S21" s="281">
        <v>3255</v>
      </c>
      <c r="T21" s="281">
        <v>3184</v>
      </c>
      <c r="U21" s="281">
        <v>3006</v>
      </c>
      <c r="V21" s="281">
        <v>3043</v>
      </c>
      <c r="W21" s="281">
        <v>3117</v>
      </c>
      <c r="X21" s="281">
        <v>3161</v>
      </c>
      <c r="Y21" s="281">
        <v>3175</v>
      </c>
      <c r="Z21" s="281">
        <v>3154</v>
      </c>
      <c r="AA21" s="281">
        <v>3309</v>
      </c>
      <c r="AB21" s="304">
        <v>3145</v>
      </c>
      <c r="AC21" s="209" t="s">
        <v>51</v>
      </c>
    </row>
    <row r="22" spans="1:29" ht="12.75" customHeight="1">
      <c r="A22" s="8"/>
      <c r="B22" s="10" t="s">
        <v>32</v>
      </c>
      <c r="C22" s="65"/>
      <c r="D22" s="64"/>
      <c r="E22" s="279"/>
      <c r="F22" s="279">
        <v>23528</v>
      </c>
      <c r="G22" s="279">
        <v>22789</v>
      </c>
      <c r="H22" s="279">
        <v>21819</v>
      </c>
      <c r="I22" s="279">
        <v>22178</v>
      </c>
      <c r="J22" s="279">
        <v>19783</v>
      </c>
      <c r="K22" s="303">
        <v>19130</v>
      </c>
      <c r="L22" s="279">
        <v>13824</v>
      </c>
      <c r="M22" s="279">
        <v>11719</v>
      </c>
      <c r="N22" s="279">
        <v>11766</v>
      </c>
      <c r="O22" s="279">
        <v>10683</v>
      </c>
      <c r="P22" s="279">
        <v>11357</v>
      </c>
      <c r="Q22" s="279">
        <v>12206</v>
      </c>
      <c r="R22" s="279">
        <v>11066</v>
      </c>
      <c r="S22" s="279">
        <v>10217</v>
      </c>
      <c r="T22" s="279">
        <v>9509</v>
      </c>
      <c r="U22" s="279">
        <v>8916</v>
      </c>
      <c r="V22" s="279">
        <v>9145</v>
      </c>
      <c r="W22" s="279">
        <v>8898</v>
      </c>
      <c r="X22" s="279">
        <v>8750</v>
      </c>
      <c r="Y22" s="279">
        <v>8679</v>
      </c>
      <c r="Z22" s="279">
        <v>8640</v>
      </c>
      <c r="AA22" s="279">
        <v>8806</v>
      </c>
      <c r="AB22" s="303">
        <v>8713</v>
      </c>
      <c r="AC22" s="54" t="s">
        <v>32</v>
      </c>
    </row>
    <row r="23" spans="1:29" ht="12.75" customHeight="1">
      <c r="A23" s="8"/>
      <c r="B23" s="119" t="s">
        <v>35</v>
      </c>
      <c r="C23" s="225" t="s">
        <v>58</v>
      </c>
      <c r="D23" s="226" t="s">
        <v>58</v>
      </c>
      <c r="E23" s="298" t="s">
        <v>58</v>
      </c>
      <c r="F23" s="298" t="s">
        <v>58</v>
      </c>
      <c r="G23" s="298" t="s">
        <v>58</v>
      </c>
      <c r="H23" s="298" t="s">
        <v>58</v>
      </c>
      <c r="I23" s="298" t="s">
        <v>58</v>
      </c>
      <c r="J23" s="298" t="s">
        <v>58</v>
      </c>
      <c r="K23" s="313" t="s">
        <v>58</v>
      </c>
      <c r="L23" s="298" t="s">
        <v>58</v>
      </c>
      <c r="M23" s="298" t="s">
        <v>58</v>
      </c>
      <c r="N23" s="298" t="s">
        <v>58</v>
      </c>
      <c r="O23" s="298" t="s">
        <v>58</v>
      </c>
      <c r="P23" s="298" t="s">
        <v>58</v>
      </c>
      <c r="Q23" s="298" t="s">
        <v>58</v>
      </c>
      <c r="R23" s="298" t="s">
        <v>58</v>
      </c>
      <c r="S23" s="298" t="s">
        <v>58</v>
      </c>
      <c r="T23" s="298" t="s">
        <v>58</v>
      </c>
      <c r="U23" s="298" t="s">
        <v>58</v>
      </c>
      <c r="V23" s="298" t="s">
        <v>58</v>
      </c>
      <c r="W23" s="298" t="s">
        <v>58</v>
      </c>
      <c r="X23" s="236" t="s">
        <v>58</v>
      </c>
      <c r="Y23" s="236" t="s">
        <v>58</v>
      </c>
      <c r="Z23" s="236" t="s">
        <v>58</v>
      </c>
      <c r="AA23" s="298" t="s">
        <v>58</v>
      </c>
      <c r="AB23" s="313" t="s">
        <v>58</v>
      </c>
      <c r="AC23" s="209" t="s">
        <v>35</v>
      </c>
    </row>
    <row r="24" spans="1:29" ht="12.75" customHeight="1">
      <c r="A24" s="8"/>
      <c r="B24" s="10" t="s">
        <v>43</v>
      </c>
      <c r="C24" s="65">
        <v>18750</v>
      </c>
      <c r="D24" s="64">
        <v>11355</v>
      </c>
      <c r="E24" s="279">
        <v>6697</v>
      </c>
      <c r="F24" s="279">
        <v>4700</v>
      </c>
      <c r="G24" s="279">
        <v>3331</v>
      </c>
      <c r="H24" s="279">
        <v>2099</v>
      </c>
      <c r="I24" s="279">
        <v>1807</v>
      </c>
      <c r="J24" s="286"/>
      <c r="K24" s="301"/>
      <c r="L24" s="286"/>
      <c r="M24" s="286"/>
      <c r="N24" s="286"/>
      <c r="O24" s="286"/>
      <c r="P24" s="286"/>
      <c r="Q24" s="286"/>
      <c r="R24" s="286"/>
      <c r="S24" s="286"/>
      <c r="T24" s="286"/>
      <c r="U24" s="286"/>
      <c r="V24" s="286"/>
      <c r="W24" s="286"/>
      <c r="X24" s="2"/>
      <c r="Y24" s="2"/>
      <c r="Z24" s="2"/>
      <c r="AA24" s="2"/>
      <c r="AB24" s="383"/>
      <c r="AC24" s="54" t="s">
        <v>43</v>
      </c>
    </row>
    <row r="25" spans="1:29" ht="12.75" customHeight="1">
      <c r="A25" s="8"/>
      <c r="B25" s="119" t="s">
        <v>52</v>
      </c>
      <c r="C25" s="223">
        <v>39109</v>
      </c>
      <c r="D25" s="224">
        <v>38689</v>
      </c>
      <c r="E25" s="281">
        <v>34330</v>
      </c>
      <c r="F25" s="281">
        <v>23970</v>
      </c>
      <c r="G25" s="281">
        <v>24988</v>
      </c>
      <c r="H25" s="281">
        <v>24089</v>
      </c>
      <c r="I25" s="281">
        <v>22655</v>
      </c>
      <c r="J25" s="281">
        <v>22262</v>
      </c>
      <c r="K25" s="304">
        <v>22655</v>
      </c>
      <c r="L25" s="281">
        <v>16891</v>
      </c>
      <c r="M25" s="281">
        <v>18473</v>
      </c>
      <c r="N25" s="281">
        <v>30526</v>
      </c>
      <c r="O25" s="281">
        <v>27147</v>
      </c>
      <c r="P25" s="342">
        <v>21015</v>
      </c>
      <c r="Q25" s="281">
        <v>20684</v>
      </c>
      <c r="R25" s="281">
        <v>19706</v>
      </c>
      <c r="S25" s="281">
        <v>20108</v>
      </c>
      <c r="T25" s="281">
        <v>19771</v>
      </c>
      <c r="U25" s="281">
        <v>19294</v>
      </c>
      <c r="V25" s="281">
        <v>18817</v>
      </c>
      <c r="W25" s="281">
        <v>18619</v>
      </c>
      <c r="X25" s="281">
        <v>18242</v>
      </c>
      <c r="Y25" s="281">
        <v>17895</v>
      </c>
      <c r="Z25" s="281">
        <v>17511</v>
      </c>
      <c r="AA25" s="281">
        <v>17510</v>
      </c>
      <c r="AB25" s="304">
        <v>17401</v>
      </c>
      <c r="AC25" s="209" t="s">
        <v>52</v>
      </c>
    </row>
    <row r="26" spans="1:29" ht="12.75" customHeight="1">
      <c r="A26" s="8"/>
      <c r="B26" s="10" t="s">
        <v>36</v>
      </c>
      <c r="C26" s="65">
        <v>229222</v>
      </c>
      <c r="D26" s="64">
        <v>231364</v>
      </c>
      <c r="E26" s="314">
        <v>275582</v>
      </c>
      <c r="F26" s="279">
        <v>130116</v>
      </c>
      <c r="G26" s="279">
        <v>130660</v>
      </c>
      <c r="H26" s="279">
        <v>119308</v>
      </c>
      <c r="I26" s="279">
        <v>111532</v>
      </c>
      <c r="J26" s="279">
        <v>107315</v>
      </c>
      <c r="K26" s="303">
        <v>103234</v>
      </c>
      <c r="L26" s="279">
        <v>103527</v>
      </c>
      <c r="M26" s="279">
        <v>104982</v>
      </c>
      <c r="N26" s="279">
        <v>101528</v>
      </c>
      <c r="O26" s="279">
        <v>95462</v>
      </c>
      <c r="P26" s="279">
        <v>89270</v>
      </c>
      <c r="Q26" s="279">
        <v>88928</v>
      </c>
      <c r="R26" s="279">
        <v>91483</v>
      </c>
      <c r="S26" s="279">
        <v>87726</v>
      </c>
      <c r="T26" s="279">
        <v>87538</v>
      </c>
      <c r="U26" s="279">
        <v>86364</v>
      </c>
      <c r="V26" s="279">
        <v>87598</v>
      </c>
      <c r="W26" s="279">
        <v>87696</v>
      </c>
      <c r="X26" s="279">
        <v>87990</v>
      </c>
      <c r="Y26" s="279">
        <v>86796</v>
      </c>
      <c r="Z26" s="279">
        <v>83011</v>
      </c>
      <c r="AA26" s="279">
        <v>81776</v>
      </c>
      <c r="AB26" s="303">
        <v>80734</v>
      </c>
      <c r="AC26" s="54" t="s">
        <v>36</v>
      </c>
    </row>
    <row r="27" spans="1:29" ht="12.75" customHeight="1">
      <c r="A27" s="8"/>
      <c r="B27" s="119" t="s">
        <v>53</v>
      </c>
      <c r="C27" s="223">
        <v>9045</v>
      </c>
      <c r="D27" s="224">
        <v>5860</v>
      </c>
      <c r="E27" s="281">
        <v>4579</v>
      </c>
      <c r="F27" s="281">
        <v>4162</v>
      </c>
      <c r="G27" s="281">
        <v>4179</v>
      </c>
      <c r="H27" s="281">
        <v>4345</v>
      </c>
      <c r="I27" s="281">
        <v>3979</v>
      </c>
      <c r="J27" s="281">
        <v>3544</v>
      </c>
      <c r="K27" s="304">
        <v>3495</v>
      </c>
      <c r="L27" s="281">
        <v>3197</v>
      </c>
      <c r="M27" s="281">
        <v>2953</v>
      </c>
      <c r="N27" s="281">
        <v>3043</v>
      </c>
      <c r="O27" s="281"/>
      <c r="P27" s="281">
        <v>3194</v>
      </c>
      <c r="Q27" s="281">
        <v>3170</v>
      </c>
      <c r="R27" s="296">
        <v>3170</v>
      </c>
      <c r="S27" s="296">
        <v>3170</v>
      </c>
      <c r="T27" s="281">
        <v>3283</v>
      </c>
      <c r="U27" s="281">
        <v>3283</v>
      </c>
      <c r="V27" s="281">
        <v>3283</v>
      </c>
      <c r="W27" s="281">
        <v>3203</v>
      </c>
      <c r="X27" s="281">
        <v>3072</v>
      </c>
      <c r="Y27" s="281">
        <v>2684</v>
      </c>
      <c r="Z27" s="281">
        <v>2719</v>
      </c>
      <c r="AA27" s="281">
        <v>2298</v>
      </c>
      <c r="AB27" s="304">
        <v>2225</v>
      </c>
      <c r="AC27" s="209" t="s">
        <v>53</v>
      </c>
    </row>
    <row r="28" spans="1:29" ht="12.75" customHeight="1">
      <c r="A28" s="8"/>
      <c r="B28" s="10" t="s">
        <v>37</v>
      </c>
      <c r="C28" s="65"/>
      <c r="D28" s="64">
        <v>144520</v>
      </c>
      <c r="E28" s="279">
        <v>166086</v>
      </c>
      <c r="F28" s="279">
        <v>117982</v>
      </c>
      <c r="G28" s="279">
        <v>96765</v>
      </c>
      <c r="H28" s="279">
        <v>101824</v>
      </c>
      <c r="I28" s="279">
        <v>75478</v>
      </c>
      <c r="J28" s="279">
        <v>64299</v>
      </c>
      <c r="K28" s="303">
        <v>65175</v>
      </c>
      <c r="L28" s="279">
        <v>65916</v>
      </c>
      <c r="M28" s="279">
        <v>53616</v>
      </c>
      <c r="N28" s="279">
        <v>46863</v>
      </c>
      <c r="O28" s="279">
        <v>46878</v>
      </c>
      <c r="P28" s="279">
        <v>72605</v>
      </c>
      <c r="Q28" s="279">
        <v>69285</v>
      </c>
      <c r="R28" s="279">
        <v>72638</v>
      </c>
      <c r="S28" s="289">
        <v>39832</v>
      </c>
      <c r="T28" s="279">
        <v>35385</v>
      </c>
      <c r="U28" s="279">
        <v>34254</v>
      </c>
      <c r="V28" s="279">
        <v>33767</v>
      </c>
      <c r="W28" s="279">
        <v>32234</v>
      </c>
      <c r="X28" s="279">
        <v>32240</v>
      </c>
      <c r="Y28" s="289">
        <v>40132</v>
      </c>
      <c r="Z28" s="279">
        <v>39573</v>
      </c>
      <c r="AA28" s="279">
        <v>40242</v>
      </c>
      <c r="AB28" s="303">
        <v>40302</v>
      </c>
      <c r="AC28" s="54" t="s">
        <v>37</v>
      </c>
    </row>
    <row r="29" spans="1:29" ht="12.75" customHeight="1">
      <c r="A29" s="8"/>
      <c r="B29" s="119" t="s">
        <v>39</v>
      </c>
      <c r="C29" s="223"/>
      <c r="D29" s="224"/>
      <c r="E29" s="281">
        <v>8692</v>
      </c>
      <c r="F29" s="281">
        <v>6258</v>
      </c>
      <c r="G29" s="281">
        <v>5981</v>
      </c>
      <c r="H29" s="281">
        <v>5774</v>
      </c>
      <c r="I29" s="281">
        <v>4770</v>
      </c>
      <c r="J29" s="281">
        <v>4627</v>
      </c>
      <c r="K29" s="304">
        <v>4465</v>
      </c>
      <c r="L29" s="281">
        <v>4508</v>
      </c>
      <c r="M29" s="281">
        <v>3979</v>
      </c>
      <c r="N29" s="281">
        <v>3921</v>
      </c>
      <c r="O29" s="281">
        <v>3905</v>
      </c>
      <c r="P29" s="281">
        <v>3211</v>
      </c>
      <c r="Q29" s="281">
        <v>3142</v>
      </c>
      <c r="R29" s="281">
        <v>3120</v>
      </c>
      <c r="S29" s="281">
        <v>3142</v>
      </c>
      <c r="T29" s="281">
        <v>3148</v>
      </c>
      <c r="U29" s="281">
        <v>3049</v>
      </c>
      <c r="V29" s="281">
        <v>2992</v>
      </c>
      <c r="W29" s="281">
        <v>2779</v>
      </c>
      <c r="X29" s="281">
        <v>2748</v>
      </c>
      <c r="Y29" s="281">
        <v>2692</v>
      </c>
      <c r="Z29" s="281">
        <v>2693</v>
      </c>
      <c r="AA29" s="281">
        <v>2581</v>
      </c>
      <c r="AB29" s="304">
        <v>2278</v>
      </c>
      <c r="AC29" s="209" t="s">
        <v>39</v>
      </c>
    </row>
    <row r="30" spans="1:29" ht="12.75" customHeight="1">
      <c r="A30" s="8"/>
      <c r="B30" s="10" t="s">
        <v>38</v>
      </c>
      <c r="C30" s="62"/>
      <c r="D30" s="63"/>
      <c r="E30" s="288"/>
      <c r="F30" s="279">
        <v>26975</v>
      </c>
      <c r="G30" s="279">
        <v>24587</v>
      </c>
      <c r="H30" s="279">
        <v>24796</v>
      </c>
      <c r="I30" s="279">
        <v>23973</v>
      </c>
      <c r="J30" s="279">
        <v>24936</v>
      </c>
      <c r="K30" s="303">
        <v>25515</v>
      </c>
      <c r="L30" s="279">
        <v>25989</v>
      </c>
      <c r="M30" s="279">
        <v>27538</v>
      </c>
      <c r="N30" s="279">
        <v>20820</v>
      </c>
      <c r="O30" s="279">
        <v>14534</v>
      </c>
      <c r="P30" s="279">
        <v>15260</v>
      </c>
      <c r="Q30" s="279">
        <v>15964</v>
      </c>
      <c r="R30" s="279">
        <v>16384</v>
      </c>
      <c r="S30" s="279">
        <v>15982</v>
      </c>
      <c r="T30" s="279">
        <v>14970</v>
      </c>
      <c r="U30" s="279">
        <v>15533</v>
      </c>
      <c r="V30" s="279">
        <v>15786</v>
      </c>
      <c r="W30" s="279">
        <v>15509</v>
      </c>
      <c r="X30" s="279">
        <v>13836</v>
      </c>
      <c r="Y30" s="279">
        <v>13182</v>
      </c>
      <c r="Z30" s="279">
        <v>12968</v>
      </c>
      <c r="AA30" s="279">
        <v>11520</v>
      </c>
      <c r="AB30" s="303">
        <v>10017</v>
      </c>
      <c r="AC30" s="54" t="s">
        <v>38</v>
      </c>
    </row>
    <row r="31" spans="1:29" ht="12.75" customHeight="1">
      <c r="A31" s="8"/>
      <c r="B31" s="119" t="s">
        <v>54</v>
      </c>
      <c r="C31" s="223">
        <v>22835</v>
      </c>
      <c r="D31" s="224">
        <v>21472</v>
      </c>
      <c r="E31" s="281">
        <v>15200</v>
      </c>
      <c r="F31" s="281">
        <v>12630</v>
      </c>
      <c r="G31" s="281">
        <v>12259</v>
      </c>
      <c r="H31" s="281">
        <v>11842</v>
      </c>
      <c r="I31" s="281">
        <v>11627</v>
      </c>
      <c r="J31" s="281">
        <v>11738</v>
      </c>
      <c r="K31" s="304">
        <v>11216</v>
      </c>
      <c r="L31" s="281">
        <v>11024</v>
      </c>
      <c r="M31" s="281">
        <v>10790</v>
      </c>
      <c r="N31" s="281">
        <v>10934</v>
      </c>
      <c r="O31" s="281">
        <v>10524</v>
      </c>
      <c r="P31" s="281">
        <v>10464</v>
      </c>
      <c r="Q31" s="281">
        <v>10364</v>
      </c>
      <c r="R31" s="281">
        <v>9817</v>
      </c>
      <c r="S31" s="281">
        <v>9457</v>
      </c>
      <c r="T31" s="281">
        <v>9078</v>
      </c>
      <c r="U31" s="281">
        <v>8854</v>
      </c>
      <c r="V31" s="281">
        <v>8876</v>
      </c>
      <c r="W31" s="281">
        <v>8821</v>
      </c>
      <c r="X31" s="281">
        <v>8763</v>
      </c>
      <c r="Y31" s="296">
        <v>8763</v>
      </c>
      <c r="Z31" s="296">
        <v>8763</v>
      </c>
      <c r="AA31" s="296">
        <v>8763</v>
      </c>
      <c r="AB31" s="312">
        <v>8763</v>
      </c>
      <c r="AC31" s="209" t="s">
        <v>54</v>
      </c>
    </row>
    <row r="32" spans="1:29" ht="12.75" customHeight="1">
      <c r="A32" s="8"/>
      <c r="B32" s="10" t="s">
        <v>55</v>
      </c>
      <c r="C32" s="65">
        <v>53394</v>
      </c>
      <c r="D32" s="64">
        <v>45890</v>
      </c>
      <c r="E32" s="279">
        <v>27470</v>
      </c>
      <c r="F32" s="279">
        <v>17596</v>
      </c>
      <c r="G32" s="279">
        <v>17600</v>
      </c>
      <c r="H32" s="279">
        <v>17674</v>
      </c>
      <c r="I32" s="279">
        <v>16909</v>
      </c>
      <c r="J32" s="279">
        <v>16832</v>
      </c>
      <c r="K32" s="303">
        <v>16637</v>
      </c>
      <c r="L32" s="279">
        <v>16407</v>
      </c>
      <c r="M32" s="279">
        <v>15896</v>
      </c>
      <c r="N32" s="279">
        <v>15735</v>
      </c>
      <c r="O32" s="279">
        <v>14797</v>
      </c>
      <c r="P32" s="279">
        <v>15166</v>
      </c>
      <c r="Q32" s="279">
        <v>14578</v>
      </c>
      <c r="R32" s="279"/>
      <c r="S32" s="279"/>
      <c r="T32" s="279"/>
      <c r="U32" s="279"/>
      <c r="V32" s="279"/>
      <c r="W32" s="283"/>
      <c r="X32" s="279"/>
      <c r="Y32" s="279"/>
      <c r="Z32" s="279"/>
      <c r="AA32" s="279"/>
      <c r="AB32" s="303"/>
      <c r="AC32" s="54" t="s">
        <v>55</v>
      </c>
    </row>
    <row r="33" spans="1:29" ht="12.75" customHeight="1">
      <c r="A33" s="8"/>
      <c r="B33" s="118" t="s">
        <v>26</v>
      </c>
      <c r="C33" s="317" t="s">
        <v>58</v>
      </c>
      <c r="D33" s="318" t="s">
        <v>58</v>
      </c>
      <c r="E33" s="322" t="s">
        <v>58</v>
      </c>
      <c r="F33" s="322" t="s">
        <v>58</v>
      </c>
      <c r="G33" s="322" t="s">
        <v>58</v>
      </c>
      <c r="H33" s="322" t="s">
        <v>58</v>
      </c>
      <c r="I33" s="322" t="s">
        <v>58</v>
      </c>
      <c r="J33" s="322" t="s">
        <v>58</v>
      </c>
      <c r="K33" s="323" t="s">
        <v>58</v>
      </c>
      <c r="L33" s="322" t="s">
        <v>58</v>
      </c>
      <c r="M33" s="322" t="s">
        <v>58</v>
      </c>
      <c r="N33" s="322" t="s">
        <v>58</v>
      </c>
      <c r="O33" s="322" t="s">
        <v>58</v>
      </c>
      <c r="P33" s="322" t="s">
        <v>58</v>
      </c>
      <c r="Q33" s="322" t="s">
        <v>58</v>
      </c>
      <c r="R33" s="324" t="s">
        <v>58</v>
      </c>
      <c r="S33" s="324" t="s">
        <v>58</v>
      </c>
      <c r="T33" s="324" t="s">
        <v>58</v>
      </c>
      <c r="U33" s="324" t="s">
        <v>58</v>
      </c>
      <c r="V33" s="324" t="s">
        <v>58</v>
      </c>
      <c r="W33" s="298" t="s">
        <v>58</v>
      </c>
      <c r="X33" s="327" t="s">
        <v>58</v>
      </c>
      <c r="Y33" s="327" t="s">
        <v>58</v>
      </c>
      <c r="Z33" s="327" t="s">
        <v>58</v>
      </c>
      <c r="AA33" s="327" t="s">
        <v>58</v>
      </c>
      <c r="AB33" s="327" t="s">
        <v>58</v>
      </c>
      <c r="AC33" s="233" t="s">
        <v>26</v>
      </c>
    </row>
    <row r="34" spans="1:29" ht="12.75" customHeight="1">
      <c r="A34" s="8"/>
      <c r="B34" s="10" t="s">
        <v>56</v>
      </c>
      <c r="C34" s="65"/>
      <c r="D34" s="64"/>
      <c r="E34" s="279"/>
      <c r="F34" s="279"/>
      <c r="G34" s="279">
        <v>2741</v>
      </c>
      <c r="H34" s="279"/>
      <c r="I34" s="279"/>
      <c r="J34" s="279"/>
      <c r="K34" s="303"/>
      <c r="L34" s="279"/>
      <c r="M34" s="279"/>
      <c r="N34" s="279"/>
      <c r="O34" s="279"/>
      <c r="P34" s="279"/>
      <c r="Q34" s="279"/>
      <c r="R34" s="279"/>
      <c r="S34" s="279"/>
      <c r="T34" s="279"/>
      <c r="U34" s="279"/>
      <c r="V34" s="279"/>
      <c r="W34" s="279"/>
      <c r="X34" s="279"/>
      <c r="Y34" s="279"/>
      <c r="Z34" s="279"/>
      <c r="AA34" s="279"/>
      <c r="AB34" s="303"/>
      <c r="AC34" s="54" t="s">
        <v>56</v>
      </c>
    </row>
    <row r="35" spans="1:29" ht="12.75" customHeight="1">
      <c r="A35" s="562"/>
      <c r="B35" s="120" t="s">
        <v>27</v>
      </c>
      <c r="C35" s="560">
        <v>32545</v>
      </c>
      <c r="D35" s="561">
        <v>31417</v>
      </c>
      <c r="E35" s="299">
        <v>27104</v>
      </c>
      <c r="F35" s="299">
        <v>19894</v>
      </c>
      <c r="G35" s="299">
        <v>20394</v>
      </c>
      <c r="H35" s="299">
        <v>19553</v>
      </c>
      <c r="I35" s="299">
        <v>19497</v>
      </c>
      <c r="J35" s="299">
        <v>18917</v>
      </c>
      <c r="K35" s="305">
        <v>18339</v>
      </c>
      <c r="L35" s="299">
        <v>10917</v>
      </c>
      <c r="M35" s="299">
        <v>10464</v>
      </c>
      <c r="N35" s="299">
        <v>11516</v>
      </c>
      <c r="O35" s="299">
        <v>9142</v>
      </c>
      <c r="P35" s="299">
        <v>8794</v>
      </c>
      <c r="Q35" s="299">
        <v>8289</v>
      </c>
      <c r="R35" s="299">
        <v>7869</v>
      </c>
      <c r="S35" s="299">
        <v>7360</v>
      </c>
      <c r="T35" s="473">
        <v>6825</v>
      </c>
      <c r="U35" s="315">
        <v>6467</v>
      </c>
      <c r="V35" s="315">
        <v>6386</v>
      </c>
      <c r="W35" s="315">
        <v>5716</v>
      </c>
      <c r="X35" s="315">
        <v>5763</v>
      </c>
      <c r="Y35" s="299">
        <v>5247</v>
      </c>
      <c r="Z35" s="299">
        <v>5344</v>
      </c>
      <c r="AA35" s="299">
        <v>5057</v>
      </c>
      <c r="AB35" s="305">
        <v>4992</v>
      </c>
      <c r="AC35" s="210" t="s">
        <v>27</v>
      </c>
    </row>
    <row r="36" spans="1:29" ht="12.75" customHeight="1">
      <c r="A36" s="562"/>
      <c r="B36" s="10" t="s">
        <v>311</v>
      </c>
      <c r="C36" s="67"/>
      <c r="D36" s="66"/>
      <c r="E36" s="279"/>
      <c r="F36" s="279"/>
      <c r="G36" s="279"/>
      <c r="H36" s="279"/>
      <c r="I36" s="279"/>
      <c r="J36" s="279"/>
      <c r="K36" s="303"/>
      <c r="L36" s="279"/>
      <c r="M36" s="279"/>
      <c r="N36" s="279"/>
      <c r="O36" s="279"/>
      <c r="P36" s="279"/>
      <c r="Q36" s="279"/>
      <c r="R36" s="279"/>
      <c r="S36" s="279">
        <v>4634</v>
      </c>
      <c r="T36" s="279">
        <v>4644</v>
      </c>
      <c r="U36" s="279">
        <v>4792</v>
      </c>
      <c r="V36" s="279"/>
      <c r="W36" s="279">
        <v>4281</v>
      </c>
      <c r="X36" s="279">
        <v>4284</v>
      </c>
      <c r="Y36" s="279">
        <v>4383</v>
      </c>
      <c r="Z36" s="279">
        <v>4243</v>
      </c>
      <c r="AA36" s="279">
        <v>4243</v>
      </c>
      <c r="AB36" s="303">
        <v>4269</v>
      </c>
      <c r="AC36" s="54" t="s">
        <v>311</v>
      </c>
    </row>
    <row r="37" spans="1:29" ht="12.75" customHeight="1">
      <c r="A37" s="384"/>
      <c r="B37" s="119" t="s">
        <v>139</v>
      </c>
      <c r="C37" s="223">
        <v>0</v>
      </c>
      <c r="D37" s="224">
        <v>12852</v>
      </c>
      <c r="E37" s="236" t="s">
        <v>58</v>
      </c>
      <c r="F37" s="236" t="s">
        <v>58</v>
      </c>
      <c r="G37" s="236" t="s">
        <v>58</v>
      </c>
      <c r="H37" s="236" t="s">
        <v>58</v>
      </c>
      <c r="I37" s="236" t="s">
        <v>58</v>
      </c>
      <c r="J37" s="236" t="s">
        <v>58</v>
      </c>
      <c r="K37" s="242" t="s">
        <v>58</v>
      </c>
      <c r="L37" s="236" t="s">
        <v>58</v>
      </c>
      <c r="M37" s="236" t="s">
        <v>58</v>
      </c>
      <c r="N37" s="236"/>
      <c r="O37" s="236" t="s">
        <v>58</v>
      </c>
      <c r="P37" s="236" t="s">
        <v>58</v>
      </c>
      <c r="Q37" s="236" t="s">
        <v>58</v>
      </c>
      <c r="R37" s="236" t="s">
        <v>58</v>
      </c>
      <c r="S37" s="236" t="s">
        <v>58</v>
      </c>
      <c r="T37" s="236" t="s">
        <v>58</v>
      </c>
      <c r="U37" s="236" t="s">
        <v>58</v>
      </c>
      <c r="V37" s="236">
        <v>563</v>
      </c>
      <c r="W37" s="236">
        <v>562</v>
      </c>
      <c r="X37" s="236">
        <v>561</v>
      </c>
      <c r="Y37" s="236">
        <v>561</v>
      </c>
      <c r="Z37" s="241">
        <f>Y37</f>
        <v>561</v>
      </c>
      <c r="AA37" s="241">
        <f>Z37</f>
        <v>561</v>
      </c>
      <c r="AB37" s="768">
        <f>AA37</f>
        <v>561</v>
      </c>
      <c r="AC37" s="209" t="s">
        <v>139</v>
      </c>
    </row>
    <row r="38" spans="1:29" ht="12.75" customHeight="1">
      <c r="A38" s="384"/>
      <c r="B38" s="10" t="s">
        <v>313</v>
      </c>
      <c r="C38" s="65"/>
      <c r="D38" s="64"/>
      <c r="E38" s="235"/>
      <c r="F38" s="235">
        <v>10577</v>
      </c>
      <c r="G38" s="235">
        <v>10033</v>
      </c>
      <c r="H38" s="235">
        <v>9303</v>
      </c>
      <c r="I38" s="235">
        <v>8723</v>
      </c>
      <c r="J38" s="235">
        <v>8492</v>
      </c>
      <c r="K38" s="243"/>
      <c r="L38" s="235">
        <v>8177</v>
      </c>
      <c r="M38" s="235">
        <v>7940</v>
      </c>
      <c r="N38" s="235">
        <v>7921</v>
      </c>
      <c r="O38" s="235">
        <v>7919</v>
      </c>
      <c r="P38" s="235">
        <v>7835</v>
      </c>
      <c r="Q38" s="235">
        <v>7606</v>
      </c>
      <c r="R38" s="235">
        <v>7677</v>
      </c>
      <c r="S38" s="235">
        <v>7300</v>
      </c>
      <c r="T38" s="235">
        <v>6975</v>
      </c>
      <c r="U38" s="235">
        <v>6866</v>
      </c>
      <c r="V38" s="235">
        <v>6836</v>
      </c>
      <c r="W38" s="235">
        <v>5815</v>
      </c>
      <c r="X38" s="235">
        <f>W38</f>
        <v>5815</v>
      </c>
      <c r="Y38" s="329">
        <v>4586</v>
      </c>
      <c r="Z38" s="235">
        <v>4586</v>
      </c>
      <c r="AA38" s="235">
        <f>Z38</f>
        <v>4586</v>
      </c>
      <c r="AB38" s="243">
        <v>4485</v>
      </c>
      <c r="AC38" s="54" t="s">
        <v>313</v>
      </c>
    </row>
    <row r="39" spans="1:29" ht="12.75" customHeight="1">
      <c r="A39" s="384"/>
      <c r="B39" s="939" t="s">
        <v>0</v>
      </c>
      <c r="C39" s="223"/>
      <c r="D39" s="224"/>
      <c r="E39" s="281"/>
      <c r="F39" s="281"/>
      <c r="G39" s="281"/>
      <c r="H39" s="281"/>
      <c r="I39" s="281"/>
      <c r="J39" s="281">
        <v>1501</v>
      </c>
      <c r="K39" s="304">
        <v>1525</v>
      </c>
      <c r="L39" s="281">
        <v>1553</v>
      </c>
      <c r="M39" s="281">
        <v>1498</v>
      </c>
      <c r="N39" s="281">
        <v>1498</v>
      </c>
      <c r="O39" s="281">
        <v>1323</v>
      </c>
      <c r="P39" s="281">
        <v>1144</v>
      </c>
      <c r="Q39" s="281">
        <v>1007</v>
      </c>
      <c r="R39" s="281">
        <v>1011</v>
      </c>
      <c r="S39" s="296">
        <v>1011</v>
      </c>
      <c r="T39" s="296">
        <v>1011</v>
      </c>
      <c r="U39" s="281">
        <v>1161</v>
      </c>
      <c r="V39" s="281">
        <v>1281</v>
      </c>
      <c r="W39" s="281">
        <v>1289</v>
      </c>
      <c r="X39" s="281">
        <v>1242</v>
      </c>
      <c r="Y39" s="281">
        <v>1242</v>
      </c>
      <c r="Z39" s="281">
        <v>1204</v>
      </c>
      <c r="AA39" s="281">
        <v>1204</v>
      </c>
      <c r="AB39" s="304">
        <v>1204</v>
      </c>
      <c r="AC39" s="209" t="s">
        <v>0</v>
      </c>
    </row>
    <row r="40" spans="1:29" s="22" customFormat="1" ht="12.75" customHeight="1">
      <c r="A40" s="1013"/>
      <c r="B40" s="935" t="s">
        <v>346</v>
      </c>
      <c r="C40" s="65"/>
      <c r="D40" s="64"/>
      <c r="E40" s="279"/>
      <c r="F40" s="279"/>
      <c r="G40" s="279"/>
      <c r="H40" s="279"/>
      <c r="I40" s="279"/>
      <c r="J40" s="279"/>
      <c r="K40" s="303"/>
      <c r="L40" s="279"/>
      <c r="M40" s="279"/>
      <c r="N40" s="279"/>
      <c r="O40" s="279"/>
      <c r="P40" s="279"/>
      <c r="Q40" s="279"/>
      <c r="R40" s="279"/>
      <c r="S40" s="286"/>
      <c r="T40" s="286"/>
      <c r="U40" s="279"/>
      <c r="V40" s="279"/>
      <c r="W40" s="279"/>
      <c r="X40" s="279">
        <v>8381</v>
      </c>
      <c r="Y40" s="279">
        <v>7910</v>
      </c>
      <c r="Z40" s="279">
        <v>7901</v>
      </c>
      <c r="AA40" s="279">
        <v>7899</v>
      </c>
      <c r="AB40" s="303">
        <v>7412</v>
      </c>
      <c r="AC40" s="54" t="s">
        <v>346</v>
      </c>
    </row>
    <row r="41" spans="1:29" ht="12.75" customHeight="1">
      <c r="A41" s="384"/>
      <c r="B41" s="939" t="s">
        <v>145</v>
      </c>
      <c r="C41" s="223"/>
      <c r="D41" s="224"/>
      <c r="E41" s="281"/>
      <c r="F41" s="281"/>
      <c r="G41" s="296"/>
      <c r="H41" s="296"/>
      <c r="I41" s="236"/>
      <c r="J41" s="236"/>
      <c r="K41" s="242"/>
      <c r="L41" s="236"/>
      <c r="M41" s="236"/>
      <c r="N41" s="236"/>
      <c r="O41" s="236"/>
      <c r="P41" s="236"/>
      <c r="Q41" s="236"/>
      <c r="R41" s="236"/>
      <c r="S41" s="236">
        <v>390</v>
      </c>
      <c r="T41" s="236">
        <v>390</v>
      </c>
      <c r="U41" s="236">
        <v>360</v>
      </c>
      <c r="V41" s="236">
        <v>360</v>
      </c>
      <c r="W41" s="236">
        <v>236</v>
      </c>
      <c r="X41" s="236">
        <v>236</v>
      </c>
      <c r="Y41" s="236">
        <v>236</v>
      </c>
      <c r="Z41" s="236">
        <v>165</v>
      </c>
      <c r="AA41" s="236">
        <v>165</v>
      </c>
      <c r="AB41" s="242">
        <v>114</v>
      </c>
      <c r="AC41" s="209" t="s">
        <v>145</v>
      </c>
    </row>
    <row r="42" spans="1:29" s="22" customFormat="1" ht="12.75" customHeight="1">
      <c r="A42" s="1013"/>
      <c r="B42" s="935" t="s">
        <v>138</v>
      </c>
      <c r="C42" s="65"/>
      <c r="D42" s="64"/>
      <c r="E42" s="279"/>
      <c r="F42" s="279"/>
      <c r="G42" s="279"/>
      <c r="H42" s="279"/>
      <c r="I42" s="279"/>
      <c r="J42" s="279"/>
      <c r="K42" s="303"/>
      <c r="L42" s="279"/>
      <c r="M42" s="279"/>
      <c r="N42" s="279"/>
      <c r="O42" s="279"/>
      <c r="P42" s="279"/>
      <c r="Q42" s="279">
        <v>8447</v>
      </c>
      <c r="R42" s="279">
        <v>8449</v>
      </c>
      <c r="S42" s="279">
        <v>8452</v>
      </c>
      <c r="T42" s="279">
        <v>8486</v>
      </c>
      <c r="U42" s="279">
        <v>8486</v>
      </c>
      <c r="V42" s="289">
        <v>7277</v>
      </c>
      <c r="W42" s="279">
        <v>6781</v>
      </c>
      <c r="X42" s="279">
        <v>6843</v>
      </c>
      <c r="Y42" s="279">
        <v>5661</v>
      </c>
      <c r="Z42" s="279">
        <v>4727</v>
      </c>
      <c r="AA42" s="286">
        <f>Z42</f>
        <v>4727</v>
      </c>
      <c r="AB42" s="301">
        <v>4132</v>
      </c>
      <c r="AC42" s="54" t="s">
        <v>138</v>
      </c>
    </row>
    <row r="43" spans="1:29" ht="12.75" customHeight="1">
      <c r="A43" s="384"/>
      <c r="B43" s="939" t="s">
        <v>40</v>
      </c>
      <c r="C43" s="765">
        <v>17374</v>
      </c>
      <c r="D43" s="766">
        <v>23228</v>
      </c>
      <c r="E43" s="236">
        <v>21941</v>
      </c>
      <c r="F43" s="281">
        <v>17872</v>
      </c>
      <c r="G43" s="281">
        <v>17571</v>
      </c>
      <c r="H43" s="281">
        <v>17030</v>
      </c>
      <c r="I43" s="281">
        <v>16841</v>
      </c>
      <c r="J43" s="281">
        <v>16004</v>
      </c>
      <c r="K43" s="304">
        <v>17499</v>
      </c>
      <c r="L43" s="281">
        <v>18229</v>
      </c>
      <c r="M43" s="281">
        <v>17041</v>
      </c>
      <c r="N43" s="281">
        <v>17079</v>
      </c>
      <c r="O43" s="281">
        <v>17607</v>
      </c>
      <c r="P43" s="281">
        <v>17773</v>
      </c>
      <c r="Q43" s="281">
        <v>18200</v>
      </c>
      <c r="R43" s="281">
        <v>18167</v>
      </c>
      <c r="S43" s="281">
        <v>18607</v>
      </c>
      <c r="T43" s="281">
        <v>18967</v>
      </c>
      <c r="U43" s="281">
        <v>19077</v>
      </c>
      <c r="V43" s="281">
        <v>19570</v>
      </c>
      <c r="W43" s="281">
        <v>15979</v>
      </c>
      <c r="X43" s="281">
        <v>16902</v>
      </c>
      <c r="Y43" s="281">
        <v>17025</v>
      </c>
      <c r="Z43" s="281">
        <v>16951</v>
      </c>
      <c r="AA43" s="281">
        <f>16476</f>
        <v>16476</v>
      </c>
      <c r="AB43" s="304">
        <v>16529</v>
      </c>
      <c r="AC43" s="209" t="s">
        <v>40</v>
      </c>
    </row>
    <row r="44" spans="1:29" s="22" customFormat="1" ht="12.75" customHeight="1">
      <c r="A44" s="1013"/>
      <c r="B44" s="935" t="s">
        <v>312</v>
      </c>
      <c r="C44" s="67"/>
      <c r="D44" s="66"/>
      <c r="E44" s="235"/>
      <c r="F44" s="279">
        <v>185741</v>
      </c>
      <c r="G44" s="279">
        <v>178826</v>
      </c>
      <c r="H44" s="279">
        <v>171584</v>
      </c>
      <c r="I44" s="279"/>
      <c r="J44" s="279">
        <v>149777</v>
      </c>
      <c r="K44" s="303">
        <v>150254</v>
      </c>
      <c r="L44" s="279">
        <v>197824</v>
      </c>
      <c r="M44" s="286">
        <f>L44</f>
        <v>197824</v>
      </c>
      <c r="N44" s="286">
        <f>M44</f>
        <v>197824</v>
      </c>
      <c r="O44" s="279">
        <v>186186</v>
      </c>
      <c r="P44" s="279">
        <v>184107</v>
      </c>
      <c r="Q44" s="279">
        <v>111890</v>
      </c>
      <c r="R44" s="279">
        <v>187189</v>
      </c>
      <c r="S44" s="279">
        <v>187189</v>
      </c>
      <c r="T44" s="279">
        <v>175634</v>
      </c>
      <c r="U44" s="279">
        <v>173370</v>
      </c>
      <c r="V44" s="279"/>
      <c r="W44" s="283">
        <v>104135</v>
      </c>
      <c r="X44" s="283">
        <v>105965</v>
      </c>
      <c r="Y44" s="279">
        <v>105777</v>
      </c>
      <c r="Z44" s="279">
        <v>105859</v>
      </c>
      <c r="AA44" s="279">
        <f>Z44</f>
        <v>105859</v>
      </c>
      <c r="AB44" s="303">
        <v>121608</v>
      </c>
      <c r="AC44" s="54" t="s">
        <v>312</v>
      </c>
    </row>
    <row r="45" spans="1:29" ht="12.75" customHeight="1">
      <c r="A45" s="562"/>
      <c r="B45" s="345" t="s">
        <v>44</v>
      </c>
      <c r="C45" s="1007">
        <v>389807</v>
      </c>
      <c r="D45" s="1008">
        <v>141170</v>
      </c>
      <c r="E45" s="1009">
        <v>34403</v>
      </c>
      <c r="F45" s="1009"/>
      <c r="G45" s="1010">
        <v>19050</v>
      </c>
      <c r="H45" s="1010">
        <v>19106</v>
      </c>
      <c r="I45" s="1011"/>
      <c r="J45" s="1011"/>
      <c r="K45" s="1012"/>
      <c r="L45" s="1011"/>
      <c r="M45" s="1011"/>
      <c r="N45" s="1011">
        <v>8284</v>
      </c>
      <c r="O45" s="1011"/>
      <c r="P45" s="1011"/>
      <c r="Q45" s="1011"/>
      <c r="R45" s="1011"/>
      <c r="S45" s="1011"/>
      <c r="T45" s="1011"/>
      <c r="U45" s="1011"/>
      <c r="V45" s="1011"/>
      <c r="W45" s="1011"/>
      <c r="X45" s="1011"/>
      <c r="Y45" s="1011"/>
      <c r="Z45" s="1011"/>
      <c r="AA45" s="1011"/>
      <c r="AB45" s="1012"/>
      <c r="AC45" s="392" t="s">
        <v>44</v>
      </c>
    </row>
    <row r="46" spans="1:29" ht="15.75" customHeight="1">
      <c r="B46" s="1356" t="s">
        <v>164</v>
      </c>
      <c r="C46" s="1356"/>
      <c r="D46" s="1356"/>
      <c r="E46" s="1356"/>
      <c r="F46" s="1356"/>
      <c r="G46" s="1356"/>
      <c r="H46" s="1356"/>
      <c r="I46" s="1356"/>
      <c r="J46" s="1356"/>
      <c r="K46" s="1356"/>
      <c r="L46" s="1356"/>
      <c r="M46" s="1356"/>
      <c r="N46" s="1356"/>
      <c r="O46" s="1356"/>
      <c r="P46" s="1356"/>
      <c r="Q46" s="1356"/>
      <c r="R46" s="1356"/>
      <c r="S46" s="1356"/>
      <c r="T46" s="1356"/>
      <c r="U46" s="1356"/>
      <c r="V46" s="1356"/>
      <c r="W46" s="1356"/>
      <c r="X46" s="1356"/>
      <c r="Y46" s="1356"/>
      <c r="Z46" s="1356"/>
      <c r="AA46" s="1356"/>
      <c r="AB46" s="1356"/>
      <c r="AC46" s="1356"/>
    </row>
    <row r="47" spans="1:29">
      <c r="B47" s="180" t="s">
        <v>290</v>
      </c>
      <c r="C47" s="190"/>
      <c r="D47" s="190"/>
      <c r="E47" s="190"/>
      <c r="F47" s="190"/>
      <c r="G47" s="190"/>
      <c r="H47" s="190"/>
      <c r="I47" s="190"/>
      <c r="S47" s="2"/>
    </row>
    <row r="48" spans="1:29">
      <c r="B48" s="191" t="s">
        <v>81</v>
      </c>
      <c r="C48" s="195"/>
      <c r="D48" s="195"/>
      <c r="E48" s="195"/>
      <c r="F48" s="195"/>
      <c r="G48" s="195"/>
      <c r="H48" s="195"/>
      <c r="I48" s="195"/>
    </row>
    <row r="49" spans="2:5">
      <c r="B49" s="3" t="s">
        <v>371</v>
      </c>
    </row>
    <row r="50" spans="2:5">
      <c r="B50" s="195" t="s">
        <v>272</v>
      </c>
      <c r="C50" s="195"/>
      <c r="D50" s="195"/>
      <c r="E50" s="195"/>
    </row>
    <row r="51" spans="2:5">
      <c r="B51" s="181" t="s">
        <v>273</v>
      </c>
      <c r="D51" s="188"/>
      <c r="E51" s="188"/>
    </row>
  </sheetData>
  <mergeCells count="3">
    <mergeCell ref="B2:AC2"/>
    <mergeCell ref="B3:AC3"/>
    <mergeCell ref="B46:AC46"/>
  </mergeCells>
  <phoneticPr fontId="9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6FF4019-7572-47E8-8BAC-E15CABFA1CE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14</vt:i4>
      </vt:variant>
    </vt:vector>
  </HeadingPairs>
  <TitlesOfParts>
    <vt:vector size="34" baseType="lpstr">
      <vt:lpstr>T2.6</vt:lpstr>
      <vt:lpstr>motorisation</vt:lpstr>
      <vt:lpstr>stock_cars</vt:lpstr>
      <vt:lpstr>stock_bus</vt:lpstr>
      <vt:lpstr>stock_busses</vt:lpstr>
      <vt:lpstr>stock_goods</vt:lpstr>
      <vt:lpstr>stock_mbike</vt:lpstr>
      <vt:lpstr>car_reg_new</vt:lpstr>
      <vt:lpstr>com_reg</vt:lpstr>
      <vt:lpstr>bus_reg</vt:lpstr>
      <vt:lpstr>mbike_reg</vt:lpstr>
      <vt:lpstr>moped_del</vt:lpstr>
      <vt:lpstr>sea_fleet_eu</vt:lpstr>
      <vt:lpstr>sea_world_region</vt:lpstr>
      <vt:lpstr>sea_world_type</vt:lpstr>
      <vt:lpstr>aircraft_passeng</vt:lpstr>
      <vt:lpstr>aircraft_other</vt:lpstr>
      <vt:lpstr>stock_loco</vt:lpstr>
      <vt:lpstr>stock_railcar</vt:lpstr>
      <vt:lpstr>stock_railgood</vt:lpstr>
      <vt:lpstr>T2.6!A</vt:lpstr>
      <vt:lpstr>aircraft_passeng!Print_Area</vt:lpstr>
      <vt:lpstr>mbike_reg!Print_Area</vt:lpstr>
      <vt:lpstr>moped_del!Print_Area</vt:lpstr>
      <vt:lpstr>motorisation!Print_Area</vt:lpstr>
      <vt:lpstr>sea_fleet_eu!Print_Area</vt:lpstr>
      <vt:lpstr>sea_world_region!Print_Area</vt:lpstr>
      <vt:lpstr>stock_bus!Print_Area</vt:lpstr>
      <vt:lpstr>stock_cars!Print_Area</vt:lpstr>
      <vt:lpstr>stock_goods!Print_Area</vt:lpstr>
      <vt:lpstr>stock_mbike!Print_Area</vt:lpstr>
      <vt:lpstr>stock_railcar!Print_Area</vt:lpstr>
      <vt:lpstr>stock_railgood!Print_Area</vt:lpstr>
      <vt:lpstr>T2.6!Print_Area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georgpi</dc:creator>
  <cp:lastModifiedBy>LUPU Iuliana (MOVE)</cp:lastModifiedBy>
  <cp:lastPrinted>2013-02-18T14:00:29Z</cp:lastPrinted>
  <dcterms:created xsi:type="dcterms:W3CDTF">2003-09-05T14:33:05Z</dcterms:created>
  <dcterms:modified xsi:type="dcterms:W3CDTF">2024-09-13T10:12:31Z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2023-03-24T15:41:05Z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ef5d0604-d184-4371-b7c4-accea2f3984b</vt:lpwstr>
  </property>
  <property fmtid="{D5CDD505-2E9C-101B-9397-08002B2CF9AE}" pid="8" name="MSIP_Label_6bd9ddd1-4d20-43f6-abfa-fc3c07406f94_ContentBits">
    <vt:lpwstr>0</vt:lpwstr>
  </property>
</Properties>
</file>