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'road_by_int'!$B$1:$R$47</definedName>
    <definedName name="_xlnm.Print_Area" localSheetId="4">'road_by_nat'!$B$1:$R$44</definedName>
    <definedName name="_xlnm.Print_Area" localSheetId="6">'road_by_tot'!$B$1:$R$48</definedName>
    <definedName name="_xlnm.Print_Area" localSheetId="0">'T3.2'!$B$1:$E$26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<sst xmlns="http://schemas.openxmlformats.org/spreadsheetml/2006/main" count="1263" uniqueCount="144">
  <si>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</si>
  <si>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</si>
  <si>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</si>
  <si>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</si>
  <si>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</si>
  <si>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</si>
  <si>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</si>
  <si>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</si>
  <si>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</si>
  <si>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</si>
  <si>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</si>
  <si>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</si>
  <si>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</si>
  <si>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</si>
  <si>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</si>
  <si>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</si>
  <si>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</si>
  <si>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</si>
  <si>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</si>
  <si>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</si>
  <si>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</si>
  <si>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</si>
  <si>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</si>
  <si>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</si>
  <si>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</si>
  <si>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</si>
  <si>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</si>
  <si>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</si>
  <si>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</si>
  <si>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</si>
  <si>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</si>
  <si>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</si>
  <si>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</si>
  <si>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</si>
  <si>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</si>
  <si>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</si>
  <si>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</si>
  <si>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</si>
  <si>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</si>
  <si>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</si>
  <si>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</si>
  <si>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</si>
  <si>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</si>
  <si>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</si>
  <si>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</si>
  <si>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</si>
  <si>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</si>
  <si>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</si>
  <si>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</si>
  <si>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</si>
  <si>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</si>
  <si>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</si>
  <si>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</si>
  <si>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</si>
  <si>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</si>
  <si>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</si>
  <si>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</si>
  <si>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</si>
  <si>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</si>
  <si>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</si>
  <si>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</si>
  <si>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</si>
  <si>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</si>
  <si>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</si>
  <si>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</si>
  <si>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</si>
  <si>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</si>
  <si>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</si>
  <si>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</si>
  <si>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</si>
  <si>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</si>
  <si>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</si>
  <si>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</si>
  <si>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</si>
  <si>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</si>
  <si>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</si>
  <si>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</si>
  <si>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</si>
  <si>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</si>
  <si>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</si>
  <si>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</si>
  <si>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</si>
  <si>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</si>
  <si>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</si>
  <si>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</si>
  <si>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</si>
  <si>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</si>
  <si>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</si>
  <si>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</si>
  <si>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</si>
  <si>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</si>
  <si>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</si>
  <si>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</si>
  <si>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</si>
  <si>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</si>
  <si>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</si>
  <si>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</si>
  <si>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</si>
  <si>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</si>
  <si>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</si>
  <si>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</si>
  <si>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</si>
  <si>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</si>
  <si>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</si>
  <si>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</si>
  <si>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</si>
  <si>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</si>
  <si>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</si>
  <si>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</si>
  <si>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</si>
  <si>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</si>
  <si>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</si>
  <si>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</si>
  <si>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</si>
  <si>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</si>
  <si>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</si>
  <si>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</si>
  <si>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</si>
  <si>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</si>
  <si>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</si>
  <si>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</si>
  <si>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</si>
  <si>
    <t>change 07/08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</si>
  <si>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</si>
  <si>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</si>
  <si>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</si>
  <si>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</si>
  <si>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</si>
  <si>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</si>
  <si>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Note:</t>
    </r>
    <r>
      <rPr>
        <sz val="8"/>
        <rFont val="Arial"/>
        <family val="2"/>
      </rPr>
      <t xml:space="preserve"> only haulage of heavy goods vehicles (usually &gt;3.5 tonnes load capacity)</t>
    </r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</si>
  <si>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</si>
  <si>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</si>
  <si>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</si>
  <si>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</t>
    </r>
  </si>
  <si>
    <t>1995 -2008</t>
  </si>
  <si>
    <t>2007 - 2008</t>
  </si>
  <si>
    <t>2000-2008</t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</si>
  <si>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</si>
  <si>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</si>
  <si>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r>
      <t xml:space="preserve">Source: </t>
    </r>
    <r>
      <rPr>
        <sz val="8"/>
        <rFont val="Arial"/>
        <family val="2"/>
      </rPr>
      <t>tables 3.2.4c to 3.2.7,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</si>
  <si>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3.2.4c to 3.2.7</t>
    </r>
  </si>
  <si>
    <r>
      <t>Note: CS</t>
    </r>
    <r>
      <rPr>
        <sz val="8"/>
        <rFont val="Arial"/>
        <family val="2"/>
      </rPr>
      <t>: 1990: 59.4 (included in EU-27 and EU-12 totals)</t>
    </r>
  </si>
  <si>
    <t>Data are not harmonised and therefore not fully comparable; in most countries, only pipelines longer than 40km are included.</t>
  </si>
  <si>
    <r>
      <t>Note: Road</t>
    </r>
    <r>
      <rPr>
        <sz val="8"/>
        <rFont val="Arial"/>
        <family val="2"/>
      </rPr>
      <t>: national and international haulage by vehicles registered in the EU-27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</si>
</sst>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5" fontId="3" fillId="5" borderId="13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center" vertical="center"/>
    </xf>
    <xf numFmtId="189" fontId="2" fillId="0" borderId="13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8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70" fontId="28" fillId="0" borderId="0" xfId="0" applyNumberFormat="1" applyFont="1" applyAlignment="1">
      <alignment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/>
    </xf>
    <xf numFmtId="2" fontId="17" fillId="5" borderId="5" xfId="0" applyNumberFormat="1" applyFont="1" applyFill="1" applyBorder="1" applyAlignment="1">
      <alignment horizontal="right"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2" fontId="3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freight_graph!$C$38:$P$38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freight_graph!$C$39:$P$39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freight_graph!$C$40:$P$40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freight_graph!$C$41:$P$41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freight_graph!$C$42:$P$42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freight_graph!$C$37:$P$37</c:f>
              <c:numCache/>
            </c:numRef>
          </c:cat>
          <c:val>
            <c:numRef>
              <c:f>freight_graph!$C$43:$P$43</c:f>
              <c:numCache/>
            </c:numRef>
          </c:val>
          <c:smooth val="0"/>
        </c:ser>
        <c:axId val="24814949"/>
        <c:axId val="22007950"/>
      </c:line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81494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5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3" t="s">
        <v>77</v>
      </c>
      <c r="C1" s="393"/>
      <c r="D1" s="393"/>
      <c r="E1" s="393"/>
    </row>
    <row r="2" spans="2:5" ht="19.5" customHeight="1">
      <c r="B2" s="394" t="s">
        <v>78</v>
      </c>
      <c r="C2" s="394"/>
      <c r="D2" s="394"/>
      <c r="E2" s="394"/>
    </row>
    <row r="3" spans="2:5" ht="19.5" customHeight="1">
      <c r="B3" s="395" t="s">
        <v>79</v>
      </c>
      <c r="C3" s="395"/>
      <c r="D3" s="395"/>
      <c r="E3" s="395"/>
    </row>
    <row r="4" spans="2:5" ht="19.5" customHeight="1">
      <c r="B4" s="396" t="s">
        <v>80</v>
      </c>
      <c r="C4" s="396"/>
      <c r="D4" s="396"/>
      <c r="E4" s="396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3" t="s">
        <v>83</v>
      </c>
      <c r="C7" s="393"/>
      <c r="D7" s="393"/>
      <c r="E7" s="393"/>
    </row>
    <row r="8" spans="2:5" ht="19.5" customHeight="1">
      <c r="B8" s="392">
        <v>2010</v>
      </c>
      <c r="C8" s="392"/>
      <c r="D8" s="392"/>
      <c r="E8" s="392"/>
    </row>
    <row r="9" spans="2:5" ht="19.5" customHeight="1">
      <c r="B9" s="63"/>
      <c r="C9" s="63"/>
      <c r="D9" s="63"/>
      <c r="E9" s="63"/>
    </row>
    <row r="10" spans="2:5" ht="19.5" customHeight="1">
      <c r="B10" s="390" t="s">
        <v>53</v>
      </c>
      <c r="C10" s="390"/>
      <c r="D10" s="390"/>
      <c r="E10" s="390"/>
    </row>
    <row r="11" spans="2:5" ht="19.5" customHeight="1">
      <c r="B11" s="7"/>
      <c r="E11" s="7"/>
    </row>
    <row r="12" spans="2:5" ht="19.5" customHeight="1">
      <c r="B12" s="391" t="s">
        <v>61</v>
      </c>
      <c r="C12" s="391"/>
      <c r="D12" s="391"/>
      <c r="E12" s="391"/>
    </row>
    <row r="13" spans="2:5" ht="19.5" customHeight="1">
      <c r="B13" s="391" t="s">
        <v>81</v>
      </c>
      <c r="C13" s="391"/>
      <c r="D13" s="391"/>
      <c r="E13" s="391"/>
    </row>
    <row r="14" spans="2:5" ht="19.5" customHeight="1">
      <c r="B14" s="391" t="s">
        <v>82</v>
      </c>
      <c r="C14" s="391"/>
      <c r="D14" s="391"/>
      <c r="E14" s="391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43</v>
      </c>
      <c r="C17" s="58"/>
      <c r="D17" s="59" t="s">
        <v>72</v>
      </c>
      <c r="E17" s="7"/>
    </row>
    <row r="18" spans="2:5" ht="15" customHeight="1">
      <c r="B18" s="57" t="s">
        <v>44</v>
      </c>
      <c r="C18" s="58"/>
      <c r="D18" s="59" t="s">
        <v>73</v>
      </c>
      <c r="E18" s="7"/>
    </row>
    <row r="19" spans="2:5" ht="15" customHeight="1">
      <c r="B19" s="57" t="s">
        <v>46</v>
      </c>
      <c r="C19" s="58"/>
      <c r="D19" s="59" t="s">
        <v>74</v>
      </c>
      <c r="E19" s="7"/>
    </row>
    <row r="20" spans="2:5" ht="15" customHeight="1">
      <c r="B20" s="57" t="s">
        <v>5</v>
      </c>
      <c r="C20" s="58"/>
      <c r="D20" s="59" t="s">
        <v>85</v>
      </c>
      <c r="E20" s="7"/>
    </row>
    <row r="21" spans="2:4" ht="15" customHeight="1">
      <c r="B21" s="57" t="s">
        <v>6</v>
      </c>
      <c r="C21" s="58"/>
      <c r="D21" s="59" t="s">
        <v>86</v>
      </c>
    </row>
    <row r="22" spans="2:4" ht="15" customHeight="1">
      <c r="B22" s="57" t="s">
        <v>7</v>
      </c>
      <c r="C22" s="58"/>
      <c r="D22" s="59" t="s">
        <v>87</v>
      </c>
    </row>
    <row r="23" spans="2:4" ht="15" customHeight="1">
      <c r="B23" s="57" t="s">
        <v>47</v>
      </c>
      <c r="C23" s="60"/>
      <c r="D23" s="61" t="s">
        <v>75</v>
      </c>
    </row>
    <row r="24" spans="2:5" ht="15" customHeight="1">
      <c r="B24" s="57" t="s">
        <v>48</v>
      </c>
      <c r="C24" s="60"/>
      <c r="D24" s="61" t="s">
        <v>51</v>
      </c>
      <c r="E24" s="7"/>
    </row>
    <row r="25" spans="2:5" ht="15" customHeight="1">
      <c r="B25" s="57" t="s">
        <v>49</v>
      </c>
      <c r="C25" s="60"/>
      <c r="D25" s="61" t="s">
        <v>76</v>
      </c>
      <c r="E25" s="7"/>
    </row>
    <row r="26" spans="2:5" ht="15" customHeight="1">
      <c r="B26" s="57" t="s">
        <v>88</v>
      </c>
      <c r="D26" s="59" t="s">
        <v>105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Z48"/>
  <sheetViews>
    <sheetView workbookViewId="0" topLeftCell="A1">
      <selection activeCell="AB7" sqref="AB7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2.8515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49</v>
      </c>
    </row>
    <row r="2" spans="1:26" s="54" customFormat="1" ht="30" customHeight="1">
      <c r="A2" s="56"/>
      <c r="B2" s="384" t="s">
        <v>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97"/>
    </row>
    <row r="3" spans="2:26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50" t="s">
        <v>69</v>
      </c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2"/>
      <c r="Z5" s="2"/>
    </row>
    <row r="6" spans="2:26" ht="12.75" customHeight="1">
      <c r="B6" s="104" t="s">
        <v>84</v>
      </c>
      <c r="C6" s="346"/>
      <c r="D6" s="346"/>
      <c r="E6" s="347"/>
      <c r="F6" s="347"/>
      <c r="G6" s="347"/>
      <c r="H6" s="347"/>
      <c r="I6" s="347"/>
      <c r="J6" s="374">
        <f>SUM(J9:J35)</f>
        <v>114.90729999999999</v>
      </c>
      <c r="K6" s="374">
        <f>SUM(K9:K35)</f>
        <v>119.3301</v>
      </c>
      <c r="L6" s="374">
        <f aca="true" t="shared" si="0" ref="L6:U6">SUM(L9:L35)</f>
        <v>118.179</v>
      </c>
      <c r="M6" s="374">
        <f t="shared" si="0"/>
        <v>125.38799999999999</v>
      </c>
      <c r="N6" s="374">
        <f t="shared" si="0"/>
        <v>124.228</v>
      </c>
      <c r="O6" s="374">
        <f t="shared" si="0"/>
        <v>126.67869999999999</v>
      </c>
      <c r="P6" s="374">
        <f t="shared" si="0"/>
        <v>133.0403</v>
      </c>
      <c r="Q6" s="374">
        <f t="shared" si="0"/>
        <v>128.44559999999998</v>
      </c>
      <c r="R6" s="374">
        <f t="shared" si="0"/>
        <v>130.3528</v>
      </c>
      <c r="S6" s="374">
        <f t="shared" si="0"/>
        <v>131.6323606</v>
      </c>
      <c r="T6" s="374">
        <f t="shared" si="0"/>
        <v>135.9425038</v>
      </c>
      <c r="U6" s="374">
        <f t="shared" si="0"/>
        <v>135.1576498</v>
      </c>
      <c r="V6" s="374">
        <f>SUM(V9:V35)</f>
        <v>126.91657599999999</v>
      </c>
      <c r="W6" s="374">
        <f>SUM(W9:W35)</f>
        <v>124.09471739999998</v>
      </c>
      <c r="X6" s="299">
        <f>100*(W6/V6-1)</f>
        <v>-2.223396414350176</v>
      </c>
      <c r="Y6" s="115" t="s">
        <v>84</v>
      </c>
      <c r="Z6" s="2"/>
    </row>
    <row r="7" spans="1:25" ht="12.75" customHeight="1">
      <c r="A7" s="16"/>
      <c r="B7" s="105" t="s">
        <v>28</v>
      </c>
      <c r="C7" s="348">
        <f aca="true" t="shared" si="1" ref="C7:J7">SUM(C9,C12:C13,C15:C19,C23,C26:C27,C29,C33:C35)</f>
        <v>63.736999999999995</v>
      </c>
      <c r="D7" s="348">
        <f t="shared" si="1"/>
        <v>84.88300000000001</v>
      </c>
      <c r="E7" s="349">
        <f t="shared" si="1"/>
        <v>71.698</v>
      </c>
      <c r="F7" s="349">
        <f t="shared" si="1"/>
        <v>78.92500000000001</v>
      </c>
      <c r="G7" s="349">
        <f t="shared" si="1"/>
        <v>80.76199999999999</v>
      </c>
      <c r="H7" s="349">
        <f t="shared" si="1"/>
        <v>82.181</v>
      </c>
      <c r="I7" s="349">
        <f t="shared" si="1"/>
        <v>83.14699999999999</v>
      </c>
      <c r="J7" s="375">
        <f t="shared" si="1"/>
        <v>80.189</v>
      </c>
      <c r="K7" s="375">
        <f>SUM(K9,K12:K13,K15:K19,K23,K26:K27,K29,K33:K35)</f>
        <v>82.18900000000001</v>
      </c>
      <c r="L7" s="375">
        <f aca="true" t="shared" si="2" ref="L7:U7">SUM(L9,L12:L13,L15:L19,L23,L26:L27,L29,L33:L35)</f>
        <v>82.215</v>
      </c>
      <c r="M7" s="375">
        <f t="shared" si="2"/>
        <v>85.29</v>
      </c>
      <c r="N7" s="375">
        <f t="shared" si="2"/>
        <v>84.852</v>
      </c>
      <c r="O7" s="375">
        <f t="shared" si="2"/>
        <v>86.155</v>
      </c>
      <c r="P7" s="376">
        <f t="shared" si="2"/>
        <v>88.553</v>
      </c>
      <c r="Q7" s="376">
        <f t="shared" si="2"/>
        <v>86.70100000000001</v>
      </c>
      <c r="R7" s="376">
        <f t="shared" si="2"/>
        <v>87.139</v>
      </c>
      <c r="S7" s="376">
        <f t="shared" si="2"/>
        <v>87.4669606</v>
      </c>
      <c r="T7" s="376">
        <f t="shared" si="2"/>
        <v>89.96350380000001</v>
      </c>
      <c r="U7" s="376">
        <f t="shared" si="2"/>
        <v>89.95554980000001</v>
      </c>
      <c r="V7" s="376">
        <f>SUM(V9,V12:V13,V15:V19,V23,V26:V27,V29,V33:V35)</f>
        <v>87.025576</v>
      </c>
      <c r="W7" s="376">
        <f>SUM(W9,W12:W13,W15:W19,W23,W26:W27,W29,W33:W35)</f>
        <v>87.49371740000001</v>
      </c>
      <c r="X7" s="300">
        <f aca="true" t="shared" si="3" ref="X7:X41">100*(W7/V7-1)</f>
        <v>0.5379354225705013</v>
      </c>
      <c r="Y7" s="116" t="s">
        <v>28</v>
      </c>
    </row>
    <row r="8" spans="1:25" ht="12.75" customHeight="1">
      <c r="A8" s="16"/>
      <c r="B8" s="108" t="s">
        <v>99</v>
      </c>
      <c r="C8" s="350"/>
      <c r="D8" s="350"/>
      <c r="E8" s="351"/>
      <c r="F8" s="351"/>
      <c r="G8" s="351"/>
      <c r="H8" s="351"/>
      <c r="I8" s="351"/>
      <c r="J8" s="377">
        <f aca="true" t="shared" si="4" ref="J8:U8">SUM(J10,J11,J14,J20:J22,J24:J25,J28,J30:J32)</f>
        <v>34.7183</v>
      </c>
      <c r="K8" s="377">
        <f t="shared" si="4"/>
        <v>37.141099999999994</v>
      </c>
      <c r="L8" s="377">
        <f t="shared" si="4"/>
        <v>35.964</v>
      </c>
      <c r="M8" s="377">
        <f t="shared" si="4"/>
        <v>40.098000000000006</v>
      </c>
      <c r="N8" s="377">
        <f t="shared" si="4"/>
        <v>39.376000000000005</v>
      </c>
      <c r="O8" s="377">
        <f t="shared" si="4"/>
        <v>40.523700000000005</v>
      </c>
      <c r="P8" s="377">
        <f t="shared" si="4"/>
        <v>44.4873</v>
      </c>
      <c r="Q8" s="377">
        <f t="shared" si="4"/>
        <v>41.744600000000005</v>
      </c>
      <c r="R8" s="377">
        <f t="shared" si="4"/>
        <v>43.213800000000006</v>
      </c>
      <c r="S8" s="377">
        <f t="shared" si="4"/>
        <v>44.165400000000005</v>
      </c>
      <c r="T8" s="377">
        <f t="shared" si="4"/>
        <v>45.979</v>
      </c>
      <c r="U8" s="377">
        <f t="shared" si="4"/>
        <v>45.2021</v>
      </c>
      <c r="V8" s="377">
        <f>SUM(V10,V11,V14,V20:V22,V24:V25,V28,V30:V32)</f>
        <v>39.891</v>
      </c>
      <c r="W8" s="377">
        <f>SUM(W10,W11,W14,W20:W22,W24:W25,W28,W30:W32)</f>
        <v>36.601</v>
      </c>
      <c r="X8" s="301">
        <f t="shared" si="3"/>
        <v>-8.247474367651852</v>
      </c>
      <c r="Y8" s="108" t="s">
        <v>99</v>
      </c>
    </row>
    <row r="9" spans="1:25" ht="12.75" customHeight="1">
      <c r="A9" s="16"/>
      <c r="B9" s="18" t="s">
        <v>29</v>
      </c>
      <c r="C9" s="166">
        <v>0.27</v>
      </c>
      <c r="D9" s="166">
        <v>1.802</v>
      </c>
      <c r="E9" s="156">
        <v>1.024</v>
      </c>
      <c r="F9" s="156">
        <v>1.13</v>
      </c>
      <c r="G9" s="156">
        <v>1.168</v>
      </c>
      <c r="H9" s="156">
        <v>1.263</v>
      </c>
      <c r="I9" s="156">
        <v>1.37</v>
      </c>
      <c r="J9" s="156">
        <v>1.37</v>
      </c>
      <c r="K9" s="156">
        <v>1.45</v>
      </c>
      <c r="L9" s="156">
        <v>1.526</v>
      </c>
      <c r="M9" s="156">
        <v>1.57</v>
      </c>
      <c r="N9" s="156">
        <v>1.577</v>
      </c>
      <c r="O9" s="156">
        <v>1.624</v>
      </c>
      <c r="P9" s="157">
        <v>1.544</v>
      </c>
      <c r="Q9" s="157">
        <v>1.511</v>
      </c>
      <c r="R9" s="157">
        <v>1.518</v>
      </c>
      <c r="S9" s="157">
        <v>1.533</v>
      </c>
      <c r="T9" s="157">
        <v>1.517</v>
      </c>
      <c r="U9" s="157">
        <v>1.572</v>
      </c>
      <c r="V9" s="157">
        <v>1.494</v>
      </c>
      <c r="W9" s="157">
        <v>1.449</v>
      </c>
      <c r="X9" s="302">
        <f t="shared" si="3"/>
        <v>-3.0120481927710774</v>
      </c>
      <c r="Y9" s="17" t="s">
        <v>29</v>
      </c>
    </row>
    <row r="10" spans="1:25" ht="12.75" customHeight="1">
      <c r="A10" s="16"/>
      <c r="B10" s="105" t="s">
        <v>11</v>
      </c>
      <c r="C10" s="179">
        <v>0</v>
      </c>
      <c r="D10" s="179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0.357</v>
      </c>
      <c r="V10" s="129">
        <v>0.42</v>
      </c>
      <c r="W10" s="129">
        <v>0.42</v>
      </c>
      <c r="X10" s="198">
        <f t="shared" si="3"/>
        <v>0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303">
        <f t="shared" si="3"/>
        <v>11.351611351611336</v>
      </c>
      <c r="Y11" s="18" t="s">
        <v>13</v>
      </c>
    </row>
    <row r="12" spans="1:25" ht="12.75" customHeight="1">
      <c r="A12" s="16"/>
      <c r="B12" s="105" t="s">
        <v>24</v>
      </c>
      <c r="C12" s="179"/>
      <c r="D12" s="179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98">
        <f t="shared" si="3"/>
        <v>-9.033931272963047</v>
      </c>
      <c r="Y12" s="105" t="s">
        <v>24</v>
      </c>
    </row>
    <row r="13" spans="1:25" ht="12.75" customHeight="1">
      <c r="A13" s="16"/>
      <c r="B13" s="18" t="s">
        <v>30</v>
      </c>
      <c r="C13" s="165">
        <v>16.9</v>
      </c>
      <c r="D13" s="165">
        <v>14.3</v>
      </c>
      <c r="E13" s="162">
        <v>13.3</v>
      </c>
      <c r="F13" s="121">
        <v>15.7</v>
      </c>
      <c r="G13" s="121">
        <v>15.7</v>
      </c>
      <c r="H13" s="121">
        <v>16.1</v>
      </c>
      <c r="I13" s="162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15.935</v>
      </c>
      <c r="X13" s="303">
        <f t="shared" si="3"/>
        <v>0.7014661274014289</v>
      </c>
      <c r="Y13" s="18" t="s">
        <v>30</v>
      </c>
    </row>
    <row r="14" spans="1:25" ht="12.75" customHeight="1">
      <c r="A14" s="16"/>
      <c r="B14" s="105" t="s">
        <v>14</v>
      </c>
      <c r="C14" s="179" t="s">
        <v>42</v>
      </c>
      <c r="D14" s="179" t="s">
        <v>42</v>
      </c>
      <c r="E14" s="129" t="s">
        <v>42</v>
      </c>
      <c r="F14" s="129" t="s">
        <v>42</v>
      </c>
      <c r="G14" s="129" t="s">
        <v>42</v>
      </c>
      <c r="H14" s="129" t="s">
        <v>42</v>
      </c>
      <c r="I14" s="129" t="s">
        <v>42</v>
      </c>
      <c r="J14" s="129" t="s">
        <v>42</v>
      </c>
      <c r="K14" s="129" t="s">
        <v>42</v>
      </c>
      <c r="L14" s="129" t="s">
        <v>42</v>
      </c>
      <c r="M14" s="129" t="s">
        <v>42</v>
      </c>
      <c r="N14" s="129" t="s">
        <v>42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30">
        <v>0.02</v>
      </c>
      <c r="R16" s="130">
        <v>0.06</v>
      </c>
      <c r="S16" s="130">
        <v>0.085</v>
      </c>
      <c r="T16" s="130">
        <v>0.09</v>
      </c>
      <c r="U16" s="130">
        <v>0.1</v>
      </c>
      <c r="V16" s="130">
        <v>0.1</v>
      </c>
      <c r="W16" s="130">
        <v>0.1</v>
      </c>
      <c r="X16" s="198">
        <f t="shared" si="3"/>
        <v>0</v>
      </c>
      <c r="Y16" s="105" t="s">
        <v>25</v>
      </c>
    </row>
    <row r="17" spans="1:25" ht="12.75" customHeight="1">
      <c r="A17" s="16"/>
      <c r="B17" s="18" t="s">
        <v>31</v>
      </c>
      <c r="C17" s="166">
        <v>1.023</v>
      </c>
      <c r="D17" s="166">
        <v>3.005</v>
      </c>
      <c r="E17" s="156">
        <v>4.215</v>
      </c>
      <c r="F17" s="156">
        <v>4.78</v>
      </c>
      <c r="G17" s="156">
        <v>5.266</v>
      </c>
      <c r="H17" s="156">
        <v>5.409</v>
      </c>
      <c r="I17" s="156">
        <v>5.479</v>
      </c>
      <c r="J17" s="156">
        <v>5.887</v>
      </c>
      <c r="K17" s="156">
        <v>6.113</v>
      </c>
      <c r="L17" s="156">
        <v>6.534</v>
      </c>
      <c r="M17" s="156">
        <v>6.872</v>
      </c>
      <c r="N17" s="156">
        <v>7.031</v>
      </c>
      <c r="O17" s="156">
        <v>7.466</v>
      </c>
      <c r="P17" s="156">
        <v>7.763</v>
      </c>
      <c r="Q17" s="156">
        <v>7.803</v>
      </c>
      <c r="R17" s="156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69">
        <f t="shared" si="3"/>
        <v>2.294091316025071</v>
      </c>
      <c r="Y17" s="18" t="s">
        <v>31</v>
      </c>
    </row>
    <row r="18" spans="1:25" ht="12.75" customHeight="1">
      <c r="A18" s="16"/>
      <c r="B18" s="105" t="s">
        <v>32</v>
      </c>
      <c r="C18" s="179">
        <v>28.184</v>
      </c>
      <c r="D18" s="179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20.856</v>
      </c>
      <c r="U18" s="129">
        <v>22.199</v>
      </c>
      <c r="V18" s="129">
        <v>21.141</v>
      </c>
      <c r="W18" s="129">
        <v>20.918</v>
      </c>
      <c r="X18" s="304">
        <f t="shared" si="3"/>
        <v>-1.0548223830471493</v>
      </c>
      <c r="Y18" s="105" t="s">
        <v>32</v>
      </c>
    </row>
    <row r="19" spans="1:25" ht="12.75" customHeight="1">
      <c r="A19" s="16"/>
      <c r="B19" s="18" t="s">
        <v>34</v>
      </c>
      <c r="C19" s="165">
        <v>7</v>
      </c>
      <c r="D19" s="165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11.624</v>
      </c>
      <c r="X19" s="168">
        <f t="shared" si="3"/>
        <v>2.0723568668774117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 t="s">
        <v>1</v>
      </c>
      <c r="D21" s="165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303">
        <f t="shared" si="3"/>
        <v>-22.648469199557354</v>
      </c>
      <c r="Y21" s="18" t="s">
        <v>16</v>
      </c>
    </row>
    <row r="22" spans="1:25" ht="12.75" customHeight="1">
      <c r="A22" s="16"/>
      <c r="B22" s="105" t="s">
        <v>17</v>
      </c>
      <c r="C22" s="179" t="s">
        <v>1</v>
      </c>
      <c r="D22" s="179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304">
        <f t="shared" si="3"/>
        <v>-48.934108527131784</v>
      </c>
      <c r="Y22" s="105" t="s">
        <v>17</v>
      </c>
    </row>
    <row r="23" spans="1:25" ht="12.75" customHeight="1">
      <c r="A23" s="16"/>
      <c r="B23" s="18" t="s">
        <v>35</v>
      </c>
      <c r="C23" s="165" t="s">
        <v>42</v>
      </c>
      <c r="D23" s="165" t="s">
        <v>42</v>
      </c>
      <c r="E23" s="121" t="s">
        <v>42</v>
      </c>
      <c r="F23" s="121" t="s">
        <v>42</v>
      </c>
      <c r="G23" s="121" t="s">
        <v>42</v>
      </c>
      <c r="H23" s="121" t="s">
        <v>42</v>
      </c>
      <c r="I23" s="121" t="s">
        <v>42</v>
      </c>
      <c r="J23" s="121" t="s">
        <v>42</v>
      </c>
      <c r="K23" s="121" t="s">
        <v>42</v>
      </c>
      <c r="L23" s="121" t="s">
        <v>42</v>
      </c>
      <c r="M23" s="121" t="s">
        <v>42</v>
      </c>
      <c r="N23" s="121" t="s">
        <v>42</v>
      </c>
      <c r="O23" s="121" t="s">
        <v>42</v>
      </c>
      <c r="P23" s="121" t="s">
        <v>42</v>
      </c>
      <c r="Q23" s="121" t="s">
        <v>42</v>
      </c>
      <c r="R23" s="121" t="s">
        <v>42</v>
      </c>
      <c r="S23" s="121" t="s">
        <v>42</v>
      </c>
      <c r="T23" s="121" t="s">
        <v>42</v>
      </c>
      <c r="U23" s="121" t="s">
        <v>42</v>
      </c>
      <c r="V23" s="121" t="s">
        <v>42</v>
      </c>
      <c r="W23" s="121" t="s">
        <v>42</v>
      </c>
      <c r="X23" s="168"/>
      <c r="Y23" s="18" t="s">
        <v>35</v>
      </c>
    </row>
    <row r="24" spans="1:25" ht="12.75" customHeight="1">
      <c r="A24" s="16"/>
      <c r="B24" s="105" t="s">
        <v>15</v>
      </c>
      <c r="C24" s="179" t="s">
        <v>41</v>
      </c>
      <c r="D24" s="179" t="s">
        <v>41</v>
      </c>
      <c r="E24" s="129">
        <v>5.287</v>
      </c>
      <c r="F24" s="129" t="s">
        <v>41</v>
      </c>
      <c r="G24" s="129" t="s">
        <v>41</v>
      </c>
      <c r="H24" s="129" t="s">
        <v>41</v>
      </c>
      <c r="I24" s="129" t="s">
        <v>41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304">
        <f t="shared" si="3"/>
        <v>-0.4117843990626091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4.075</v>
      </c>
      <c r="D26" s="179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304">
        <f t="shared" si="3"/>
        <v>6.878022568511533</v>
      </c>
      <c r="Y26" s="64" t="s">
        <v>26</v>
      </c>
    </row>
    <row r="27" spans="1:25" ht="12.75" customHeight="1">
      <c r="A27" s="16"/>
      <c r="B27" s="18" t="s">
        <v>36</v>
      </c>
      <c r="C27" s="165">
        <v>3.62</v>
      </c>
      <c r="D27" s="165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303">
        <f t="shared" si="3"/>
        <v>4.082479933573202</v>
      </c>
      <c r="Y27" s="18" t="s">
        <v>36</v>
      </c>
    </row>
    <row r="28" spans="1:25" ht="12.75" customHeight="1">
      <c r="A28" s="16"/>
      <c r="B28" s="105" t="s">
        <v>19</v>
      </c>
      <c r="C28" s="179">
        <v>6.98</v>
      </c>
      <c r="D28" s="179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304">
        <f t="shared" si="3"/>
        <v>-9.635946072385504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/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2">
        <v>0.5</v>
      </c>
      <c r="P29" s="122">
        <v>0.5</v>
      </c>
      <c r="Q29" s="122">
        <v>0.5</v>
      </c>
      <c r="R29" s="122">
        <v>0.5</v>
      </c>
      <c r="S29" s="121">
        <v>0.5039606</v>
      </c>
      <c r="T29" s="121">
        <v>0.48450380000000004</v>
      </c>
      <c r="U29" s="121">
        <v>0.4535498</v>
      </c>
      <c r="V29" s="121">
        <v>0.477576</v>
      </c>
      <c r="W29" s="121">
        <v>0.44971740000000004</v>
      </c>
      <c r="X29" s="168">
        <f t="shared" si="3"/>
        <v>-5.833333333333323</v>
      </c>
      <c r="Y29" s="18" t="s">
        <v>37</v>
      </c>
    </row>
    <row r="30" spans="1:25" ht="12.75" customHeight="1">
      <c r="A30" s="16"/>
      <c r="B30" s="105" t="s">
        <v>20</v>
      </c>
      <c r="C30" s="179">
        <v>1.84</v>
      </c>
      <c r="D30" s="179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98">
        <f t="shared" si="3"/>
        <v>-6.976744186046513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304">
        <f t="shared" si="3"/>
        <v>0</v>
      </c>
      <c r="Y32" s="105" t="s">
        <v>21</v>
      </c>
    </row>
    <row r="33" spans="1:25" ht="12.75" customHeight="1">
      <c r="A33" s="16"/>
      <c r="B33" s="18" t="s">
        <v>38</v>
      </c>
      <c r="C33" s="166" t="s">
        <v>42</v>
      </c>
      <c r="D33" s="166" t="s">
        <v>42</v>
      </c>
      <c r="E33" s="156" t="s">
        <v>42</v>
      </c>
      <c r="F33" s="156" t="s">
        <v>42</v>
      </c>
      <c r="G33" s="156" t="s">
        <v>42</v>
      </c>
      <c r="H33" s="156" t="s">
        <v>42</v>
      </c>
      <c r="I33" s="156" t="s">
        <v>42</v>
      </c>
      <c r="J33" s="156" t="s">
        <v>42</v>
      </c>
      <c r="K33" s="156" t="s">
        <v>42</v>
      </c>
      <c r="L33" s="156" t="s">
        <v>42</v>
      </c>
      <c r="M33" s="156" t="s">
        <v>42</v>
      </c>
      <c r="N33" s="156" t="s">
        <v>42</v>
      </c>
      <c r="O33" s="156" t="s">
        <v>42</v>
      </c>
      <c r="P33" s="156" t="s">
        <v>42</v>
      </c>
      <c r="Q33" s="156" t="s">
        <v>42</v>
      </c>
      <c r="R33" s="156" t="s">
        <v>42</v>
      </c>
      <c r="S33" s="156" t="s">
        <v>42</v>
      </c>
      <c r="T33" s="156" t="s">
        <v>42</v>
      </c>
      <c r="U33" s="156" t="s">
        <v>42</v>
      </c>
      <c r="V33" s="156" t="s">
        <v>42</v>
      </c>
      <c r="W33" s="156" t="s">
        <v>42</v>
      </c>
      <c r="X33" s="302"/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2.665</v>
      </c>
      <c r="D35" s="166">
        <v>10.078</v>
      </c>
      <c r="E35" s="156">
        <v>11.1</v>
      </c>
      <c r="F35" s="156">
        <v>11.07</v>
      </c>
      <c r="G35" s="156">
        <v>11</v>
      </c>
      <c r="H35" s="156">
        <v>11.6</v>
      </c>
      <c r="I35" s="156">
        <v>12</v>
      </c>
      <c r="J35" s="156">
        <v>11.1</v>
      </c>
      <c r="K35" s="156">
        <v>11.623</v>
      </c>
      <c r="L35" s="156">
        <v>11.235</v>
      </c>
      <c r="M35" s="156">
        <v>11.666</v>
      </c>
      <c r="N35" s="156">
        <v>11.637</v>
      </c>
      <c r="O35" s="156">
        <v>11.424</v>
      </c>
      <c r="P35" s="156">
        <v>11.562</v>
      </c>
      <c r="Q35" s="156">
        <v>10.935</v>
      </c>
      <c r="R35" s="156">
        <v>10.484</v>
      </c>
      <c r="S35" s="156">
        <v>10.657</v>
      </c>
      <c r="T35" s="156">
        <v>10.78</v>
      </c>
      <c r="U35" s="156">
        <v>10.777</v>
      </c>
      <c r="V35" s="156">
        <v>10.229</v>
      </c>
      <c r="W35" s="156">
        <v>10.18</v>
      </c>
      <c r="X35" s="306">
        <f t="shared" si="3"/>
        <v>-0.4790302082314901</v>
      </c>
      <c r="Y35" s="19" t="s">
        <v>27</v>
      </c>
    </row>
    <row r="36" spans="1:25" ht="12.75" customHeight="1">
      <c r="A36" s="16"/>
      <c r="B36" s="105" t="s">
        <v>45</v>
      </c>
      <c r="C36" s="202" t="s">
        <v>41</v>
      </c>
      <c r="D36" s="202" t="s">
        <v>41</v>
      </c>
      <c r="E36" s="173">
        <v>3.6</v>
      </c>
      <c r="F36" s="173" t="s">
        <v>41</v>
      </c>
      <c r="G36" s="173"/>
      <c r="H36" s="173"/>
      <c r="I36" s="173"/>
      <c r="J36" s="173" t="s">
        <v>41</v>
      </c>
      <c r="K36" s="173"/>
      <c r="L36" s="173">
        <v>0.725</v>
      </c>
      <c r="M36" s="173">
        <v>0.951</v>
      </c>
      <c r="N36" s="173">
        <v>0.623</v>
      </c>
      <c r="O36" s="173">
        <v>0.428</v>
      </c>
      <c r="P36" s="173">
        <v>0.897</v>
      </c>
      <c r="Q36" s="173">
        <v>1.286</v>
      </c>
      <c r="R36" s="173">
        <v>1.335</v>
      </c>
      <c r="S36" s="173">
        <v>1.515</v>
      </c>
      <c r="T36" s="173">
        <v>1.507</v>
      </c>
      <c r="U36" s="173">
        <v>1.255</v>
      </c>
      <c r="V36" s="173">
        <v>1.406</v>
      </c>
      <c r="W36" s="196">
        <v>1.308</v>
      </c>
      <c r="X36" s="200">
        <f t="shared" si="3"/>
        <v>-6.970128022759592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2">
        <v>0.04</v>
      </c>
      <c r="R37" s="122">
        <v>0.121</v>
      </c>
      <c r="S37" s="122">
        <v>0.12</v>
      </c>
      <c r="T37" s="122">
        <v>0.138</v>
      </c>
      <c r="U37" s="121">
        <v>0.17</v>
      </c>
      <c r="V37" s="121">
        <v>0.164</v>
      </c>
      <c r="W37" s="158">
        <v>0.164</v>
      </c>
      <c r="X37" s="302">
        <f t="shared" si="3"/>
        <v>0</v>
      </c>
      <c r="Y37" s="18" t="s">
        <v>4</v>
      </c>
    </row>
    <row r="38" spans="1:25" ht="12.75" customHeight="1">
      <c r="A38" s="16"/>
      <c r="B38" s="108" t="s">
        <v>23</v>
      </c>
      <c r="C38" s="182">
        <v>1.3</v>
      </c>
      <c r="D38" s="182">
        <v>13.8</v>
      </c>
      <c r="E38" s="132" t="s">
        <v>41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97">
        <v>36.397749</v>
      </c>
      <c r="X38" s="307">
        <f t="shared" si="3"/>
        <v>182.29566327490198</v>
      </c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98">
        <f t="shared" si="3"/>
        <v>-8.707061068702293</v>
      </c>
      <c r="Y40" s="105" t="s">
        <v>40</v>
      </c>
    </row>
    <row r="41" spans="1:25" ht="12.75" customHeight="1">
      <c r="A41" s="16"/>
      <c r="B41" s="19" t="s">
        <v>10</v>
      </c>
      <c r="C41" s="167">
        <v>1.2</v>
      </c>
      <c r="D41" s="167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71">
        <f t="shared" si="3"/>
        <v>14.28571428571428</v>
      </c>
      <c r="Y41" s="19" t="s">
        <v>10</v>
      </c>
    </row>
    <row r="42" spans="2:19" ht="15" customHeight="1">
      <c r="B42" s="11" t="s">
        <v>115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85" t="s">
        <v>3</v>
      </c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</row>
    <row r="44" spans="2:26" ht="12.75" customHeight="1">
      <c r="B44" s="386" t="s">
        <v>142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</row>
    <row r="45" spans="2:25" ht="12.75" customHeight="1">
      <c r="B45" s="137" t="s">
        <v>131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2:25" ht="12.75" customHeight="1">
      <c r="B46" s="137" t="s">
        <v>132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.75" customHeight="1">
      <c r="B47" s="333" t="s">
        <v>133</v>
      </c>
      <c r="C47" s="54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</row>
    <row r="48" spans="2:25" ht="12.75" customHeight="1">
      <c r="B48" s="137" t="s">
        <v>108</v>
      </c>
      <c r="C48" s="54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</sheetData>
  <mergeCells count="3">
    <mergeCell ref="B2:Y2"/>
    <mergeCell ref="B43:S43"/>
    <mergeCell ref="B44:Z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3">
      <selection activeCell="N27" sqref="N27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88</v>
      </c>
    </row>
    <row r="2" spans="1:7" s="95" customFormat="1" ht="30" customHeight="1">
      <c r="A2" s="96"/>
      <c r="B2" s="424" t="s">
        <v>89</v>
      </c>
      <c r="C2" s="424"/>
      <c r="D2" s="424"/>
      <c r="E2" s="424"/>
      <c r="F2" s="424"/>
      <c r="G2" s="424"/>
    </row>
    <row r="3" spans="2:7" ht="15" customHeight="1">
      <c r="B3" s="425" t="s">
        <v>90</v>
      </c>
      <c r="C3" s="425"/>
      <c r="D3" s="425"/>
      <c r="E3" s="425"/>
      <c r="F3" s="425"/>
      <c r="G3" s="425"/>
    </row>
    <row r="4" spans="2:7" ht="12" customHeight="1">
      <c r="B4" s="428" t="s">
        <v>69</v>
      </c>
      <c r="C4" s="428"/>
      <c r="D4" s="428"/>
      <c r="E4" s="428"/>
      <c r="F4" s="428"/>
      <c r="G4" s="428"/>
    </row>
    <row r="5" spans="2:7" ht="12.75">
      <c r="B5" s="40"/>
      <c r="C5" s="76" t="s">
        <v>91</v>
      </c>
      <c r="D5" s="426" t="s">
        <v>57</v>
      </c>
      <c r="E5" s="388" t="s">
        <v>65</v>
      </c>
      <c r="F5" s="388" t="s">
        <v>60</v>
      </c>
      <c r="G5" s="77" t="s">
        <v>59</v>
      </c>
    </row>
    <row r="6" spans="2:7" ht="21.75" customHeight="1">
      <c r="B6" s="40"/>
      <c r="C6" s="78" t="s">
        <v>92</v>
      </c>
      <c r="D6" s="427"/>
      <c r="E6" s="389"/>
      <c r="F6" s="418"/>
      <c r="G6" s="79"/>
    </row>
    <row r="7" spans="2:7" ht="12.75" customHeight="1">
      <c r="B7" s="312">
        <v>1990</v>
      </c>
      <c r="C7" s="149">
        <v>1238.995</v>
      </c>
      <c r="D7" s="314">
        <v>1554.005</v>
      </c>
      <c r="E7" s="314">
        <f>88.956+426.886</f>
        <v>515.842</v>
      </c>
      <c r="F7" s="316">
        <v>852.77</v>
      </c>
      <c r="G7" s="152">
        <f aca="true" t="shared" si="0" ref="G7:G24">SUM(C7:F7)</f>
        <v>4161.612</v>
      </c>
    </row>
    <row r="8" spans="2:7" ht="12.75" customHeight="1" hidden="1">
      <c r="B8" s="308">
        <v>1991</v>
      </c>
      <c r="C8" s="150">
        <v>1266.962</v>
      </c>
      <c r="D8" s="309">
        <v>1521.187</v>
      </c>
      <c r="E8" s="309">
        <f>80.793+423.332</f>
        <v>504.125</v>
      </c>
      <c r="F8" s="310">
        <v>844.594</v>
      </c>
      <c r="G8" s="152">
        <f t="shared" si="0"/>
        <v>4136.868</v>
      </c>
    </row>
    <row r="9" spans="2:7" ht="12.75" customHeight="1" hidden="1">
      <c r="B9" s="308">
        <v>1992</v>
      </c>
      <c r="C9" s="150">
        <v>1299.503</v>
      </c>
      <c r="D9" s="309">
        <v>1603.603</v>
      </c>
      <c r="E9" s="309">
        <f>81.443+434.543</f>
        <v>515.986</v>
      </c>
      <c r="F9" s="310">
        <v>858.632</v>
      </c>
      <c r="G9" s="152">
        <f t="shared" si="0"/>
        <v>4277.723999999999</v>
      </c>
    </row>
    <row r="10" spans="2:7" ht="12.75" customHeight="1" hidden="1">
      <c r="B10" s="308">
        <v>1993</v>
      </c>
      <c r="C10" s="150">
        <v>1354.607</v>
      </c>
      <c r="D10" s="309">
        <v>1657.092</v>
      </c>
      <c r="E10" s="309">
        <f>82.398+414.477</f>
        <v>496.875</v>
      </c>
      <c r="F10" s="310">
        <v>865.617</v>
      </c>
      <c r="G10" s="152">
        <f t="shared" si="0"/>
        <v>4374.191</v>
      </c>
    </row>
    <row r="11" spans="2:7" ht="12.75" customHeight="1" hidden="1">
      <c r="B11" s="308">
        <v>1994</v>
      </c>
      <c r="C11" s="150">
        <v>1442.108</v>
      </c>
      <c r="D11" s="309">
        <v>1782.732</v>
      </c>
      <c r="E11" s="309">
        <f>85.062+434.724</f>
        <v>519.786</v>
      </c>
      <c r="F11" s="310">
        <v>863.427</v>
      </c>
      <c r="G11" s="152">
        <f t="shared" si="0"/>
        <v>4608.053</v>
      </c>
    </row>
    <row r="12" spans="2:7" ht="12.75" customHeight="1">
      <c r="B12" s="317">
        <v>1995</v>
      </c>
      <c r="C12" s="318">
        <v>1509.428</v>
      </c>
      <c r="D12" s="319">
        <v>1922.797</v>
      </c>
      <c r="E12" s="319">
        <f>87.166+447.232</f>
        <v>534.398</v>
      </c>
      <c r="F12" s="320">
        <v>877.589</v>
      </c>
      <c r="G12" s="321">
        <f t="shared" si="0"/>
        <v>4844.212</v>
      </c>
    </row>
    <row r="13" spans="2:7" ht="12.75" customHeight="1">
      <c r="B13" s="81">
        <v>1996</v>
      </c>
      <c r="C13" s="150">
        <v>1550.171</v>
      </c>
      <c r="D13" s="154">
        <v>2010.52</v>
      </c>
      <c r="E13" s="154">
        <f>85.167+433.307</f>
        <v>518.474</v>
      </c>
      <c r="F13" s="155">
        <v>904.015</v>
      </c>
      <c r="G13" s="152">
        <f t="shared" si="0"/>
        <v>4983.18</v>
      </c>
    </row>
    <row r="14" spans="2:7" ht="12.75" customHeight="1">
      <c r="B14" s="81">
        <v>1997</v>
      </c>
      <c r="C14" s="150">
        <v>1621.117</v>
      </c>
      <c r="D14" s="154">
        <v>2030.951</v>
      </c>
      <c r="E14" s="154">
        <f>90.761+429.265</f>
        <v>520.026</v>
      </c>
      <c r="F14" s="155">
        <v>900.073</v>
      </c>
      <c r="G14" s="152">
        <f t="shared" si="0"/>
        <v>5072.167</v>
      </c>
    </row>
    <row r="15" spans="2:7" ht="12.75" customHeight="1">
      <c r="B15" s="81">
        <v>1998</v>
      </c>
      <c r="C15" s="150">
        <v>1663.775</v>
      </c>
      <c r="D15" s="154">
        <v>2114.554</v>
      </c>
      <c r="E15" s="154">
        <f>90.013+430.54</f>
        <v>520.553</v>
      </c>
      <c r="F15" s="155">
        <v>904.891</v>
      </c>
      <c r="G15" s="152">
        <f t="shared" si="0"/>
        <v>5203.773</v>
      </c>
    </row>
    <row r="16" spans="2:7" ht="12.75" customHeight="1">
      <c r="B16" s="81">
        <v>1999</v>
      </c>
      <c r="C16" s="150">
        <v>1717.218</v>
      </c>
      <c r="D16" s="154">
        <v>2195.309</v>
      </c>
      <c r="E16" s="154">
        <f>83.284+444.889</f>
        <v>528.173</v>
      </c>
      <c r="F16" s="155">
        <v>901.825</v>
      </c>
      <c r="G16" s="152">
        <f t="shared" si="0"/>
        <v>5342.525</v>
      </c>
    </row>
    <row r="17" spans="2:7" ht="12.75" customHeight="1">
      <c r="B17" s="81">
        <v>2000</v>
      </c>
      <c r="C17" s="150">
        <v>1741.211</v>
      </c>
      <c r="D17" s="154">
        <v>2257.582</v>
      </c>
      <c r="E17" s="154">
        <f>84.502+441.726</f>
        <v>526.228</v>
      </c>
      <c r="F17" s="155">
        <v>842.842</v>
      </c>
      <c r="G17" s="152">
        <f t="shared" si="0"/>
        <v>5367.862999999999</v>
      </c>
    </row>
    <row r="18" spans="2:7" ht="12.75" customHeight="1">
      <c r="B18" s="81">
        <v>2001</v>
      </c>
      <c r="C18" s="150">
        <v>1770.966</v>
      </c>
      <c r="D18" s="154">
        <v>2334.98</v>
      </c>
      <c r="E18" s="154">
        <f>74.245+430.489</f>
        <v>504.734</v>
      </c>
      <c r="F18" s="155">
        <v>841.09</v>
      </c>
      <c r="G18" s="152">
        <f t="shared" si="0"/>
        <v>5451.77</v>
      </c>
    </row>
    <row r="19" spans="2:7" ht="12.75" customHeight="1">
      <c r="B19" s="81">
        <v>2002</v>
      </c>
      <c r="C19" s="150">
        <v>1818.164</v>
      </c>
      <c r="D19" s="154">
        <v>2344.032</v>
      </c>
      <c r="E19" s="154">
        <f>78.332+428.37</f>
        <v>506.702</v>
      </c>
      <c r="F19" s="155">
        <v>855.836</v>
      </c>
      <c r="G19" s="152">
        <f t="shared" si="0"/>
        <v>5524.734</v>
      </c>
    </row>
    <row r="20" spans="2:7" ht="12.75" customHeight="1">
      <c r="B20" s="81">
        <v>2003</v>
      </c>
      <c r="C20" s="150">
        <v>1846.237</v>
      </c>
      <c r="D20" s="154">
        <v>2341.159</v>
      </c>
      <c r="E20" s="154">
        <f>69.406+406.386</f>
        <v>475.79200000000003</v>
      </c>
      <c r="F20" s="155">
        <v>861.675</v>
      </c>
      <c r="G20" s="152">
        <f t="shared" si="0"/>
        <v>5524.863000000001</v>
      </c>
    </row>
    <row r="21" spans="2:7" ht="12.75" customHeight="1">
      <c r="B21" s="81">
        <v>2004</v>
      </c>
      <c r="C21" s="150">
        <v>1870.76</v>
      </c>
      <c r="D21" s="154">
        <v>2459.187</v>
      </c>
      <c r="E21" s="154">
        <f>81.369+414.772</f>
        <v>496.14099999999996</v>
      </c>
      <c r="F21" s="155">
        <v>875.399</v>
      </c>
      <c r="G21" s="152">
        <f t="shared" si="0"/>
        <v>5701.487</v>
      </c>
    </row>
    <row r="22" spans="2:7" ht="12.75" customHeight="1">
      <c r="B22" s="81">
        <v>2005</v>
      </c>
      <c r="C22" s="150">
        <v>1885.273</v>
      </c>
      <c r="D22" s="154">
        <v>2530.612</v>
      </c>
      <c r="E22" s="154">
        <f>75.808+400.568</f>
        <v>476.376</v>
      </c>
      <c r="F22" s="155">
        <v>886.933</v>
      </c>
      <c r="G22" s="152">
        <f t="shared" si="0"/>
        <v>5779.194</v>
      </c>
    </row>
    <row r="23" spans="2:7" ht="12.75" customHeight="1">
      <c r="B23" s="81">
        <v>2006</v>
      </c>
      <c r="C23" s="150">
        <v>1885.18</v>
      </c>
      <c r="D23" s="154">
        <v>2709.565</v>
      </c>
      <c r="E23" s="154">
        <f>77.532+408.468</f>
        <v>486</v>
      </c>
      <c r="F23" s="155">
        <v>848.6852</v>
      </c>
      <c r="G23" s="152">
        <f t="shared" si="0"/>
        <v>5929.4302</v>
      </c>
    </row>
    <row r="24" spans="2:7" ht="12.75" customHeight="1">
      <c r="B24" s="311">
        <v>2007</v>
      </c>
      <c r="C24" s="151">
        <v>1922.873</v>
      </c>
      <c r="D24" s="313">
        <v>2656.613</v>
      </c>
      <c r="E24" s="313">
        <f>75.762+396.539</f>
        <v>472.301</v>
      </c>
      <c r="F24" s="315">
        <v>814.226</v>
      </c>
      <c r="G24" s="153">
        <f t="shared" si="0"/>
        <v>5866.013</v>
      </c>
    </row>
    <row r="25" spans="2:7" ht="15" customHeight="1">
      <c r="B25" s="82" t="s">
        <v>116</v>
      </c>
      <c r="C25" s="83"/>
      <c r="D25" s="83"/>
      <c r="E25" s="83"/>
      <c r="F25" s="83"/>
      <c r="G25" s="83"/>
    </row>
    <row r="26" ht="15" customHeight="1"/>
    <row r="27" spans="2:7" ht="15" customHeight="1">
      <c r="B27" s="423" t="s">
        <v>93</v>
      </c>
      <c r="C27" s="423"/>
      <c r="D27" s="423"/>
      <c r="E27" s="423"/>
      <c r="F27" s="423"/>
      <c r="G27" s="423"/>
    </row>
    <row r="28" spans="2:7" ht="12" customHeight="1">
      <c r="B28" s="402" t="s">
        <v>94</v>
      </c>
      <c r="C28" s="402"/>
      <c r="D28" s="402"/>
      <c r="E28" s="402"/>
      <c r="F28" s="402"/>
      <c r="G28" s="402"/>
    </row>
    <row r="29" spans="2:7" ht="12.75">
      <c r="B29" s="40"/>
      <c r="C29" s="84" t="s">
        <v>56</v>
      </c>
      <c r="D29" s="77" t="s">
        <v>57</v>
      </c>
      <c r="E29" s="388" t="s">
        <v>65</v>
      </c>
      <c r="F29" s="421" t="s">
        <v>60</v>
      </c>
      <c r="G29" s="84" t="s">
        <v>59</v>
      </c>
    </row>
    <row r="30" spans="2:7" ht="23.25" customHeight="1">
      <c r="B30" s="40"/>
      <c r="C30" s="322" t="s">
        <v>92</v>
      </c>
      <c r="D30" s="323" t="s">
        <v>41</v>
      </c>
      <c r="E30" s="420"/>
      <c r="F30" s="422"/>
      <c r="G30" s="178"/>
    </row>
    <row r="31" spans="2:7" ht="12.75" customHeight="1">
      <c r="B31" s="80">
        <v>2001</v>
      </c>
      <c r="C31" s="147">
        <f aca="true" t="shared" si="1" ref="C31:G35">(C18/C17-1)*100</f>
        <v>1.7088681383244042</v>
      </c>
      <c r="D31" s="147">
        <f t="shared" si="1"/>
        <v>3.428358305479051</v>
      </c>
      <c r="E31" s="147">
        <f t="shared" si="1"/>
        <v>-4.084541301489086</v>
      </c>
      <c r="F31" s="147">
        <f t="shared" si="1"/>
        <v>-0.2078681413598238</v>
      </c>
      <c r="G31" s="324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aca="true" t="shared" si="2" ref="C36:G37">(C23/C22-1)*100</f>
        <v>-0.004932972572135874</v>
      </c>
      <c r="D36" s="68">
        <f t="shared" si="2"/>
        <v>7.071530523051339</v>
      </c>
      <c r="E36" s="68">
        <f t="shared" si="2"/>
        <v>2.02025290946648</v>
      </c>
      <c r="F36" s="68">
        <f t="shared" si="2"/>
        <v>-4.312366323048078</v>
      </c>
      <c r="G36" s="86">
        <f t="shared" si="2"/>
        <v>2.59960471996612</v>
      </c>
    </row>
    <row r="37" spans="2:7" ht="12.75" customHeight="1">
      <c r="B37" s="87">
        <v>2007</v>
      </c>
      <c r="C37" s="148">
        <f t="shared" si="2"/>
        <v>1.9994377194750612</v>
      </c>
      <c r="D37" s="148">
        <f t="shared" si="2"/>
        <v>-1.954262030990228</v>
      </c>
      <c r="E37" s="148">
        <f t="shared" si="2"/>
        <v>-2.818724279835394</v>
      </c>
      <c r="F37" s="148">
        <f t="shared" si="2"/>
        <v>-4.060304103335377</v>
      </c>
      <c r="G37" s="88">
        <f t="shared" si="2"/>
        <v>-1.0695327857978665</v>
      </c>
    </row>
    <row r="38" spans="2:7" ht="19.5" customHeight="1">
      <c r="B38" s="89" t="s">
        <v>96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95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123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3" t="s">
        <v>67</v>
      </c>
      <c r="C42" s="423"/>
      <c r="D42" s="423"/>
      <c r="E42" s="423"/>
      <c r="F42" s="423"/>
      <c r="G42" s="423"/>
    </row>
    <row r="43" spans="2:7" ht="12" customHeight="1">
      <c r="B43" s="387" t="s">
        <v>97</v>
      </c>
      <c r="C43" s="387"/>
      <c r="D43" s="387"/>
      <c r="E43" s="387"/>
      <c r="F43" s="387"/>
      <c r="G43" s="387"/>
    </row>
    <row r="44" spans="2:7" ht="15.75" customHeight="1">
      <c r="B44" s="40"/>
      <c r="C44" s="84" t="s">
        <v>56</v>
      </c>
      <c r="D44" s="92" t="s">
        <v>57</v>
      </c>
      <c r="E44" s="388" t="s">
        <v>65</v>
      </c>
      <c r="F44" s="388" t="s">
        <v>60</v>
      </c>
      <c r="G44" s="39"/>
    </row>
    <row r="45" spans="2:7" ht="18.75" customHeight="1">
      <c r="B45" s="40"/>
      <c r="C45" s="78" t="s">
        <v>92</v>
      </c>
      <c r="D45" s="85" t="s">
        <v>41</v>
      </c>
      <c r="E45" s="389"/>
      <c r="F45" s="418"/>
      <c r="G45" s="39"/>
    </row>
    <row r="46" spans="2:7" ht="12.75" customHeight="1">
      <c r="B46" s="325">
        <v>1990</v>
      </c>
      <c r="C46" s="326">
        <f aca="true" t="shared" si="3" ref="C46:F63">100*C7/$G7</f>
        <v>29.77199700500671</v>
      </c>
      <c r="D46" s="327">
        <f t="shared" si="3"/>
        <v>37.34141962297302</v>
      </c>
      <c r="E46" s="327">
        <f t="shared" si="3"/>
        <v>12.395244919516763</v>
      </c>
      <c r="F46" s="328">
        <f t="shared" si="3"/>
        <v>20.491338452503502</v>
      </c>
      <c r="G46" s="39"/>
    </row>
    <row r="47" spans="2:10" ht="12.75" customHeight="1" hidden="1">
      <c r="B47" s="81">
        <v>1991</v>
      </c>
      <c r="C47" s="138">
        <f t="shared" si="3"/>
        <v>30.626116182580635</v>
      </c>
      <c r="D47" s="139">
        <f t="shared" si="3"/>
        <v>36.771465756219435</v>
      </c>
      <c r="E47" s="139">
        <f t="shared" si="3"/>
        <v>12.186151455642287</v>
      </c>
      <c r="F47" s="140">
        <f t="shared" si="3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3"/>
        <v>30.378374107352418</v>
      </c>
      <c r="D48" s="139">
        <f t="shared" si="3"/>
        <v>37.48729464547036</v>
      </c>
      <c r="E48" s="139">
        <f t="shared" si="3"/>
        <v>12.062162028218745</v>
      </c>
      <c r="F48" s="140">
        <f t="shared" si="3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3"/>
        <v>30.96817217172273</v>
      </c>
      <c r="D49" s="139">
        <f t="shared" si="3"/>
        <v>37.88339375212468</v>
      </c>
      <c r="E49" s="139">
        <f t="shared" si="3"/>
        <v>11.359243343511977</v>
      </c>
      <c r="F49" s="140">
        <f t="shared" si="3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3"/>
        <v>31.29538657649988</v>
      </c>
      <c r="D50" s="139">
        <f t="shared" si="3"/>
        <v>38.68731544537357</v>
      </c>
      <c r="E50" s="139">
        <f t="shared" si="3"/>
        <v>11.279948386010316</v>
      </c>
      <c r="F50" s="140">
        <f t="shared" si="3"/>
        <v>18.737349592116235</v>
      </c>
      <c r="J50" s="3"/>
    </row>
    <row r="51" spans="2:10" ht="12.75" customHeight="1">
      <c r="B51" s="81">
        <v>1995</v>
      </c>
      <c r="C51" s="138">
        <f t="shared" si="3"/>
        <v>31.15941251126086</v>
      </c>
      <c r="D51" s="139">
        <f t="shared" si="3"/>
        <v>39.69266828123955</v>
      </c>
      <c r="E51" s="139">
        <f t="shared" si="3"/>
        <v>11.03168069440396</v>
      </c>
      <c r="F51" s="140">
        <f t="shared" si="3"/>
        <v>18.116238513095627</v>
      </c>
      <c r="G51" s="67"/>
      <c r="J51" s="3"/>
    </row>
    <row r="52" spans="2:10" ht="12.75" customHeight="1">
      <c r="B52" s="81">
        <v>1996</v>
      </c>
      <c r="C52" s="138">
        <f t="shared" si="3"/>
        <v>31.108067539201876</v>
      </c>
      <c r="D52" s="139">
        <f t="shared" si="3"/>
        <v>40.346124362354956</v>
      </c>
      <c r="E52" s="139">
        <f t="shared" si="3"/>
        <v>10.404480672983917</v>
      </c>
      <c r="F52" s="140">
        <f t="shared" si="3"/>
        <v>18.141327425459245</v>
      </c>
      <c r="G52" s="67"/>
      <c r="J52" s="3"/>
    </row>
    <row r="53" spans="2:10" ht="12.75" customHeight="1">
      <c r="B53" s="81">
        <v>1997</v>
      </c>
      <c r="C53" s="138">
        <f t="shared" si="3"/>
        <v>31.961033617386803</v>
      </c>
      <c r="D53" s="139">
        <f t="shared" si="3"/>
        <v>40.04109091833924</v>
      </c>
      <c r="E53" s="139">
        <f t="shared" si="3"/>
        <v>10.252540975090133</v>
      </c>
      <c r="F53" s="140">
        <f t="shared" si="3"/>
        <v>17.745334489183815</v>
      </c>
      <c r="G53" s="93"/>
      <c r="J53" s="3"/>
    </row>
    <row r="54" spans="2:10" ht="12.75" customHeight="1">
      <c r="B54" s="81">
        <v>1998</v>
      </c>
      <c r="C54" s="138">
        <f t="shared" si="3"/>
        <v>31.972474587188948</v>
      </c>
      <c r="D54" s="139">
        <f t="shared" si="3"/>
        <v>40.635016169998195</v>
      </c>
      <c r="E54" s="139">
        <f t="shared" si="3"/>
        <v>10.003376396318595</v>
      </c>
      <c r="F54" s="140">
        <f t="shared" si="3"/>
        <v>17.389132846494263</v>
      </c>
      <c r="G54" s="93"/>
      <c r="J54" s="3"/>
    </row>
    <row r="55" spans="2:10" ht="12.75" customHeight="1">
      <c r="B55" s="81">
        <v>1999</v>
      </c>
      <c r="C55" s="138">
        <f t="shared" si="3"/>
        <v>32.14244201009823</v>
      </c>
      <c r="D55" s="139">
        <f t="shared" si="3"/>
        <v>41.0912255908957</v>
      </c>
      <c r="E55" s="139">
        <f t="shared" si="3"/>
        <v>9.886205492721139</v>
      </c>
      <c r="F55" s="140">
        <f t="shared" si="3"/>
        <v>16.88012690628495</v>
      </c>
      <c r="G55" s="93"/>
      <c r="J55" s="3"/>
    </row>
    <row r="56" spans="2:10" ht="12.75" customHeight="1">
      <c r="B56" s="81">
        <v>2000</v>
      </c>
      <c r="C56" s="138">
        <f t="shared" si="3"/>
        <v>32.43769447916238</v>
      </c>
      <c r="D56" s="139">
        <f t="shared" si="3"/>
        <v>42.05736994405409</v>
      </c>
      <c r="E56" s="139">
        <f t="shared" si="3"/>
        <v>9.803305337710743</v>
      </c>
      <c r="F56" s="140">
        <f t="shared" si="3"/>
        <v>15.701630239072795</v>
      </c>
      <c r="G56" s="93"/>
      <c r="J56" s="3"/>
    </row>
    <row r="57" spans="2:10" ht="12.75" customHeight="1">
      <c r="B57" s="81">
        <v>2001</v>
      </c>
      <c r="C57" s="138">
        <f t="shared" si="3"/>
        <v>32.48423906364354</v>
      </c>
      <c r="D57" s="139">
        <f t="shared" si="3"/>
        <v>42.82975987615031</v>
      </c>
      <c r="E57" s="139">
        <f t="shared" si="3"/>
        <v>9.258167530911978</v>
      </c>
      <c r="F57" s="140">
        <f t="shared" si="3"/>
        <v>15.427833529294155</v>
      </c>
      <c r="G57" s="93"/>
      <c r="J57" s="3"/>
    </row>
    <row r="58" spans="2:10" ht="12.75" customHeight="1">
      <c r="B58" s="81">
        <v>2002</v>
      </c>
      <c r="C58" s="138">
        <f t="shared" si="3"/>
        <v>32.90953012398425</v>
      </c>
      <c r="D58" s="139">
        <f t="shared" si="3"/>
        <v>42.42796123759081</v>
      </c>
      <c r="E58" s="139">
        <f t="shared" si="3"/>
        <v>9.171518483966828</v>
      </c>
      <c r="F58" s="140">
        <f t="shared" si="3"/>
        <v>15.490990154458116</v>
      </c>
      <c r="G58" s="93"/>
      <c r="J58" s="3"/>
    </row>
    <row r="59" spans="2:10" ht="12.75" customHeight="1">
      <c r="B59" s="81">
        <v>2003</v>
      </c>
      <c r="C59" s="138">
        <f t="shared" si="3"/>
        <v>33.416882916372764</v>
      </c>
      <c r="D59" s="139">
        <f t="shared" si="3"/>
        <v>42.37496929788123</v>
      </c>
      <c r="E59" s="139">
        <f t="shared" si="3"/>
        <v>8.611833451797809</v>
      </c>
      <c r="F59" s="140">
        <f t="shared" si="3"/>
        <v>15.596314333948186</v>
      </c>
      <c r="G59" s="93"/>
      <c r="J59" s="3"/>
    </row>
    <row r="60" spans="2:10" ht="12.75" customHeight="1">
      <c r="B60" s="81">
        <v>2004</v>
      </c>
      <c r="C60" s="138">
        <f t="shared" si="3"/>
        <v>32.81179102925255</v>
      </c>
      <c r="D60" s="139">
        <f t="shared" si="3"/>
        <v>43.13237932490243</v>
      </c>
      <c r="E60" s="139">
        <f t="shared" si="3"/>
        <v>8.701957927817778</v>
      </c>
      <c r="F60" s="140">
        <f t="shared" si="3"/>
        <v>15.353871718027243</v>
      </c>
      <c r="G60" s="93"/>
      <c r="J60" s="3"/>
    </row>
    <row r="61" spans="2:10" ht="12.75" customHeight="1">
      <c r="B61" s="81">
        <v>2005</v>
      </c>
      <c r="C61" s="138">
        <f t="shared" si="3"/>
        <v>32.62172891237082</v>
      </c>
      <c r="D61" s="139">
        <f t="shared" si="3"/>
        <v>43.78832065509481</v>
      </c>
      <c r="E61" s="139">
        <f t="shared" si="3"/>
        <v>8.24294875721424</v>
      </c>
      <c r="F61" s="140">
        <f t="shared" si="3"/>
        <v>15.347001675320122</v>
      </c>
      <c r="G61" s="93"/>
      <c r="J61" s="3"/>
    </row>
    <row r="62" spans="2:10" ht="12.75" customHeight="1">
      <c r="B62" s="81">
        <v>2006</v>
      </c>
      <c r="C62" s="138">
        <f t="shared" si="3"/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311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19" t="s">
        <v>98</v>
      </c>
      <c r="C64" s="419"/>
      <c r="D64" s="419"/>
      <c r="E64" s="419"/>
      <c r="F64" s="419"/>
      <c r="G64" s="419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">
      <selection activeCell="Q23" sqref="Q23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397"/>
      <c r="C1" s="397"/>
      <c r="F1" s="20"/>
      <c r="N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110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6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15">
        <v>2008</v>
      </c>
    </row>
    <row r="38" spans="2:16" ht="24.75" customHeight="1">
      <c r="B38" s="118" t="s">
        <v>56</v>
      </c>
      <c r="C38" s="264">
        <v>1288.66</v>
      </c>
      <c r="D38" s="265">
        <v>1302.5789999999997</v>
      </c>
      <c r="E38" s="265">
        <v>1351.678</v>
      </c>
      <c r="F38" s="265">
        <v>1414.2039999999997</v>
      </c>
      <c r="G38" s="265">
        <v>1469.9409999999998</v>
      </c>
      <c r="H38" s="265">
        <v>1518.7060000000001</v>
      </c>
      <c r="I38" s="265">
        <v>1556.2670000000003</v>
      </c>
      <c r="J38" s="265">
        <v>1605.8980000000001</v>
      </c>
      <c r="K38" s="265">
        <v>1625.4370000000001</v>
      </c>
      <c r="L38" s="265">
        <v>1747.286</v>
      </c>
      <c r="M38" s="265">
        <v>1800.2540000000001</v>
      </c>
      <c r="N38" s="266">
        <v>1854.274</v>
      </c>
      <c r="O38" s="266">
        <v>1914.9339999999997</v>
      </c>
      <c r="P38" s="267">
        <v>1877.729</v>
      </c>
    </row>
    <row r="39" spans="2:16" ht="24.75" customHeight="1">
      <c r="B39" s="119" t="s">
        <v>55</v>
      </c>
      <c r="C39" s="268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69">
        <v>1505</v>
      </c>
      <c r="O39" s="269">
        <v>1532</v>
      </c>
      <c r="P39" s="270">
        <v>1498</v>
      </c>
    </row>
    <row r="40" spans="2:16" ht="24.75" customHeight="1">
      <c r="B40" s="119" t="s">
        <v>57</v>
      </c>
      <c r="C40" s="271">
        <v>386.14406800000006</v>
      </c>
      <c r="D40" s="269">
        <v>392.1460000000001</v>
      </c>
      <c r="E40" s="269">
        <v>409.5369999999999</v>
      </c>
      <c r="F40" s="269">
        <v>392.506525</v>
      </c>
      <c r="G40" s="269">
        <v>383.62501500293985</v>
      </c>
      <c r="H40" s="269">
        <v>403.6757546422241</v>
      </c>
      <c r="I40" s="269">
        <v>385.9743022522569</v>
      </c>
      <c r="J40" s="269">
        <v>383.777192553031</v>
      </c>
      <c r="K40" s="269">
        <v>391.888268754624</v>
      </c>
      <c r="L40" s="269">
        <v>416.271370260433</v>
      </c>
      <c r="M40" s="269">
        <v>414.13418045013304</v>
      </c>
      <c r="N40" s="269">
        <v>440.39892025294506</v>
      </c>
      <c r="O40" s="269">
        <v>453.085</v>
      </c>
      <c r="P40" s="270">
        <v>442.739</v>
      </c>
    </row>
    <row r="41" spans="2:16" ht="24.75" customHeight="1">
      <c r="B41" s="119" t="s">
        <v>63</v>
      </c>
      <c r="C41" s="271">
        <v>122.08520799999998</v>
      </c>
      <c r="D41" s="269">
        <v>119.75649199999998</v>
      </c>
      <c r="E41" s="269">
        <v>127.84812699999999</v>
      </c>
      <c r="F41" s="269">
        <v>131.011354551</v>
      </c>
      <c r="G41" s="269">
        <v>128.726899</v>
      </c>
      <c r="H41" s="269">
        <v>133.8613496</v>
      </c>
      <c r="I41" s="269">
        <v>132.5287596</v>
      </c>
      <c r="J41" s="269">
        <v>132.504278</v>
      </c>
      <c r="K41" s="269">
        <v>123.5149852</v>
      </c>
      <c r="L41" s="269">
        <v>136.73445100000004</v>
      </c>
      <c r="M41" s="269">
        <v>138.66237439999995</v>
      </c>
      <c r="N41" s="269">
        <v>138.4605691</v>
      </c>
      <c r="O41" s="269">
        <v>146.96835187899998</v>
      </c>
      <c r="P41" s="270">
        <v>145.27061440000003</v>
      </c>
    </row>
    <row r="42" spans="2:16" ht="24.75" customHeight="1">
      <c r="B42" s="119" t="s">
        <v>100</v>
      </c>
      <c r="C42" s="271">
        <v>114.90729999999999</v>
      </c>
      <c r="D42" s="269">
        <v>119.3301</v>
      </c>
      <c r="E42" s="269">
        <v>118.179</v>
      </c>
      <c r="F42" s="269">
        <v>125.38799999999999</v>
      </c>
      <c r="G42" s="269">
        <v>124.228</v>
      </c>
      <c r="H42" s="269">
        <v>126.67869999999999</v>
      </c>
      <c r="I42" s="269">
        <v>133.0403</v>
      </c>
      <c r="J42" s="269">
        <v>128.44559999999998</v>
      </c>
      <c r="K42" s="269">
        <v>130.3528</v>
      </c>
      <c r="L42" s="269">
        <v>131.6323606</v>
      </c>
      <c r="M42" s="269">
        <v>135.9425038</v>
      </c>
      <c r="N42" s="269">
        <v>135.1576498</v>
      </c>
      <c r="O42" s="269">
        <v>126.91657599999999</v>
      </c>
      <c r="P42" s="270">
        <v>124.09471739999998</v>
      </c>
    </row>
    <row r="43" spans="2:16" ht="24.75" customHeight="1">
      <c r="B43" s="120" t="s">
        <v>58</v>
      </c>
      <c r="C43" s="272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73">
        <v>2.66</v>
      </c>
      <c r="O43" s="273">
        <v>2.75</v>
      </c>
      <c r="P43" s="274">
        <v>2.7</v>
      </c>
    </row>
    <row r="44" spans="2:16" ht="24.75" customHeight="1">
      <c r="B44" s="366" t="s">
        <v>59</v>
      </c>
      <c r="C44" s="275">
        <f>SUM(C38:C43)</f>
        <v>3059.7965759999997</v>
      </c>
      <c r="D44" s="276">
        <f aca="true" t="shared" si="0" ref="D44:P44">SUM(D38:D43)</f>
        <v>3095.871592</v>
      </c>
      <c r="E44" s="276">
        <f t="shared" si="0"/>
        <v>3202.422127</v>
      </c>
      <c r="F44" s="276">
        <f t="shared" si="0"/>
        <v>3297.3598795509993</v>
      </c>
      <c r="G44" s="276">
        <f t="shared" si="0"/>
        <v>3376.8209140029403</v>
      </c>
      <c r="H44" s="276">
        <f t="shared" si="0"/>
        <v>3499.371804242224</v>
      </c>
      <c r="I44" s="276">
        <f t="shared" si="0"/>
        <v>3544.2703618522573</v>
      </c>
      <c r="J44" s="276">
        <f t="shared" si="0"/>
        <v>3608.025070553031</v>
      </c>
      <c r="K44" s="276">
        <f t="shared" si="0"/>
        <v>3651.613053954624</v>
      </c>
      <c r="L44" s="276">
        <f t="shared" si="0"/>
        <v>3861.434181860433</v>
      </c>
      <c r="M44" s="276">
        <f t="shared" si="0"/>
        <v>3952.5730586501327</v>
      </c>
      <c r="N44" s="276">
        <f t="shared" si="0"/>
        <v>4075.951139152945</v>
      </c>
      <c r="O44" s="276">
        <f t="shared" si="0"/>
        <v>4176.653927879</v>
      </c>
      <c r="P44" s="277">
        <f t="shared" si="0"/>
        <v>4090.5333318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2"/>
  <sheetViews>
    <sheetView workbookViewId="0" topLeftCell="A26">
      <selection activeCell="P31" sqref="P31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95" customFormat="1" ht="30" customHeight="1">
      <c r="A2"/>
      <c r="B2" s="398" t="s">
        <v>117</v>
      </c>
      <c r="C2" s="398"/>
      <c r="D2" s="398"/>
      <c r="E2" s="398"/>
      <c r="F2" s="398"/>
      <c r="G2" s="398"/>
      <c r="H2" s="398"/>
      <c r="I2" s="398"/>
      <c r="J2"/>
      <c r="K2"/>
    </row>
    <row r="3" spans="2:9" ht="15" customHeight="1">
      <c r="B3" s="395" t="s">
        <v>62</v>
      </c>
      <c r="C3" s="395"/>
      <c r="D3" s="395"/>
      <c r="E3" s="395"/>
      <c r="F3" s="395"/>
      <c r="G3" s="395"/>
      <c r="H3" s="395"/>
      <c r="I3" s="395"/>
    </row>
    <row r="4" spans="2:9" ht="12" customHeight="1">
      <c r="B4" s="402" t="s">
        <v>64</v>
      </c>
      <c r="C4" s="402"/>
      <c r="D4" s="402"/>
      <c r="E4" s="402"/>
      <c r="F4" s="402"/>
      <c r="G4" s="402"/>
      <c r="H4" s="402"/>
      <c r="I4" s="402"/>
    </row>
    <row r="5" spans="1:11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253"/>
      <c r="H5" s="253"/>
      <c r="I5" s="400" t="s">
        <v>59</v>
      </c>
      <c r="J5"/>
      <c r="K5"/>
    </row>
    <row r="6" spans="1:11" s="28" customFormat="1" ht="12" customHeight="1">
      <c r="A6"/>
      <c r="B6" s="4"/>
      <c r="C6" s="401"/>
      <c r="D6" s="401"/>
      <c r="E6" s="401"/>
      <c r="F6" s="401"/>
      <c r="G6" s="255" t="s">
        <v>55</v>
      </c>
      <c r="H6" s="255" t="s">
        <v>58</v>
      </c>
      <c r="I6" s="401"/>
      <c r="J6"/>
      <c r="K6"/>
    </row>
    <row r="7" spans="1:11" s="28" customFormat="1" ht="12" customHeight="1">
      <c r="A7"/>
      <c r="B7" s="37"/>
      <c r="C7" s="401"/>
      <c r="D7" s="401"/>
      <c r="E7" s="401"/>
      <c r="F7" s="401"/>
      <c r="G7" s="254"/>
      <c r="H7" s="254"/>
      <c r="I7" s="403"/>
      <c r="J7"/>
      <c r="K7"/>
    </row>
    <row r="8" spans="1:11" s="28" customFormat="1" ht="12" customHeight="1">
      <c r="A8"/>
      <c r="B8" s="256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06">
        <v>1146</v>
      </c>
      <c r="H8" s="207">
        <v>2</v>
      </c>
      <c r="I8" s="360">
        <f aca="true" t="shared" si="0" ref="I8:I21">SUM(C8:H8)</f>
        <v>3059.796576</v>
      </c>
      <c r="J8"/>
      <c r="K8"/>
    </row>
    <row r="9" spans="1:11" s="28" customFormat="1" ht="12.75" customHeight="1">
      <c r="A9"/>
      <c r="B9" s="257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12">
        <v>1160</v>
      </c>
      <c r="H9" s="213">
        <v>2.06</v>
      </c>
      <c r="I9" s="208">
        <f t="shared" si="0"/>
        <v>3095.871592</v>
      </c>
      <c r="J9"/>
      <c r="K9"/>
    </row>
    <row r="10" spans="1:11" s="28" customFormat="1" ht="12.75" customHeight="1">
      <c r="A10"/>
      <c r="B10" s="257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12">
        <v>1193</v>
      </c>
      <c r="H10" s="213">
        <v>2.18</v>
      </c>
      <c r="I10" s="208">
        <f t="shared" si="0"/>
        <v>3202.4221270000003</v>
      </c>
      <c r="J10"/>
      <c r="K10"/>
    </row>
    <row r="11" spans="1:11" s="29" customFormat="1" ht="12.75" customHeight="1">
      <c r="A11"/>
      <c r="B11" s="257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12">
        <v>1232</v>
      </c>
      <c r="H11" s="213">
        <v>2.25</v>
      </c>
      <c r="I11" s="208">
        <f t="shared" si="0"/>
        <v>3297.3598795509997</v>
      </c>
      <c r="J11"/>
      <c r="K11"/>
    </row>
    <row r="12" spans="1:11" s="29" customFormat="1" ht="12.75" customHeight="1">
      <c r="A12"/>
      <c r="B12" s="257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12">
        <v>1268</v>
      </c>
      <c r="H12" s="213">
        <v>2.3</v>
      </c>
      <c r="I12" s="208">
        <f t="shared" si="0"/>
        <v>3376.82091400294</v>
      </c>
      <c r="J12"/>
      <c r="K12"/>
    </row>
    <row r="13" spans="1:11" s="29" customFormat="1" ht="12.75" customHeight="1">
      <c r="A13"/>
      <c r="B13" s="257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12">
        <v>1314</v>
      </c>
      <c r="H13" s="213">
        <v>2.45</v>
      </c>
      <c r="I13" s="208">
        <f t="shared" si="0"/>
        <v>3499.371804242224</v>
      </c>
      <c r="J13"/>
      <c r="K13"/>
    </row>
    <row r="14" spans="1:11" s="29" customFormat="1" ht="12.75" customHeight="1">
      <c r="A14"/>
      <c r="B14" s="257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12">
        <v>1334</v>
      </c>
      <c r="H14" s="213">
        <v>2.46</v>
      </c>
      <c r="I14" s="208">
        <f t="shared" si="0"/>
        <v>3544.2703618522573</v>
      </c>
      <c r="J14"/>
      <c r="K14"/>
    </row>
    <row r="15" spans="1:11" s="29" customFormat="1" ht="12.75" customHeight="1">
      <c r="A15"/>
      <c r="B15" s="257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12">
        <v>1355</v>
      </c>
      <c r="H15" s="213">
        <v>2.4</v>
      </c>
      <c r="I15" s="208">
        <f t="shared" si="0"/>
        <v>3608.025070553031</v>
      </c>
      <c r="J15"/>
      <c r="K15"/>
    </row>
    <row r="16" spans="1:11" s="29" customFormat="1" ht="12.75" customHeight="1">
      <c r="A16"/>
      <c r="B16" s="257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12">
        <v>1378</v>
      </c>
      <c r="H16" s="213">
        <v>2.42</v>
      </c>
      <c r="I16" s="208">
        <f t="shared" si="0"/>
        <v>3651.6130539546243</v>
      </c>
      <c r="J16"/>
      <c r="K16"/>
    </row>
    <row r="17" spans="1:11" s="29" customFormat="1" ht="12.75" customHeight="1">
      <c r="A17"/>
      <c r="B17" s="257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12">
        <v>1427</v>
      </c>
      <c r="H17" s="213">
        <v>2.51</v>
      </c>
      <c r="I17" s="208">
        <f t="shared" si="0"/>
        <v>3861.434181860433</v>
      </c>
      <c r="J17"/>
      <c r="K17"/>
    </row>
    <row r="18" spans="1:11" s="29" customFormat="1" ht="12.75" customHeight="1">
      <c r="A18"/>
      <c r="B18" s="257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12">
        <v>1461</v>
      </c>
      <c r="H18" s="213">
        <v>2.58</v>
      </c>
      <c r="I18" s="208">
        <f t="shared" si="0"/>
        <v>3952.573058650133</v>
      </c>
      <c r="J18"/>
      <c r="K18"/>
    </row>
    <row r="19" spans="1:11" s="29" customFormat="1" ht="12.75" customHeight="1">
      <c r="A19"/>
      <c r="B19" s="257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12">
        <v>1505</v>
      </c>
      <c r="H19" s="213">
        <v>2.66</v>
      </c>
      <c r="I19" s="208">
        <f t="shared" si="0"/>
        <v>4075.951139152945</v>
      </c>
      <c r="J19"/>
      <c r="K19"/>
    </row>
    <row r="20" spans="1:11" s="29" customFormat="1" ht="12.75" customHeight="1">
      <c r="A20"/>
      <c r="B20" s="257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12">
        <v>1532</v>
      </c>
      <c r="H20" s="213">
        <v>2.75</v>
      </c>
      <c r="I20" s="208">
        <f t="shared" si="0"/>
        <v>4176.653927879</v>
      </c>
      <c r="J20"/>
      <c r="K20"/>
    </row>
    <row r="21" spans="1:11" s="29" customFormat="1" ht="12.75" customHeight="1">
      <c r="A21"/>
      <c r="B21" s="258">
        <v>2008</v>
      </c>
      <c r="C21" s="214">
        <v>1877.729</v>
      </c>
      <c r="D21" s="215">
        <v>442.739</v>
      </c>
      <c r="E21" s="215">
        <v>145.27061440000003</v>
      </c>
      <c r="F21" s="216">
        <v>124.09471739999998</v>
      </c>
      <c r="G21" s="217">
        <v>1498</v>
      </c>
      <c r="H21" s="218">
        <v>2.7</v>
      </c>
      <c r="I21" s="361">
        <f t="shared" si="0"/>
        <v>4090.5333317999994</v>
      </c>
      <c r="J21"/>
      <c r="K21"/>
    </row>
    <row r="22" spans="1:11" s="29" customFormat="1" ht="22.5" customHeight="1">
      <c r="A22"/>
      <c r="B22" s="259" t="s">
        <v>134</v>
      </c>
      <c r="C22" s="219">
        <f aca="true" t="shared" si="1" ref="C22:I22">C21/C8-1</f>
        <v>0.4571174708612047</v>
      </c>
      <c r="D22" s="220">
        <f t="shared" si="1"/>
        <v>0.14656429216465372</v>
      </c>
      <c r="E22" s="220">
        <f t="shared" si="1"/>
        <v>0.1899116754586685</v>
      </c>
      <c r="F22" s="220">
        <f t="shared" si="1"/>
        <v>0.07995503679922855</v>
      </c>
      <c r="G22" s="220">
        <f t="shared" si="1"/>
        <v>0.3071553228621291</v>
      </c>
      <c r="H22" s="220">
        <f t="shared" si="1"/>
        <v>0.3500000000000001</v>
      </c>
      <c r="I22" s="356">
        <f t="shared" si="1"/>
        <v>0.33686447128045915</v>
      </c>
      <c r="J22"/>
      <c r="K22"/>
    </row>
    <row r="23" spans="1:11" s="38" customFormat="1" ht="22.5" customHeight="1">
      <c r="A23"/>
      <c r="B23" s="260" t="s">
        <v>66</v>
      </c>
      <c r="C23" s="222">
        <f aca="true" t="shared" si="2" ref="C23:I23">(POWER((C21/C8),1/13)-1)</f>
        <v>0.029381846457510852</v>
      </c>
      <c r="D23" s="223">
        <f t="shared" si="2"/>
        <v>0.010576299240409703</v>
      </c>
      <c r="E23" s="223">
        <f t="shared" si="2"/>
        <v>0.013465163659597046</v>
      </c>
      <c r="F23" s="223">
        <f t="shared" si="2"/>
        <v>0.005934416808863308</v>
      </c>
      <c r="G23" s="223">
        <f t="shared" si="2"/>
        <v>0.020817827241451203</v>
      </c>
      <c r="H23" s="223">
        <f t="shared" si="2"/>
        <v>0.02335348881762833</v>
      </c>
      <c r="I23" s="224">
        <f t="shared" si="2"/>
        <v>0.022584085130594955</v>
      </c>
      <c r="J23"/>
      <c r="K23"/>
    </row>
    <row r="24" spans="1:11" s="29" customFormat="1" ht="22.5" customHeight="1">
      <c r="A24"/>
      <c r="B24" s="259" t="s">
        <v>136</v>
      </c>
      <c r="C24" s="219">
        <f aca="true" t="shared" si="3" ref="C24:I24">C21/C13-1</f>
        <v>0.23640059366328958</v>
      </c>
      <c r="D24" s="220">
        <f t="shared" si="3"/>
        <v>0.09676886686543118</v>
      </c>
      <c r="E24" s="220">
        <f t="shared" si="3"/>
        <v>0.08523195705177633</v>
      </c>
      <c r="F24" s="220">
        <f t="shared" si="3"/>
        <v>-0.02039792482872027</v>
      </c>
      <c r="G24" s="220">
        <f t="shared" si="3"/>
        <v>0.1400304414003044</v>
      </c>
      <c r="H24" s="220">
        <f t="shared" si="3"/>
        <v>0.1020408163265305</v>
      </c>
      <c r="I24" s="356">
        <f t="shared" si="3"/>
        <v>0.16893361455365263</v>
      </c>
      <c r="J24"/>
      <c r="K24"/>
    </row>
    <row r="25" spans="1:11" s="38" customFormat="1" ht="22.5" customHeight="1">
      <c r="A25"/>
      <c r="B25" s="255" t="s">
        <v>66</v>
      </c>
      <c r="C25" s="219">
        <f aca="true" t="shared" si="4" ref="C25:I25">(POWER((C21/C13),1/8)-1)</f>
        <v>0.026880485190079018</v>
      </c>
      <c r="D25" s="220">
        <f t="shared" si="4"/>
        <v>0.011612970935743094</v>
      </c>
      <c r="E25" s="220">
        <f t="shared" si="4"/>
        <v>0.010276664591506002</v>
      </c>
      <c r="F25" s="220">
        <f t="shared" si="4"/>
        <v>-0.002572789130430242</v>
      </c>
      <c r="G25" s="220">
        <f t="shared" si="4"/>
        <v>0.01651678920441757</v>
      </c>
      <c r="H25" s="220">
        <f t="shared" si="4"/>
        <v>0.012219524270022486</v>
      </c>
      <c r="I25" s="356">
        <f t="shared" si="4"/>
        <v>0.019703079694737502</v>
      </c>
      <c r="J25"/>
      <c r="K25"/>
    </row>
    <row r="26" spans="1:11" s="38" customFormat="1" ht="22.5" customHeight="1">
      <c r="A26"/>
      <c r="B26" s="362" t="s">
        <v>135</v>
      </c>
      <c r="C26" s="363">
        <f aca="true" t="shared" si="5" ref="C26:I26">C21/C20-1</f>
        <v>-0.01942886804453825</v>
      </c>
      <c r="D26" s="364">
        <f t="shared" si="5"/>
        <v>-0.02283456746526591</v>
      </c>
      <c r="E26" s="364">
        <f t="shared" si="5"/>
        <v>-0.011551721559739048</v>
      </c>
      <c r="F26" s="364">
        <f t="shared" si="5"/>
        <v>-0.02223396414350176</v>
      </c>
      <c r="G26" s="364">
        <f t="shared" si="5"/>
        <v>-0.022193211488250708</v>
      </c>
      <c r="H26" s="364">
        <f t="shared" si="5"/>
        <v>-0.018181818181818077</v>
      </c>
      <c r="I26" s="365">
        <f t="shared" si="5"/>
        <v>-0.020619519252995544</v>
      </c>
      <c r="J26"/>
      <c r="K26"/>
    </row>
    <row r="27" spans="1:11" s="38" customFormat="1" ht="22.5" customHeight="1">
      <c r="A27"/>
      <c r="B27" s="369"/>
      <c r="C27" s="220"/>
      <c r="D27" s="220"/>
      <c r="E27" s="220"/>
      <c r="F27" s="220"/>
      <c r="G27" s="220"/>
      <c r="H27" s="220"/>
      <c r="I27" s="368"/>
      <c r="J27"/>
      <c r="K27"/>
    </row>
    <row r="28" spans="2:9" ht="22.5" customHeight="1">
      <c r="B28" s="404" t="s">
        <v>67</v>
      </c>
      <c r="C28" s="404"/>
      <c r="D28" s="404"/>
      <c r="E28" s="404"/>
      <c r="F28" s="404"/>
      <c r="G28" s="404"/>
      <c r="H28" s="404"/>
      <c r="I28" s="404"/>
    </row>
    <row r="29" spans="2:9" ht="15" customHeight="1">
      <c r="B29" s="399" t="s">
        <v>68</v>
      </c>
      <c r="C29" s="399"/>
      <c r="D29" s="399"/>
      <c r="E29" s="399"/>
      <c r="F29" s="399"/>
      <c r="G29" s="399"/>
      <c r="H29" s="399"/>
      <c r="I29" s="399"/>
    </row>
    <row r="30" spans="2:9" ht="11.25" customHeight="1">
      <c r="B30" s="4"/>
      <c r="C30" s="400" t="s">
        <v>56</v>
      </c>
      <c r="D30" s="400" t="s">
        <v>57</v>
      </c>
      <c r="E30" s="400" t="s">
        <v>65</v>
      </c>
      <c r="F30" s="400" t="s">
        <v>118</v>
      </c>
      <c r="G30" s="400" t="s">
        <v>55</v>
      </c>
      <c r="H30" s="400" t="s">
        <v>58</v>
      </c>
      <c r="I30" s="39"/>
    </row>
    <row r="31" spans="2:9" ht="12.75" customHeight="1">
      <c r="B31" s="4"/>
      <c r="C31" s="406"/>
      <c r="D31" s="406"/>
      <c r="E31" s="406"/>
      <c r="F31" s="406"/>
      <c r="G31" s="406"/>
      <c r="H31" s="406"/>
      <c r="I31" s="39"/>
    </row>
    <row r="32" spans="2:9" ht="12.75">
      <c r="B32" s="4"/>
      <c r="C32" s="406"/>
      <c r="D32" s="406"/>
      <c r="E32" s="406"/>
      <c r="F32" s="406"/>
      <c r="G32" s="406"/>
      <c r="H32" s="406"/>
      <c r="I32" s="39"/>
    </row>
    <row r="33" spans="2:9" ht="12.75">
      <c r="B33" s="256">
        <v>1995</v>
      </c>
      <c r="C33" s="228">
        <f aca="true" t="shared" si="6" ref="C33:H46">C8/$I8*100</f>
        <v>42.115871692510844</v>
      </c>
      <c r="D33" s="229">
        <f t="shared" si="6"/>
        <v>12.619926142436471</v>
      </c>
      <c r="E33" s="229">
        <f t="shared" si="6"/>
        <v>3.9899779272123737</v>
      </c>
      <c r="F33" s="229">
        <f t="shared" si="6"/>
        <v>3.755390175323864</v>
      </c>
      <c r="G33" s="229">
        <f t="shared" si="6"/>
        <v>37.45347024010788</v>
      </c>
      <c r="H33" s="230">
        <f t="shared" si="6"/>
        <v>0.06536382240856524</v>
      </c>
      <c r="I33" s="39"/>
    </row>
    <row r="34" spans="2:9" ht="12.75">
      <c r="B34" s="257">
        <v>1996</v>
      </c>
      <c r="C34" s="231">
        <f t="shared" si="6"/>
        <v>42.07471018390997</v>
      </c>
      <c r="D34" s="232">
        <f t="shared" si="6"/>
        <v>12.666739829046502</v>
      </c>
      <c r="E34" s="232">
        <f t="shared" si="6"/>
        <v>3.8682641847763035</v>
      </c>
      <c r="F34" s="232">
        <f t="shared" si="6"/>
        <v>3.8544912621169205</v>
      </c>
      <c r="G34" s="232">
        <f t="shared" si="6"/>
        <v>37.46925431266401</v>
      </c>
      <c r="H34" s="233">
        <f t="shared" si="6"/>
        <v>0.06654022748628265</v>
      </c>
      <c r="I34" s="32"/>
    </row>
    <row r="35" spans="2:9" ht="12.75" customHeight="1">
      <c r="B35" s="257">
        <v>1997</v>
      </c>
      <c r="C35" s="231">
        <f t="shared" si="6"/>
        <v>42.20798965270202</v>
      </c>
      <c r="D35" s="232">
        <f t="shared" si="6"/>
        <v>12.78835155887617</v>
      </c>
      <c r="E35" s="232">
        <f t="shared" si="6"/>
        <v>3.992232189569804</v>
      </c>
      <c r="F35" s="232">
        <f t="shared" si="6"/>
        <v>3.6903005073447015</v>
      </c>
      <c r="G35" s="232">
        <f t="shared" si="6"/>
        <v>37.25305261731974</v>
      </c>
      <c r="H35" s="233">
        <f t="shared" si="6"/>
        <v>0.06807347418755828</v>
      </c>
      <c r="I35" s="32"/>
    </row>
    <row r="36" spans="2:9" ht="12.75" customHeight="1">
      <c r="B36" s="257">
        <v>1998</v>
      </c>
      <c r="C36" s="231">
        <f t="shared" si="6"/>
        <v>42.88897941563392</v>
      </c>
      <c r="D36" s="232">
        <f t="shared" si="6"/>
        <v>11.903660484079387</v>
      </c>
      <c r="E36" s="232">
        <f t="shared" si="6"/>
        <v>3.973219767835587</v>
      </c>
      <c r="F36" s="232">
        <f t="shared" si="6"/>
        <v>3.8026786453492614</v>
      </c>
      <c r="G36" s="232">
        <f t="shared" si="6"/>
        <v>37.363225277301574</v>
      </c>
      <c r="H36" s="233">
        <f t="shared" si="6"/>
        <v>0.06823640980026668</v>
      </c>
      <c r="I36" s="32"/>
    </row>
    <row r="37" spans="2:9" ht="12.75" customHeight="1">
      <c r="B37" s="257">
        <v>1999</v>
      </c>
      <c r="C37" s="231">
        <f t="shared" si="6"/>
        <v>43.53032148979163</v>
      </c>
      <c r="D37" s="232">
        <f t="shared" si="6"/>
        <v>11.360537759409468</v>
      </c>
      <c r="E37" s="232">
        <f t="shared" si="6"/>
        <v>3.812073612378958</v>
      </c>
      <c r="F37" s="232">
        <f t="shared" si="6"/>
        <v>3.678844782228562</v>
      </c>
      <c r="G37" s="232">
        <f t="shared" si="6"/>
        <v>37.55011095619198</v>
      </c>
      <c r="H37" s="233">
        <f t="shared" si="6"/>
        <v>0.06811139999940184</v>
      </c>
      <c r="I37" s="32"/>
    </row>
    <row r="38" spans="2:9" ht="12.75" customHeight="1">
      <c r="B38" s="257">
        <v>2000</v>
      </c>
      <c r="C38" s="231">
        <f t="shared" si="6"/>
        <v>43.39938951782434</v>
      </c>
      <c r="D38" s="232">
        <f t="shared" si="6"/>
        <v>11.535663462592211</v>
      </c>
      <c r="E38" s="232">
        <f t="shared" si="6"/>
        <v>3.8252965700221497</v>
      </c>
      <c r="F38" s="232">
        <f t="shared" si="6"/>
        <v>3.620041169858823</v>
      </c>
      <c r="G38" s="232">
        <f t="shared" si="6"/>
        <v>37.549596713531905</v>
      </c>
      <c r="H38" s="233">
        <f t="shared" si="6"/>
        <v>0.0700125661705884</v>
      </c>
      <c r="I38" s="32"/>
    </row>
    <row r="39" spans="2:9" ht="12.75" customHeight="1">
      <c r="B39" s="257">
        <v>2001</v>
      </c>
      <c r="C39" s="231">
        <f t="shared" si="6"/>
        <v>43.90937601009325</v>
      </c>
      <c r="D39" s="232">
        <f t="shared" si="6"/>
        <v>10.890091975109494</v>
      </c>
      <c r="E39" s="232">
        <f t="shared" si="6"/>
        <v>3.739239563280372</v>
      </c>
      <c r="F39" s="232">
        <f t="shared" si="6"/>
        <v>3.753672446434711</v>
      </c>
      <c r="G39" s="232">
        <f t="shared" si="6"/>
        <v>37.638212207458224</v>
      </c>
      <c r="H39" s="233">
        <f t="shared" si="6"/>
        <v>0.06940779762394844</v>
      </c>
      <c r="I39" s="93"/>
    </row>
    <row r="40" spans="2:9" ht="12.75" customHeight="1">
      <c r="B40" s="257">
        <v>2002</v>
      </c>
      <c r="C40" s="231">
        <f t="shared" si="6"/>
        <v>44.5090587952553</v>
      </c>
      <c r="D40" s="232">
        <f t="shared" si="6"/>
        <v>10.636766237719252</v>
      </c>
      <c r="E40" s="232">
        <f t="shared" si="6"/>
        <v>3.672487729684484</v>
      </c>
      <c r="F40" s="232">
        <f t="shared" si="6"/>
        <v>3.5599974359466433</v>
      </c>
      <c r="G40" s="232">
        <f t="shared" si="6"/>
        <v>37.555171416597396</v>
      </c>
      <c r="H40" s="233">
        <f t="shared" si="6"/>
        <v>0.06651838479692528</v>
      </c>
      <c r="I40" s="93"/>
    </row>
    <row r="41" spans="2:9" ht="12.75" customHeight="1">
      <c r="B41" s="257">
        <v>2003</v>
      </c>
      <c r="C41" s="231">
        <f t="shared" si="6"/>
        <v>44.51284886934239</v>
      </c>
      <c r="D41" s="232">
        <f t="shared" si="6"/>
        <v>10.73192211124935</v>
      </c>
      <c r="E41" s="232">
        <f t="shared" si="6"/>
        <v>3.3824773702743705</v>
      </c>
      <c r="F41" s="232">
        <f t="shared" si="6"/>
        <v>3.5697320081280384</v>
      </c>
      <c r="G41" s="232">
        <f t="shared" si="6"/>
        <v>37.736747558935726</v>
      </c>
      <c r="H41" s="233">
        <f t="shared" si="6"/>
        <v>0.06627208207011934</v>
      </c>
      <c r="I41" s="93"/>
    </row>
    <row r="42" spans="2:9" ht="12.75" customHeight="1">
      <c r="B42" s="257">
        <v>2004</v>
      </c>
      <c r="C42" s="231">
        <f t="shared" si="6"/>
        <v>45.24966418456886</v>
      </c>
      <c r="D42" s="232">
        <f t="shared" si="6"/>
        <v>10.780227000007393</v>
      </c>
      <c r="E42" s="232">
        <f t="shared" si="6"/>
        <v>3.5410276223877415</v>
      </c>
      <c r="F42" s="232">
        <f t="shared" si="6"/>
        <v>3.408898207260903</v>
      </c>
      <c r="G42" s="232">
        <f t="shared" si="6"/>
        <v>36.95518123042236</v>
      </c>
      <c r="H42" s="233">
        <f t="shared" si="6"/>
        <v>0.0650017553527401</v>
      </c>
      <c r="I42" s="93"/>
    </row>
    <row r="43" spans="2:9" ht="12.75" customHeight="1">
      <c r="B43" s="257">
        <v>2005</v>
      </c>
      <c r="C43" s="231">
        <f t="shared" si="6"/>
        <v>45.5463813897172</v>
      </c>
      <c r="D43" s="232">
        <f t="shared" si="6"/>
        <v>10.47758445713756</v>
      </c>
      <c r="E43" s="232">
        <f t="shared" si="6"/>
        <v>3.5081546208624763</v>
      </c>
      <c r="F43" s="232">
        <f t="shared" si="6"/>
        <v>3.4393419623830193</v>
      </c>
      <c r="G43" s="232">
        <f t="shared" si="6"/>
        <v>36.96326363411875</v>
      </c>
      <c r="H43" s="233">
        <f t="shared" si="6"/>
        <v>0.06527393578099</v>
      </c>
      <c r="I43" s="93"/>
    </row>
    <row r="44" spans="2:9" ht="12.75" customHeight="1">
      <c r="B44" s="257">
        <v>2006</v>
      </c>
      <c r="C44" s="231">
        <f t="shared" si="6"/>
        <v>45.49303798537072</v>
      </c>
      <c r="D44" s="232">
        <f t="shared" si="6"/>
        <v>10.804813532295379</v>
      </c>
      <c r="E44" s="232">
        <f t="shared" si="6"/>
        <v>3.39701248550233</v>
      </c>
      <c r="F44" s="232">
        <f t="shared" si="6"/>
        <v>3.3159781652360083</v>
      </c>
      <c r="G44" s="232">
        <f t="shared" si="6"/>
        <v>36.92389699040322</v>
      </c>
      <c r="H44" s="233">
        <f t="shared" si="6"/>
        <v>0.06526084119234057</v>
      </c>
      <c r="I44" s="41"/>
    </row>
    <row r="45" spans="2:9" ht="12.75" customHeight="1">
      <c r="B45" s="257">
        <v>2007</v>
      </c>
      <c r="C45" s="231">
        <f t="shared" si="6"/>
        <v>45.84851972575203</v>
      </c>
      <c r="D45" s="232">
        <f t="shared" si="6"/>
        <v>10.848037874904492</v>
      </c>
      <c r="E45" s="232">
        <f t="shared" si="6"/>
        <v>3.518806068608942</v>
      </c>
      <c r="F45" s="232">
        <f t="shared" si="6"/>
        <v>3.0387142002078953</v>
      </c>
      <c r="G45" s="232">
        <f t="shared" si="6"/>
        <v>36.68007995045892</v>
      </c>
      <c r="H45" s="233">
        <f t="shared" si="6"/>
        <v>0.06584218006772978</v>
      </c>
      <c r="I45" s="41"/>
    </row>
    <row r="46" spans="2:9" ht="12.75" customHeight="1">
      <c r="B46" s="258">
        <v>2008</v>
      </c>
      <c r="C46" s="234">
        <f t="shared" si="6"/>
        <v>45.90425863059093</v>
      </c>
      <c r="D46" s="235">
        <f t="shared" si="6"/>
        <v>10.823503051744526</v>
      </c>
      <c r="E46" s="235">
        <f t="shared" si="6"/>
        <v>3.5513856657922673</v>
      </c>
      <c r="F46" s="235">
        <f t="shared" si="6"/>
        <v>3.0337050778997883</v>
      </c>
      <c r="G46" s="235">
        <f t="shared" si="6"/>
        <v>36.62114151116866</v>
      </c>
      <c r="H46" s="236">
        <f t="shared" si="6"/>
        <v>0.06600606280384205</v>
      </c>
      <c r="I46" s="41"/>
    </row>
    <row r="47" spans="2:9" ht="15" customHeight="1">
      <c r="B47" s="11" t="s">
        <v>139</v>
      </c>
      <c r="G47" s="41"/>
      <c r="H47" s="41"/>
      <c r="I47" s="41"/>
    </row>
    <row r="48" spans="2:9" ht="12.75" customHeight="1">
      <c r="B48" s="11" t="s">
        <v>119</v>
      </c>
      <c r="C48" s="12"/>
      <c r="D48" s="12"/>
      <c r="E48" s="12"/>
      <c r="F48" s="12"/>
      <c r="G48" s="30"/>
      <c r="H48" s="30"/>
      <c r="I48" s="30"/>
    </row>
    <row r="49" spans="2:10" ht="12.75" customHeight="1">
      <c r="B49" s="405" t="s">
        <v>137</v>
      </c>
      <c r="C49" s="405"/>
      <c r="D49" s="405"/>
      <c r="E49" s="405"/>
      <c r="F49" s="405"/>
      <c r="G49" s="405"/>
      <c r="H49" s="405"/>
      <c r="I49" s="405"/>
      <c r="J49" s="405"/>
    </row>
    <row r="50" spans="2:10" ht="12.75" customHeight="1">
      <c r="B50" s="405" t="s">
        <v>138</v>
      </c>
      <c r="C50" s="405"/>
      <c r="D50" s="405"/>
      <c r="E50" s="405"/>
      <c r="F50" s="405"/>
      <c r="G50" s="405"/>
      <c r="H50" s="405"/>
      <c r="I50" s="405"/>
      <c r="J50" s="405"/>
    </row>
    <row r="51" spans="2:9" ht="12.75" customHeight="1">
      <c r="B51" s="12"/>
      <c r="C51" s="12"/>
      <c r="D51" s="12"/>
      <c r="E51" s="12"/>
      <c r="F51" s="12"/>
      <c r="G51" s="12"/>
      <c r="H51" s="12"/>
      <c r="I51" s="12"/>
    </row>
    <row r="52" spans="3:9" ht="12.75">
      <c r="C52" s="12"/>
      <c r="D52" s="12"/>
      <c r="E52" s="12"/>
      <c r="F52" s="12"/>
      <c r="G52" s="12"/>
      <c r="H52" s="12"/>
      <c r="I52" s="12"/>
    </row>
  </sheetData>
  <mergeCells count="18">
    <mergeCell ref="B49:J49"/>
    <mergeCell ref="B50:J50"/>
    <mergeCell ref="C30:C32"/>
    <mergeCell ref="H30:H32"/>
    <mergeCell ref="D30:D32"/>
    <mergeCell ref="E30:E32"/>
    <mergeCell ref="F30:F32"/>
    <mergeCell ref="G30:G32"/>
    <mergeCell ref="B2:I2"/>
    <mergeCell ref="B3:I3"/>
    <mergeCell ref="B29:I29"/>
    <mergeCell ref="C5:C7"/>
    <mergeCell ref="D5:D7"/>
    <mergeCell ref="E5:E7"/>
    <mergeCell ref="F5:F7"/>
    <mergeCell ref="B4:I4"/>
    <mergeCell ref="I5:I7"/>
    <mergeCell ref="B28:I2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L51"/>
  <sheetViews>
    <sheetView workbookViewId="0" topLeftCell="A25">
      <selection activeCell="A48" sqref="A48:IV48"/>
    </sheetView>
  </sheetViews>
  <sheetFormatPr defaultColWidth="9.140625" defaultRowHeight="12.75"/>
  <cols>
    <col min="2" max="2" width="4.7109375" style="0" customWidth="1"/>
    <col min="3" max="7" width="7.7109375" style="0" customWidth="1"/>
    <col min="10" max="12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9" s="95" customFormat="1" ht="30" customHeight="1">
      <c r="A2"/>
      <c r="B2" s="398" t="s">
        <v>117</v>
      </c>
      <c r="C2" s="398"/>
      <c r="D2" s="398"/>
      <c r="E2" s="398"/>
      <c r="F2" s="398"/>
      <c r="G2" s="398"/>
      <c r="H2"/>
      <c r="I2"/>
    </row>
    <row r="3" spans="2:7" ht="15" customHeight="1">
      <c r="B3" s="395" t="s">
        <v>8</v>
      </c>
      <c r="C3" s="395"/>
      <c r="D3" s="395"/>
      <c r="E3" s="395"/>
      <c r="F3" s="395"/>
      <c r="G3" s="395"/>
    </row>
    <row r="4" spans="2:7" ht="12" customHeight="1">
      <c r="B4" s="402" t="s">
        <v>64</v>
      </c>
      <c r="C4" s="402"/>
      <c r="D4" s="402"/>
      <c r="E4" s="402"/>
      <c r="F4" s="402"/>
      <c r="G4" s="402"/>
    </row>
    <row r="5" spans="1:9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400" t="s">
        <v>59</v>
      </c>
      <c r="H5"/>
      <c r="I5"/>
    </row>
    <row r="6" spans="1:9" s="28" customFormat="1" ht="12" customHeight="1">
      <c r="A6"/>
      <c r="B6" s="4"/>
      <c r="C6" s="406"/>
      <c r="D6" s="406"/>
      <c r="E6" s="406"/>
      <c r="F6" s="406"/>
      <c r="G6" s="406"/>
      <c r="H6"/>
      <c r="I6"/>
    </row>
    <row r="7" spans="1:8" s="28" customFormat="1" ht="12" customHeight="1">
      <c r="A7"/>
      <c r="B7" s="37"/>
      <c r="C7" s="406"/>
      <c r="D7" s="406"/>
      <c r="E7" s="406"/>
      <c r="F7" s="406"/>
      <c r="G7" s="406"/>
      <c r="H7"/>
    </row>
    <row r="8" spans="1:12" s="28" customFormat="1" ht="15" customHeight="1">
      <c r="A8"/>
      <c r="B8" s="262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37">
        <f aca="true" t="shared" si="0" ref="G8:G21">SUM(C8:F8)</f>
        <v>1911.7965760000002</v>
      </c>
      <c r="H8"/>
      <c r="J8" s="353"/>
      <c r="K8" s="353"/>
      <c r="L8" s="353"/>
    </row>
    <row r="9" spans="1:12" s="28" customFormat="1" ht="15" customHeight="1">
      <c r="A9"/>
      <c r="B9" s="64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38">
        <f t="shared" si="0"/>
        <v>1933.8115919999998</v>
      </c>
      <c r="H9"/>
      <c r="J9" s="353"/>
      <c r="K9" s="353"/>
      <c r="L9" s="353"/>
    </row>
    <row r="10" spans="1:12" s="28" customFormat="1" ht="15" customHeight="1">
      <c r="A10"/>
      <c r="B10" s="64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38">
        <f t="shared" si="0"/>
        <v>2007.2421270000002</v>
      </c>
      <c r="H10"/>
      <c r="J10" s="353"/>
      <c r="K10" s="353"/>
      <c r="L10" s="353"/>
    </row>
    <row r="11" spans="1:12" s="29" customFormat="1" ht="15" customHeight="1">
      <c r="A11"/>
      <c r="B11" s="64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38">
        <f t="shared" si="0"/>
        <v>2063.1098795509997</v>
      </c>
      <c r="H11"/>
      <c r="J11" s="353"/>
      <c r="K11" s="353"/>
      <c r="L11" s="353"/>
    </row>
    <row r="12" spans="1:9" s="29" customFormat="1" ht="15" customHeight="1">
      <c r="A12"/>
      <c r="B12" s="64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38">
        <f t="shared" si="0"/>
        <v>2106.5209140029397</v>
      </c>
      <c r="H12"/>
      <c r="I12"/>
    </row>
    <row r="13" spans="1:9" s="29" customFormat="1" ht="15" customHeight="1">
      <c r="A13"/>
      <c r="B13" s="64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38">
        <f t="shared" si="0"/>
        <v>2182.921804242224</v>
      </c>
      <c r="H13"/>
      <c r="I13"/>
    </row>
    <row r="14" spans="1:9" s="29" customFormat="1" ht="15" customHeight="1">
      <c r="A14"/>
      <c r="B14" s="64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38">
        <f t="shared" si="0"/>
        <v>2207.8103618522573</v>
      </c>
      <c r="H14"/>
      <c r="I14"/>
    </row>
    <row r="15" spans="1:9" s="29" customFormat="1" ht="15" customHeight="1">
      <c r="A15"/>
      <c r="B15" s="64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38">
        <f t="shared" si="0"/>
        <v>2250.625070553031</v>
      </c>
      <c r="H15"/>
      <c r="I15"/>
    </row>
    <row r="16" spans="1:9" s="29" customFormat="1" ht="15" customHeight="1">
      <c r="A16"/>
      <c r="B16" s="64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38">
        <f t="shared" si="0"/>
        <v>2271.1930539546242</v>
      </c>
      <c r="H16"/>
      <c r="I16"/>
    </row>
    <row r="17" spans="1:9" s="29" customFormat="1" ht="15" customHeight="1">
      <c r="A17"/>
      <c r="B17" s="64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38">
        <f t="shared" si="0"/>
        <v>2431.924181860433</v>
      </c>
      <c r="H17"/>
      <c r="I17"/>
    </row>
    <row r="18" spans="1:9" s="29" customFormat="1" ht="15" customHeight="1">
      <c r="A18"/>
      <c r="B18" s="64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38">
        <f t="shared" si="0"/>
        <v>2488.993058650133</v>
      </c>
      <c r="H18"/>
      <c r="I18"/>
    </row>
    <row r="19" spans="1:9" s="29" customFormat="1" ht="15" customHeight="1">
      <c r="A19"/>
      <c r="B19" s="64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38">
        <f t="shared" si="0"/>
        <v>2568.291139152945</v>
      </c>
      <c r="H19"/>
      <c r="I19"/>
    </row>
    <row r="20" spans="1:9" s="29" customFormat="1" ht="15" customHeight="1">
      <c r="A20"/>
      <c r="B20" s="64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38">
        <f t="shared" si="0"/>
        <v>2641.9039278789996</v>
      </c>
      <c r="H20"/>
      <c r="I20"/>
    </row>
    <row r="21" spans="1:9" s="29" customFormat="1" ht="15" customHeight="1">
      <c r="A21"/>
      <c r="B21" s="263">
        <v>2008</v>
      </c>
      <c r="C21" s="209">
        <v>1877.729</v>
      </c>
      <c r="D21" s="210">
        <v>442.739</v>
      </c>
      <c r="E21" s="210">
        <v>145.27061440000003</v>
      </c>
      <c r="F21" s="211">
        <v>124.09471739999998</v>
      </c>
      <c r="G21" s="238">
        <f t="shared" si="0"/>
        <v>2589.8333317999995</v>
      </c>
      <c r="H21"/>
      <c r="I21"/>
    </row>
    <row r="22" spans="2:7" ht="22.5" customHeight="1">
      <c r="B22" s="259" t="s">
        <v>134</v>
      </c>
      <c r="C22" s="239">
        <f>C21/C8-1</f>
        <v>0.4571174708612047</v>
      </c>
      <c r="D22" s="240">
        <f>D21/D8-1</f>
        <v>0.14656429216465372</v>
      </c>
      <c r="E22" s="240">
        <f>E21/E8-1</f>
        <v>0.1899116754586685</v>
      </c>
      <c r="F22" s="241">
        <f>F21/F8-1</f>
        <v>0.07995503679922855</v>
      </c>
      <c r="G22" s="221">
        <f>G21/G8-1</f>
        <v>0.35465946759808364</v>
      </c>
    </row>
    <row r="23" spans="2:7" ht="22.5" customHeight="1">
      <c r="B23" s="260" t="s">
        <v>66</v>
      </c>
      <c r="C23" s="222">
        <f>(POWER((C21/C8),1/13)-1)</f>
        <v>0.029381846457510852</v>
      </c>
      <c r="D23" s="223">
        <f>(POWER((D21/D8),1/13)-1)</f>
        <v>0.010576299240409703</v>
      </c>
      <c r="E23" s="223">
        <f>(POWER((E21/E8),1/13)-1)</f>
        <v>0.013465163659597046</v>
      </c>
      <c r="F23" s="242">
        <f>(POWER((F21/F8),1/13)-1)</f>
        <v>0.005934416808863308</v>
      </c>
      <c r="G23" s="224">
        <f>(POWER((G21/G8),1/13)-1)</f>
        <v>0.02362475396893271</v>
      </c>
    </row>
    <row r="24" spans="1:9" s="29" customFormat="1" ht="22.5" customHeight="1">
      <c r="A24"/>
      <c r="B24" s="354" t="s">
        <v>136</v>
      </c>
      <c r="C24" s="219">
        <f>C21/C13-1</f>
        <v>0.23640059366328958</v>
      </c>
      <c r="D24" s="220">
        <f>D21/D13-1</f>
        <v>0.09676886686543118</v>
      </c>
      <c r="E24" s="220">
        <f>E21/E13-1</f>
        <v>0.08523195705177633</v>
      </c>
      <c r="F24" s="355">
        <f>F21/F13-1</f>
        <v>-0.02039792482872027</v>
      </c>
      <c r="G24" s="356">
        <f>G21/G13-1</f>
        <v>0.18640682720150403</v>
      </c>
      <c r="H24"/>
      <c r="I24"/>
    </row>
    <row r="25" spans="1:9" s="29" customFormat="1" ht="22.5" customHeight="1">
      <c r="A25"/>
      <c r="B25" s="261" t="s">
        <v>66</v>
      </c>
      <c r="C25" s="357">
        <f>(POWER((C21/C13),1/8)-1)</f>
        <v>0.026880485190079018</v>
      </c>
      <c r="D25" s="358">
        <f>(POWER((D21/D13),1/8)-1)</f>
        <v>0.011612970935743094</v>
      </c>
      <c r="E25" s="358">
        <f>(POWER((E21/E13),1/8)-1)</f>
        <v>0.010276664591506002</v>
      </c>
      <c r="F25" s="359">
        <f>(POWER((F21/F13),1/8)-1)</f>
        <v>-0.002572789130430242</v>
      </c>
      <c r="G25" s="227">
        <f>(POWER((G21/G13),1/9)-1)</f>
        <v>0.019173638603372956</v>
      </c>
      <c r="H25"/>
      <c r="I25"/>
    </row>
    <row r="26" spans="1:9" s="38" customFormat="1" ht="22.5" customHeight="1">
      <c r="A26"/>
      <c r="B26" s="261" t="s">
        <v>135</v>
      </c>
      <c r="C26" s="225">
        <f>C21/C20-1</f>
        <v>-0.01942886804453825</v>
      </c>
      <c r="D26" s="226">
        <f>D21/D20-1</f>
        <v>-0.02283456746526591</v>
      </c>
      <c r="E26" s="226">
        <f>E21/E20-1</f>
        <v>-0.011551721559739048</v>
      </c>
      <c r="F26" s="243">
        <f>F21/F20-1</f>
        <v>-0.02223396414350176</v>
      </c>
      <c r="G26" s="227">
        <f>G21/G20-1</f>
        <v>-0.01970949644667963</v>
      </c>
      <c r="H26"/>
      <c r="I26"/>
    </row>
    <row r="27" ht="6" customHeight="1"/>
    <row r="28" spans="2:7" ht="15" customHeight="1">
      <c r="B28" s="407" t="s">
        <v>67</v>
      </c>
      <c r="C28" s="407"/>
      <c r="D28" s="407"/>
      <c r="E28" s="407"/>
      <c r="F28" s="407"/>
      <c r="G28" s="407"/>
    </row>
    <row r="29" spans="2:7" ht="11.25" customHeight="1">
      <c r="B29" s="410" t="s">
        <v>68</v>
      </c>
      <c r="C29" s="410"/>
      <c r="D29" s="410"/>
      <c r="E29" s="410"/>
      <c r="F29" s="410"/>
      <c r="G29" s="410"/>
    </row>
    <row r="30" ht="12.75" customHeight="1"/>
    <row r="31" spans="3:6" ht="12.75">
      <c r="C31" s="400" t="s">
        <v>56</v>
      </c>
      <c r="D31" s="400" t="s">
        <v>57</v>
      </c>
      <c r="E31" s="400" t="s">
        <v>65</v>
      </c>
      <c r="F31" s="400" t="s">
        <v>118</v>
      </c>
    </row>
    <row r="32" spans="3:6" ht="12.75">
      <c r="C32" s="406"/>
      <c r="D32" s="406"/>
      <c r="E32" s="406"/>
      <c r="F32" s="406"/>
    </row>
    <row r="33" spans="3:6" ht="15" customHeight="1">
      <c r="C33" s="409"/>
      <c r="D33" s="409"/>
      <c r="E33" s="409"/>
      <c r="F33" s="409"/>
    </row>
    <row r="34" spans="2:6" ht="15" customHeight="1">
      <c r="B34" s="256">
        <v>1995</v>
      </c>
      <c r="C34" s="244">
        <f aca="true" t="shared" si="1" ref="C34:F47">C8/$G8*100</f>
        <v>67.40570708083537</v>
      </c>
      <c r="D34" s="245">
        <f t="shared" si="1"/>
        <v>20.19796838468655</v>
      </c>
      <c r="E34" s="245">
        <f t="shared" si="1"/>
        <v>6.3858890392740175</v>
      </c>
      <c r="F34" s="246">
        <f t="shared" si="1"/>
        <v>6.010435495204066</v>
      </c>
    </row>
    <row r="35" spans="2:7" ht="15" customHeight="1">
      <c r="B35" s="257">
        <v>1996</v>
      </c>
      <c r="C35" s="247">
        <f t="shared" si="1"/>
        <v>67.35811313721817</v>
      </c>
      <c r="D35" s="248">
        <f t="shared" si="1"/>
        <v>20.278397421045145</v>
      </c>
      <c r="E35" s="248">
        <f t="shared" si="1"/>
        <v>6.192769372953474</v>
      </c>
      <c r="F35" s="249">
        <f t="shared" si="1"/>
        <v>6.170720068783206</v>
      </c>
      <c r="G35" s="32"/>
    </row>
    <row r="36" spans="2:7" ht="15" customHeight="1">
      <c r="B36" s="257">
        <v>1997</v>
      </c>
      <c r="C36" s="247">
        <f t="shared" si="1"/>
        <v>67.34005737614733</v>
      </c>
      <c r="D36" s="248">
        <f t="shared" si="1"/>
        <v>20.40296955166485</v>
      </c>
      <c r="E36" s="248">
        <f t="shared" si="1"/>
        <v>6.369342556150924</v>
      </c>
      <c r="F36" s="249">
        <f t="shared" si="1"/>
        <v>5.887630516036892</v>
      </c>
      <c r="G36" s="32"/>
    </row>
    <row r="37" spans="2:7" ht="15" customHeight="1">
      <c r="B37" s="257">
        <v>1998</v>
      </c>
      <c r="C37" s="247">
        <f t="shared" si="1"/>
        <v>68.54719731688633</v>
      </c>
      <c r="D37" s="248">
        <f t="shared" si="1"/>
        <v>19.02499371896868</v>
      </c>
      <c r="E37" s="248">
        <f t="shared" si="1"/>
        <v>6.350187929860157</v>
      </c>
      <c r="F37" s="249">
        <f t="shared" si="1"/>
        <v>6.07762103428483</v>
      </c>
      <c r="G37" s="32"/>
    </row>
    <row r="38" spans="2:7" ht="15" customHeight="1">
      <c r="B38" s="257">
        <v>1999</v>
      </c>
      <c r="C38" s="247">
        <f t="shared" si="1"/>
        <v>69.78050824127486</v>
      </c>
      <c r="D38" s="248">
        <f t="shared" si="1"/>
        <v>18.211308155206122</v>
      </c>
      <c r="E38" s="248">
        <f t="shared" si="1"/>
        <v>6.110876855971266</v>
      </c>
      <c r="F38" s="249">
        <f t="shared" si="1"/>
        <v>5.897306747547755</v>
      </c>
      <c r="G38" s="32"/>
    </row>
    <row r="39" spans="2:7" ht="15" customHeight="1">
      <c r="B39" s="257">
        <v>2000</v>
      </c>
      <c r="C39" s="247">
        <f t="shared" si="1"/>
        <v>69.57216685676019</v>
      </c>
      <c r="D39" s="248">
        <f t="shared" si="1"/>
        <v>18.492451440895998</v>
      </c>
      <c r="E39" s="248">
        <f t="shared" si="1"/>
        <v>6.132210019610318</v>
      </c>
      <c r="F39" s="249">
        <f t="shared" si="1"/>
        <v>5.803171682733502</v>
      </c>
      <c r="G39" s="93"/>
    </row>
    <row r="40" spans="2:7" ht="15" customHeight="1">
      <c r="B40" s="257">
        <v>2001</v>
      </c>
      <c r="C40" s="247">
        <f t="shared" si="1"/>
        <v>70.48916097550877</v>
      </c>
      <c r="D40" s="248">
        <f t="shared" si="1"/>
        <v>17.482221703518103</v>
      </c>
      <c r="E40" s="248">
        <f t="shared" si="1"/>
        <v>6.002723870215652</v>
      </c>
      <c r="F40" s="249">
        <f t="shared" si="1"/>
        <v>6.025893450757471</v>
      </c>
      <c r="G40" s="93"/>
    </row>
    <row r="41" spans="2:7" ht="15" customHeight="1">
      <c r="B41" s="257">
        <v>2002</v>
      </c>
      <c r="C41" s="247">
        <f t="shared" si="1"/>
        <v>71.35342181207434</v>
      </c>
      <c r="D41" s="248">
        <f t="shared" si="1"/>
        <v>17.052026904629123</v>
      </c>
      <c r="E41" s="248">
        <f t="shared" si="1"/>
        <v>5.887443436655604</v>
      </c>
      <c r="F41" s="249">
        <f t="shared" si="1"/>
        <v>5.707107846640929</v>
      </c>
      <c r="G41" s="93"/>
    </row>
    <row r="42" spans="2:7" ht="15" customHeight="1">
      <c r="B42" s="257">
        <v>2003</v>
      </c>
      <c r="C42" s="247">
        <f t="shared" si="1"/>
        <v>71.56754011596561</v>
      </c>
      <c r="D42" s="248">
        <f t="shared" si="1"/>
        <v>17.254731739878483</v>
      </c>
      <c r="E42" s="248">
        <f t="shared" si="1"/>
        <v>5.438330527866596</v>
      </c>
      <c r="F42" s="249">
        <f t="shared" si="1"/>
        <v>5.739397616289306</v>
      </c>
      <c r="G42" s="93"/>
    </row>
    <row r="43" spans="2:7" ht="15" customHeight="1">
      <c r="B43" s="257">
        <v>2004</v>
      </c>
      <c r="C43" s="247">
        <f t="shared" si="1"/>
        <v>71.84788132100888</v>
      </c>
      <c r="D43" s="248">
        <f t="shared" si="1"/>
        <v>17.116955099397202</v>
      </c>
      <c r="E43" s="248">
        <f t="shared" si="1"/>
        <v>5.622480010680167</v>
      </c>
      <c r="F43" s="249">
        <f t="shared" si="1"/>
        <v>5.412683568913758</v>
      </c>
      <c r="G43" s="93"/>
    </row>
    <row r="44" spans="2:6" ht="15" customHeight="1">
      <c r="B44" s="257">
        <v>2005</v>
      </c>
      <c r="C44" s="247">
        <f t="shared" si="1"/>
        <v>72.32860669271372</v>
      </c>
      <c r="D44" s="248">
        <f t="shared" si="1"/>
        <v>16.638623358585512</v>
      </c>
      <c r="E44" s="248">
        <f t="shared" si="1"/>
        <v>5.5710229451263045</v>
      </c>
      <c r="F44" s="249">
        <f t="shared" si="1"/>
        <v>5.4617470035744615</v>
      </c>
    </row>
    <row r="45" spans="2:6" ht="15" customHeight="1">
      <c r="B45" s="257">
        <v>2006</v>
      </c>
      <c r="C45" s="247">
        <f t="shared" si="1"/>
        <v>72.19874615194767</v>
      </c>
      <c r="D45" s="248">
        <f t="shared" si="1"/>
        <v>17.147546613356077</v>
      </c>
      <c r="E45" s="248">
        <f t="shared" si="1"/>
        <v>5.391155503720113</v>
      </c>
      <c r="F45" s="249">
        <f t="shared" si="1"/>
        <v>5.262551730976135</v>
      </c>
    </row>
    <row r="46" spans="2:6" ht="15" customHeight="1">
      <c r="B46" s="257">
        <v>2007</v>
      </c>
      <c r="C46" s="247">
        <f t="shared" si="1"/>
        <v>72.48310507405039</v>
      </c>
      <c r="D46" s="248">
        <f t="shared" si="1"/>
        <v>17.149942328287096</v>
      </c>
      <c r="E46" s="248">
        <f t="shared" si="1"/>
        <v>5.562971095508027</v>
      </c>
      <c r="F46" s="249">
        <f t="shared" si="1"/>
        <v>4.803981502154488</v>
      </c>
    </row>
    <row r="47" spans="2:6" ht="15" customHeight="1">
      <c r="B47" s="258">
        <v>2008</v>
      </c>
      <c r="C47" s="250">
        <f t="shared" si="1"/>
        <v>72.50385485983884</v>
      </c>
      <c r="D47" s="251">
        <f t="shared" si="1"/>
        <v>17.09526997601368</v>
      </c>
      <c r="E47" s="251">
        <f t="shared" si="1"/>
        <v>5.609264990771947</v>
      </c>
      <c r="F47" s="252">
        <f t="shared" si="1"/>
        <v>4.79161017337556</v>
      </c>
    </row>
    <row r="48" ht="15" customHeight="1">
      <c r="B48" s="367" t="s">
        <v>140</v>
      </c>
    </row>
    <row r="49" spans="2:7" ht="24.75" customHeight="1">
      <c r="B49" s="408" t="s">
        <v>143</v>
      </c>
      <c r="C49" s="408"/>
      <c r="D49" s="408"/>
      <c r="E49" s="408"/>
      <c r="F49" s="408"/>
      <c r="G49" s="408"/>
    </row>
    <row r="50" spans="2:12" ht="12.75">
      <c r="B50" s="3"/>
      <c r="J50" s="29"/>
      <c r="K50" s="29"/>
      <c r="L50" s="29"/>
    </row>
    <row r="51" spans="10:12" ht="12.75">
      <c r="J51" s="29"/>
      <c r="K51" s="29"/>
      <c r="L51" s="29"/>
    </row>
  </sheetData>
  <mergeCells count="15">
    <mergeCell ref="B49:G49"/>
    <mergeCell ref="B3:G3"/>
    <mergeCell ref="B2:G2"/>
    <mergeCell ref="B4:G4"/>
    <mergeCell ref="G5:G7"/>
    <mergeCell ref="C31:C33"/>
    <mergeCell ref="D31:D33"/>
    <mergeCell ref="E31:E33"/>
    <mergeCell ref="F31:F33"/>
    <mergeCell ref="B29:G29"/>
    <mergeCell ref="B28:G28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7"/>
  <sheetViews>
    <sheetView workbookViewId="0" topLeftCell="A5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</cols>
  <sheetData>
    <row r="1" spans="2:18" ht="14.25" customHeight="1">
      <c r="B1" s="42"/>
      <c r="C1" s="43"/>
      <c r="D1" s="43"/>
      <c r="E1" s="43"/>
      <c r="F1" s="43"/>
      <c r="G1" s="43"/>
      <c r="H1" s="43"/>
      <c r="I1" s="43"/>
      <c r="J1" s="43"/>
      <c r="R1" s="44" t="s">
        <v>5</v>
      </c>
    </row>
    <row r="2" spans="2:31" s="95" customFormat="1" ht="15" customHeight="1">
      <c r="B2" s="411" t="s">
        <v>54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20" ht="10.5" customHeight="1">
      <c r="B4" s="4"/>
      <c r="D4" s="27"/>
      <c r="E4" s="27"/>
      <c r="F4" s="27"/>
      <c r="G4" s="27"/>
      <c r="H4" s="27"/>
      <c r="P4" s="23" t="s">
        <v>69</v>
      </c>
      <c r="Q4" s="6"/>
      <c r="S4" s="22"/>
      <c r="T4" s="22"/>
    </row>
    <row r="5" spans="2:20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1"/>
      <c r="T5" s="1"/>
    </row>
    <row r="6" spans="2:20" ht="9.7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78" t="s">
        <v>97</v>
      </c>
      <c r="R6" s="72"/>
      <c r="S6" s="1"/>
      <c r="T6" s="1"/>
    </row>
    <row r="7" spans="2:20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1088.8449999999998</v>
      </c>
      <c r="I7" s="284">
        <f aca="true" t="shared" si="0" ref="I7:N7">SUM(I10:I36)</f>
        <v>1103.404</v>
      </c>
      <c r="J7" s="284">
        <f t="shared" si="0"/>
        <v>1130.511</v>
      </c>
      <c r="K7" s="284">
        <f t="shared" si="0"/>
        <v>1139.0559999999998</v>
      </c>
      <c r="L7" s="284">
        <f t="shared" si="0"/>
        <v>1198.2369999999999</v>
      </c>
      <c r="M7" s="284">
        <f t="shared" si="0"/>
        <v>1232.507</v>
      </c>
      <c r="N7" s="284">
        <f t="shared" si="0"/>
        <v>1250.0609999999995</v>
      </c>
      <c r="O7" s="284">
        <f>SUM(O10:O36)</f>
        <v>1292.359</v>
      </c>
      <c r="P7" s="284">
        <f>SUM(P10:P36)</f>
        <v>1268.008</v>
      </c>
      <c r="Q7" s="299">
        <f>100*(P7/O7-1)</f>
        <v>-1.8842287630604138</v>
      </c>
      <c r="R7" s="104" t="s">
        <v>84</v>
      </c>
      <c r="S7" s="1"/>
      <c r="T7" s="1"/>
    </row>
    <row r="8" spans="1:18" ht="12.75" customHeight="1">
      <c r="A8" s="16"/>
      <c r="B8" s="105" t="s">
        <v>28</v>
      </c>
      <c r="C8" s="106">
        <f>SUM(C10,C13:C14,C16:C20,C24,C27:C28,C30,C34:C36)</f>
        <v>869.9449999999999</v>
      </c>
      <c r="D8" s="107">
        <f aca="true" t="shared" si="1" ref="D8:N8">SUM(D10,D13:D14,D16:D20,D24,D27:D28,D30,D34:D36)</f>
        <v>873.3229999999999</v>
      </c>
      <c r="E8" s="107">
        <f t="shared" si="1"/>
        <v>896.0040000000001</v>
      </c>
      <c r="F8" s="107">
        <f t="shared" si="1"/>
        <v>925.2330000000001</v>
      </c>
      <c r="G8" s="107">
        <f t="shared" si="1"/>
        <v>961.486</v>
      </c>
      <c r="H8" s="107">
        <f t="shared" si="1"/>
        <v>989.376</v>
      </c>
      <c r="I8" s="107">
        <f t="shared" si="1"/>
        <v>1001.161</v>
      </c>
      <c r="J8" s="107">
        <f t="shared" si="1"/>
        <v>1024.918</v>
      </c>
      <c r="K8" s="107">
        <f t="shared" si="1"/>
        <v>1025.1409999999998</v>
      </c>
      <c r="L8" s="107">
        <f t="shared" si="1"/>
        <v>1078.0639999999999</v>
      </c>
      <c r="M8" s="107">
        <f t="shared" si="1"/>
        <v>1103.9370000000001</v>
      </c>
      <c r="N8" s="107">
        <f t="shared" si="1"/>
        <v>1117.849</v>
      </c>
      <c r="O8" s="107">
        <f>SUM(O10,O13:O14,O16:O20,O24,O27:O28,O30,O34:O36)</f>
        <v>1150.525</v>
      </c>
      <c r="P8" s="107">
        <f>SUM(P10,P13:P14,P16:P20,P24,P27:P28,P30,P34:P36)</f>
        <v>1119.6090000000002</v>
      </c>
      <c r="Q8" s="300">
        <f aca="true" t="shared" si="2" ref="Q8:Q42">100*(P8/O8-1)</f>
        <v>-2.6871210968905435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99.469</v>
      </c>
      <c r="I9" s="109">
        <f t="shared" si="3"/>
        <v>102.24300000000001</v>
      </c>
      <c r="J9" s="109">
        <f t="shared" si="3"/>
        <v>105.593</v>
      </c>
      <c r="K9" s="109">
        <f t="shared" si="3"/>
        <v>113.915</v>
      </c>
      <c r="L9" s="109">
        <f t="shared" si="3"/>
        <v>120.173</v>
      </c>
      <c r="M9" s="109">
        <f t="shared" si="3"/>
        <v>128.57</v>
      </c>
      <c r="N9" s="109">
        <f t="shared" si="3"/>
        <v>132.212</v>
      </c>
      <c r="O9" s="109">
        <f>SUM(O11,O12,O15,O21:O23,O25:O26,O29,O31:O33)</f>
        <v>141.834</v>
      </c>
      <c r="P9" s="109">
        <f>SUM(P11,P12,P15,P21:P23,P25:P26,P29,P31:P33)</f>
        <v>148.399</v>
      </c>
      <c r="Q9" s="301">
        <f t="shared" si="2"/>
        <v>4.628650394122702</v>
      </c>
      <c r="R9" s="108" t="s">
        <v>99</v>
      </c>
    </row>
    <row r="10" spans="1:18" ht="12.75" customHeight="1">
      <c r="A10" s="16"/>
      <c r="B10" s="18" t="s">
        <v>29</v>
      </c>
      <c r="C10" s="278">
        <v>18.616</v>
      </c>
      <c r="D10" s="189">
        <v>16.615</v>
      </c>
      <c r="E10" s="189">
        <v>18.426</v>
      </c>
      <c r="F10" s="189">
        <v>16.693</v>
      </c>
      <c r="G10" s="189">
        <v>15.758</v>
      </c>
      <c r="H10" s="189">
        <v>19.754</v>
      </c>
      <c r="I10" s="189">
        <v>20.565</v>
      </c>
      <c r="J10" s="189">
        <v>20.392</v>
      </c>
      <c r="K10" s="189">
        <v>19.584</v>
      </c>
      <c r="L10" s="189">
        <v>19.416</v>
      </c>
      <c r="M10" s="189">
        <v>19.283</v>
      </c>
      <c r="N10" s="189">
        <v>19.615</v>
      </c>
      <c r="O10" s="189">
        <v>19.65</v>
      </c>
      <c r="P10" s="190">
        <v>18.207</v>
      </c>
      <c r="Q10" s="302">
        <f t="shared" si="2"/>
        <v>-7.343511450381667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74">
        <v>7.122</v>
      </c>
      <c r="Q11" s="198">
        <f t="shared" si="2"/>
        <v>20.916808149405774</v>
      </c>
      <c r="R11" s="105" t="s">
        <v>11</v>
      </c>
    </row>
    <row r="12" spans="1:18" ht="12.75" customHeight="1">
      <c r="A12" s="16"/>
      <c r="B12" s="18" t="s">
        <v>13</v>
      </c>
      <c r="C12" s="125" t="s">
        <v>41</v>
      </c>
      <c r="D12" s="121" t="s">
        <v>41</v>
      </c>
      <c r="E12" s="121" t="s">
        <v>41</v>
      </c>
      <c r="F12" s="121" t="s">
        <v>41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58">
        <v>15.748</v>
      </c>
      <c r="Q12" s="303">
        <f t="shared" si="2"/>
        <v>-0.5242877897795428</v>
      </c>
      <c r="R12" s="18" t="s">
        <v>13</v>
      </c>
    </row>
    <row r="13" spans="1:18" ht="12.75" customHeight="1">
      <c r="A13" s="16"/>
      <c r="B13" s="105" t="s">
        <v>24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74">
        <v>10.718</v>
      </c>
      <c r="Q13" s="198">
        <f t="shared" si="2"/>
        <v>-9.169491525423734</v>
      </c>
      <c r="R13" s="105" t="s">
        <v>24</v>
      </c>
    </row>
    <row r="14" spans="1:18" ht="12.75" customHeight="1">
      <c r="A14" s="16"/>
      <c r="B14" s="18" t="s">
        <v>30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58">
        <v>264.545</v>
      </c>
      <c r="Q14" s="303">
        <f t="shared" si="2"/>
        <v>1.187652998776012</v>
      </c>
      <c r="R14" s="18" t="s">
        <v>30</v>
      </c>
    </row>
    <row r="15" spans="1:18" ht="12.75" customHeight="1">
      <c r="A15" s="16"/>
      <c r="B15" s="105" t="s">
        <v>14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5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74">
        <v>1.832</v>
      </c>
      <c r="Q15" s="304">
        <f t="shared" si="2"/>
        <v>-5.664263645726053</v>
      </c>
      <c r="R15" s="105" t="s">
        <v>14</v>
      </c>
    </row>
    <row r="16" spans="1:18" ht="12.75" customHeight="1">
      <c r="A16" s="16"/>
      <c r="B16" s="18" t="s">
        <v>33</v>
      </c>
      <c r="C16" s="279">
        <v>4.7</v>
      </c>
      <c r="D16" s="156">
        <v>4.7</v>
      </c>
      <c r="E16" s="156">
        <v>4.7</v>
      </c>
      <c r="F16" s="156">
        <v>4.7</v>
      </c>
      <c r="G16" s="156">
        <v>7.737</v>
      </c>
      <c r="H16" s="156">
        <v>8.337</v>
      </c>
      <c r="I16" s="156">
        <v>9.122</v>
      </c>
      <c r="J16" s="156">
        <v>10.731</v>
      </c>
      <c r="K16" s="156">
        <v>11.935</v>
      </c>
      <c r="L16" s="156">
        <v>13.216</v>
      </c>
      <c r="M16" s="156">
        <v>13.983</v>
      </c>
      <c r="N16" s="156">
        <v>13.832</v>
      </c>
      <c r="O16" s="156">
        <v>14.428</v>
      </c>
      <c r="P16" s="191">
        <v>13.265</v>
      </c>
      <c r="Q16" s="302">
        <f t="shared" si="2"/>
        <v>-8.060715275852514</v>
      </c>
      <c r="R16" s="18" t="s">
        <v>33</v>
      </c>
    </row>
    <row r="17" spans="1:18" ht="12.75" customHeight="1">
      <c r="A17" s="16"/>
      <c r="B17" s="105" t="s">
        <v>25</v>
      </c>
      <c r="C17" s="280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74">
        <v>24.346</v>
      </c>
      <c r="Q17" s="198">
        <f t="shared" si="2"/>
        <v>12.043812416586142</v>
      </c>
      <c r="R17" s="105" t="s">
        <v>25</v>
      </c>
    </row>
    <row r="18" spans="1:18" ht="12.75" customHeight="1">
      <c r="A18" s="16"/>
      <c r="B18" s="18" t="s">
        <v>31</v>
      </c>
      <c r="C18" s="279">
        <v>78.744</v>
      </c>
      <c r="D18" s="156">
        <v>76.257</v>
      </c>
      <c r="E18" s="156">
        <v>80.634</v>
      </c>
      <c r="F18" s="156">
        <v>91.329</v>
      </c>
      <c r="G18" s="156">
        <v>98.134</v>
      </c>
      <c r="H18" s="156">
        <v>106.936</v>
      </c>
      <c r="I18" s="156">
        <v>114.004</v>
      </c>
      <c r="J18" s="156">
        <v>129.51</v>
      </c>
      <c r="K18" s="156">
        <v>138.413</v>
      </c>
      <c r="L18" s="156">
        <v>155.014</v>
      </c>
      <c r="M18" s="156">
        <v>166.386</v>
      </c>
      <c r="N18" s="156">
        <v>174.588</v>
      </c>
      <c r="O18" s="156">
        <v>190.611</v>
      </c>
      <c r="P18" s="191">
        <v>175.184</v>
      </c>
      <c r="Q18" s="169">
        <f t="shared" si="2"/>
        <v>-8.093446862982724</v>
      </c>
      <c r="R18" s="18" t="s">
        <v>31</v>
      </c>
    </row>
    <row r="19" spans="1:18" ht="12.75" customHeight="1">
      <c r="A19" s="16"/>
      <c r="B19" s="105" t="s">
        <v>32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74">
        <v>181.879</v>
      </c>
      <c r="Q19" s="304">
        <f t="shared" si="2"/>
        <v>-4.968441072585539</v>
      </c>
      <c r="R19" s="105" t="s">
        <v>32</v>
      </c>
    </row>
    <row r="20" spans="1:18" ht="12.75" customHeight="1">
      <c r="A20" s="16"/>
      <c r="B20" s="18" t="s">
        <v>34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281">
        <v>149</v>
      </c>
      <c r="Q20" s="305">
        <f t="shared" si="2"/>
        <v>-2.234820151437611</v>
      </c>
      <c r="R20" s="18" t="s">
        <v>34</v>
      </c>
    </row>
    <row r="21" spans="1:18" ht="12.75" customHeight="1">
      <c r="A21" s="16"/>
      <c r="B21" s="105" t="s">
        <v>12</v>
      </c>
      <c r="C21" s="280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74">
        <v>1.296</v>
      </c>
      <c r="Q21" s="304">
        <f t="shared" si="2"/>
        <v>9.459459459459474</v>
      </c>
      <c r="R21" s="105" t="s">
        <v>12</v>
      </c>
    </row>
    <row r="22" spans="1:18" ht="12.75" customHeight="1">
      <c r="A22" s="16"/>
      <c r="B22" s="18" t="s">
        <v>16</v>
      </c>
      <c r="C22" s="125" t="s">
        <v>41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58">
        <v>2.536</v>
      </c>
      <c r="Q22" s="303">
        <f t="shared" si="2"/>
        <v>-15.635395874916824</v>
      </c>
      <c r="R22" s="18" t="s">
        <v>16</v>
      </c>
    </row>
    <row r="23" spans="1:18" ht="12.75" customHeight="1">
      <c r="A23" s="16"/>
      <c r="B23" s="105" t="s">
        <v>17</v>
      </c>
      <c r="C23" s="128" t="s">
        <v>41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74">
        <v>2.56</v>
      </c>
      <c r="Q23" s="304">
        <f t="shared" si="2"/>
        <v>-5.3254437869822535</v>
      </c>
      <c r="R23" s="105" t="s">
        <v>17</v>
      </c>
    </row>
    <row r="24" spans="1:18" ht="12.75" customHeight="1">
      <c r="A24" s="16"/>
      <c r="B24" s="18" t="s">
        <v>35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58">
        <v>0.787</v>
      </c>
      <c r="Q24" s="168">
        <f t="shared" si="2"/>
        <v>43.61313868613139</v>
      </c>
      <c r="R24" s="18" t="s">
        <v>35</v>
      </c>
    </row>
    <row r="25" spans="1:18" ht="12.75" customHeight="1">
      <c r="A25" s="16"/>
      <c r="B25" s="105" t="s">
        <v>15</v>
      </c>
      <c r="C25" s="128" t="s">
        <v>41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74">
        <v>13.043</v>
      </c>
      <c r="Q25" s="304">
        <f t="shared" si="2"/>
        <v>-1.0844835431518374</v>
      </c>
      <c r="R25" s="105" t="s">
        <v>15</v>
      </c>
    </row>
    <row r="26" spans="1:18" ht="12.75" customHeight="1">
      <c r="A26" s="16"/>
      <c r="B26" s="18" t="s">
        <v>18</v>
      </c>
      <c r="C26" s="125" t="s">
        <v>41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281">
        <v>0.2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74">
        <v>32.009</v>
      </c>
      <c r="Q27" s="304">
        <f t="shared" si="2"/>
        <v>4.311412370462109</v>
      </c>
      <c r="R27" s="64" t="s">
        <v>26</v>
      </c>
    </row>
    <row r="28" spans="1:18" ht="12.75" customHeight="1">
      <c r="A28" s="16"/>
      <c r="B28" s="18" t="s">
        <v>36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58">
        <v>14.588</v>
      </c>
      <c r="Q28" s="303">
        <f t="shared" si="2"/>
        <v>-1.058057514921329</v>
      </c>
      <c r="R28" s="18" t="s">
        <v>36</v>
      </c>
    </row>
    <row r="29" spans="1:18" ht="12.75" customHeight="1">
      <c r="A29" s="16"/>
      <c r="B29" s="105" t="s">
        <v>19</v>
      </c>
      <c r="C29" s="128" t="s">
        <v>41</v>
      </c>
      <c r="D29" s="129" t="s">
        <v>41</v>
      </c>
      <c r="E29" s="129" t="s">
        <v>41</v>
      </c>
      <c r="F29" s="129" t="s">
        <v>41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74">
        <v>71.917</v>
      </c>
      <c r="Q29" s="304">
        <f t="shared" si="2"/>
        <v>9.347869056850477</v>
      </c>
      <c r="R29" s="105" t="s">
        <v>19</v>
      </c>
    </row>
    <row r="30" spans="1:18" ht="12.75" customHeight="1">
      <c r="A30" s="16"/>
      <c r="B30" s="18" t="s">
        <v>37</v>
      </c>
      <c r="C30" s="282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58">
        <v>17.114</v>
      </c>
      <c r="Q30" s="168">
        <f t="shared" si="2"/>
        <v>-6.577869971068284</v>
      </c>
      <c r="R30" s="18" t="s">
        <v>37</v>
      </c>
    </row>
    <row r="31" spans="1:18" ht="12.75" customHeight="1">
      <c r="A31" s="16"/>
      <c r="B31" s="105" t="s">
        <v>20</v>
      </c>
      <c r="C31" s="128" t="s">
        <v>41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74">
        <v>23.19</v>
      </c>
      <c r="Q31" s="198">
        <f t="shared" si="2"/>
        <v>-3.100451278622751</v>
      </c>
      <c r="R31" s="105" t="s">
        <v>20</v>
      </c>
    </row>
    <row r="32" spans="1:18" ht="12.75" customHeight="1">
      <c r="A32" s="16"/>
      <c r="B32" s="18" t="s">
        <v>22</v>
      </c>
      <c r="C32" s="279" t="s">
        <v>41</v>
      </c>
      <c r="D32" s="156" t="s">
        <v>41</v>
      </c>
      <c r="E32" s="156" t="s">
        <v>41</v>
      </c>
      <c r="F32" s="156" t="s">
        <v>41</v>
      </c>
      <c r="G32" s="156"/>
      <c r="H32" s="157">
        <v>1.9</v>
      </c>
      <c r="I32" s="156">
        <v>1.927</v>
      </c>
      <c r="J32" s="156">
        <v>1.945</v>
      </c>
      <c r="K32" s="156">
        <v>1.995</v>
      </c>
      <c r="L32" s="156">
        <v>2.267</v>
      </c>
      <c r="M32" s="156">
        <v>2.361</v>
      </c>
      <c r="N32" s="156">
        <v>2.279</v>
      </c>
      <c r="O32" s="156">
        <v>2.573</v>
      </c>
      <c r="P32" s="191">
        <v>2.636</v>
      </c>
      <c r="Q32" s="302">
        <f t="shared" si="2"/>
        <v>2.44850369218812</v>
      </c>
      <c r="R32" s="18" t="s">
        <v>22</v>
      </c>
    </row>
    <row r="33" spans="1:18" ht="12.75" customHeight="1">
      <c r="A33" s="16"/>
      <c r="B33" s="105" t="s">
        <v>21</v>
      </c>
      <c r="C33" s="128" t="s">
        <v>41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74">
        <v>6.319</v>
      </c>
      <c r="Q33" s="304">
        <f t="shared" si="2"/>
        <v>12.497774612782631</v>
      </c>
      <c r="R33" s="105" t="s">
        <v>21</v>
      </c>
    </row>
    <row r="34" spans="1:18" ht="12.75" customHeight="1">
      <c r="A34" s="16"/>
      <c r="B34" s="18" t="s">
        <v>38</v>
      </c>
      <c r="C34" s="279">
        <v>21.804</v>
      </c>
      <c r="D34" s="156">
        <v>22.185</v>
      </c>
      <c r="E34" s="156">
        <v>23.508</v>
      </c>
      <c r="F34" s="156">
        <v>25.611</v>
      </c>
      <c r="G34" s="156">
        <v>25.806</v>
      </c>
      <c r="H34" s="156">
        <v>27.717</v>
      </c>
      <c r="I34" s="156">
        <v>26.678</v>
      </c>
      <c r="J34" s="156">
        <v>28.071</v>
      </c>
      <c r="K34" s="156">
        <v>26.896</v>
      </c>
      <c r="L34" s="156">
        <v>27.331</v>
      </c>
      <c r="M34" s="156">
        <v>27.815</v>
      </c>
      <c r="N34" s="156">
        <v>25.465</v>
      </c>
      <c r="O34" s="156">
        <v>25.956</v>
      </c>
      <c r="P34" s="191">
        <v>27.615</v>
      </c>
      <c r="Q34" s="302">
        <f t="shared" si="2"/>
        <v>6.391585760517793</v>
      </c>
      <c r="R34" s="18" t="s">
        <v>38</v>
      </c>
    </row>
    <row r="35" spans="1:18" ht="12.75" customHeight="1">
      <c r="A35" s="16"/>
      <c r="B35" s="105" t="s">
        <v>39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74">
        <v>37.952</v>
      </c>
      <c r="Q35" s="304">
        <f t="shared" si="2"/>
        <v>4.278060173100684</v>
      </c>
      <c r="R35" s="105" t="s">
        <v>39</v>
      </c>
    </row>
    <row r="36" spans="1:18" ht="12.75" customHeight="1">
      <c r="A36" s="16"/>
      <c r="B36" s="19" t="s">
        <v>27</v>
      </c>
      <c r="C36" s="283">
        <v>146.714</v>
      </c>
      <c r="D36" s="193">
        <v>150.195</v>
      </c>
      <c r="E36" s="193">
        <v>152.502</v>
      </c>
      <c r="F36" s="193">
        <v>155.431</v>
      </c>
      <c r="G36" s="193">
        <v>149.019</v>
      </c>
      <c r="H36" s="193">
        <v>150.337</v>
      </c>
      <c r="I36" s="193">
        <v>149.76</v>
      </c>
      <c r="J36" s="193">
        <v>150.92</v>
      </c>
      <c r="K36" s="193">
        <v>153.933</v>
      </c>
      <c r="L36" s="193">
        <v>154.157</v>
      </c>
      <c r="M36" s="193">
        <v>154.396</v>
      </c>
      <c r="N36" s="193">
        <v>158.156</v>
      </c>
      <c r="O36" s="193">
        <v>160.425</v>
      </c>
      <c r="P36" s="194">
        <v>152.4</v>
      </c>
      <c r="Q36" s="306">
        <f t="shared" si="2"/>
        <v>-5.002337540906964</v>
      </c>
      <c r="R36" s="19" t="s">
        <v>27</v>
      </c>
    </row>
    <row r="37" spans="1:18" ht="12.75" customHeight="1">
      <c r="A37" s="16"/>
      <c r="B37" s="105" t="s">
        <v>45</v>
      </c>
      <c r="C37" s="195" t="s">
        <v>41</v>
      </c>
      <c r="D37" s="173"/>
      <c r="E37" s="173"/>
      <c r="F37" s="173"/>
      <c r="G37" s="173">
        <v>1.606</v>
      </c>
      <c r="H37" s="173">
        <v>1.906</v>
      </c>
      <c r="I37" s="173">
        <v>3.213</v>
      </c>
      <c r="J37" s="173">
        <v>3.663</v>
      </c>
      <c r="K37" s="173">
        <v>4.124</v>
      </c>
      <c r="L37" s="173">
        <v>4.373</v>
      </c>
      <c r="M37" s="173">
        <v>4.387</v>
      </c>
      <c r="N37" s="173">
        <v>5.291</v>
      </c>
      <c r="O37" s="173">
        <v>5.122</v>
      </c>
      <c r="P37" s="174">
        <v>6.447</v>
      </c>
      <c r="Q37" s="200">
        <f t="shared" si="2"/>
        <v>25.868801249511918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97">
        <v>181.935</v>
      </c>
      <c r="Q39" s="307">
        <f t="shared" si="2"/>
        <v>0.3336458390779118</v>
      </c>
      <c r="R39" s="108" t="s">
        <v>23</v>
      </c>
    </row>
    <row r="40" spans="1:18" ht="12.75" customHeight="1">
      <c r="A40" s="16"/>
      <c r="B40" s="17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1">
        <v>0.8</v>
      </c>
      <c r="Q40" s="302">
        <f t="shared" si="2"/>
        <v>-3.0303030303030165</v>
      </c>
      <c r="R40" s="17" t="s">
        <v>9</v>
      </c>
    </row>
    <row r="41" spans="1:18" ht="12.75" customHeight="1">
      <c r="A41" s="16"/>
      <c r="B41" s="105" t="s">
        <v>40</v>
      </c>
      <c r="C41" s="129" t="s">
        <v>41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98">
        <f t="shared" si="2"/>
        <v>7.979516432229228</v>
      </c>
      <c r="R41" s="105" t="s">
        <v>40</v>
      </c>
    </row>
    <row r="42" spans="1:18" ht="12.75" customHeight="1">
      <c r="A42" s="16"/>
      <c r="B42" s="19" t="s">
        <v>10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9.531</v>
      </c>
      <c r="Q42" s="171">
        <f t="shared" si="2"/>
        <v>0.8208686821672639</v>
      </c>
      <c r="R42" s="19" t="s">
        <v>10</v>
      </c>
    </row>
    <row r="43" spans="1:19" ht="15" customHeight="1">
      <c r="A43" s="16"/>
      <c r="B43" s="413" t="s">
        <v>111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370"/>
    </row>
    <row r="44" ht="12.75" customHeight="1">
      <c r="B44" s="11" t="s">
        <v>129</v>
      </c>
    </row>
    <row r="47" spans="3:16" ht="12.75"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</row>
  </sheetData>
  <mergeCells count="3">
    <mergeCell ref="B2:R2"/>
    <mergeCell ref="B3:R3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S47"/>
  <sheetViews>
    <sheetView workbookViewId="0" topLeftCell="A1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  <col min="20" max="20" width="10.28125" style="0" customWidth="1"/>
  </cols>
  <sheetData>
    <row r="1" spans="2:18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6</v>
      </c>
    </row>
    <row r="2" spans="2:18" s="95" customFormat="1" ht="15" customHeight="1">
      <c r="B2" s="411" t="s">
        <v>126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17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</row>
    <row r="5" spans="2:18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286">
        <v>2008</v>
      </c>
      <c r="Q5" s="285" t="s">
        <v>122</v>
      </c>
      <c r="R5" s="110"/>
    </row>
    <row r="6" spans="2:18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287"/>
      <c r="Q6" s="85" t="s">
        <v>97</v>
      </c>
      <c r="R6" s="111"/>
    </row>
    <row r="7" spans="2:18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429.863</v>
      </c>
      <c r="I7" s="284">
        <f aca="true" t="shared" si="0" ref="I7:N7">SUM(I10:I36)</f>
        <v>452.86199999999997</v>
      </c>
      <c r="J7" s="284">
        <f t="shared" si="0"/>
        <v>475.38899999999984</v>
      </c>
      <c r="K7" s="284">
        <f t="shared" si="0"/>
        <v>486.378</v>
      </c>
      <c r="L7" s="284">
        <f t="shared" si="0"/>
        <v>549.0470000000001</v>
      </c>
      <c r="M7" s="284">
        <f t="shared" si="0"/>
        <v>567.7500000000001</v>
      </c>
      <c r="N7" s="284">
        <f t="shared" si="0"/>
        <v>604.2149999999997</v>
      </c>
      <c r="O7" s="284">
        <f>SUM(O10:O36)</f>
        <v>622.571</v>
      </c>
      <c r="P7" s="284">
        <f>SUM(P10:P36)</f>
        <v>609.7199999999999</v>
      </c>
      <c r="Q7" s="299">
        <f>100*(P7/O7-1)</f>
        <v>-2.064182237849199</v>
      </c>
      <c r="R7" s="104" t="s">
        <v>84</v>
      </c>
    </row>
    <row r="8" spans="1:18" ht="12.75" customHeight="1">
      <c r="A8" s="16"/>
      <c r="B8" s="105" t="s">
        <v>28</v>
      </c>
      <c r="C8" s="106">
        <f>SUM(C10,C13:C14,C16:C20,C24,C27:C28,C30,C34:C36)</f>
        <v>268.286</v>
      </c>
      <c r="D8" s="107">
        <f aca="true" t="shared" si="1" ref="D8:L8">SUM(D10,D13:D14,D16:D20,D24,D27:D28,D30,D34:D36)</f>
        <v>274.017</v>
      </c>
      <c r="E8" s="107">
        <f t="shared" si="1"/>
        <v>287.029</v>
      </c>
      <c r="F8" s="107">
        <f t="shared" si="1"/>
        <v>308.5289999999999</v>
      </c>
      <c r="G8" s="107">
        <f t="shared" si="1"/>
        <v>322.838</v>
      </c>
      <c r="H8" s="107">
        <f t="shared" si="1"/>
        <v>339.49299999999994</v>
      </c>
      <c r="I8" s="107">
        <f t="shared" si="1"/>
        <v>353.017</v>
      </c>
      <c r="J8" s="107">
        <f t="shared" si="1"/>
        <v>360.5159999999999</v>
      </c>
      <c r="K8" s="107">
        <f t="shared" si="1"/>
        <v>361.52899999999994</v>
      </c>
      <c r="L8" s="107">
        <f t="shared" si="1"/>
        <v>396.952</v>
      </c>
      <c r="M8" s="107">
        <f>SUM(M10,M13:M14,M16:M20,M24,M27:M28,M30,M34:M36)</f>
        <v>384.62500000000006</v>
      </c>
      <c r="N8" s="107">
        <f>SUM(N10,N13:N14,N16:N20,N24,N27:N28,N30,N34:N36)</f>
        <v>386.029</v>
      </c>
      <c r="O8" s="107">
        <f>SUM(O10,O13:O14,O16:O20,O24,O27:O28,O30,O34:O36)</f>
        <v>373.19000000000005</v>
      </c>
      <c r="P8" s="107">
        <f>SUM(P10,P13:P14,P16:P20,P24,P27:P28,P30,P34:P36)</f>
        <v>347.634</v>
      </c>
      <c r="Q8" s="300">
        <f aca="true" t="shared" si="2" ref="Q8:Q42">100*(P8/O8-1)</f>
        <v>-6.847986280446971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90.37</v>
      </c>
      <c r="I9" s="109">
        <f t="shared" si="3"/>
        <v>99.845</v>
      </c>
      <c r="J9" s="109">
        <f t="shared" si="3"/>
        <v>114.873</v>
      </c>
      <c r="K9" s="109">
        <f t="shared" si="3"/>
        <v>124.84899999999999</v>
      </c>
      <c r="L9" s="109">
        <f t="shared" si="3"/>
        <v>152.095</v>
      </c>
      <c r="M9" s="109">
        <f t="shared" si="3"/>
        <v>183.12499999999997</v>
      </c>
      <c r="N9" s="109">
        <f t="shared" si="3"/>
        <v>218.18600000000004</v>
      </c>
      <c r="O9" s="109">
        <f>SUM(O11,O12,O15,O21:O23,O25:O26,O29,O31:O33)</f>
        <v>249.381</v>
      </c>
      <c r="P9" s="109">
        <f>SUM(P11,P12,P15,P21:P23,P25:P26,P29,P31:P33)</f>
        <v>262.086</v>
      </c>
      <c r="Q9" s="301">
        <f t="shared" si="2"/>
        <v>5.09461426491995</v>
      </c>
      <c r="R9" s="108" t="s">
        <v>99</v>
      </c>
    </row>
    <row r="10" spans="1:18" ht="12.75" customHeight="1">
      <c r="A10" s="16"/>
      <c r="B10" s="18" t="s">
        <v>29</v>
      </c>
      <c r="C10" s="288">
        <v>26.984</v>
      </c>
      <c r="D10" s="160">
        <v>25.185</v>
      </c>
      <c r="E10" s="160">
        <v>25.274000000000004</v>
      </c>
      <c r="F10" s="160">
        <v>24.407</v>
      </c>
      <c r="G10" s="162">
        <v>21.526</v>
      </c>
      <c r="H10" s="160">
        <v>31.293</v>
      </c>
      <c r="I10" s="160">
        <v>32.617</v>
      </c>
      <c r="J10" s="160">
        <v>32.496</v>
      </c>
      <c r="K10" s="160">
        <v>30.959</v>
      </c>
      <c r="L10" s="160">
        <v>28.462</v>
      </c>
      <c r="M10" s="160">
        <v>24.565</v>
      </c>
      <c r="N10" s="160">
        <v>23.402</v>
      </c>
      <c r="O10" s="160">
        <v>22.435</v>
      </c>
      <c r="P10" s="289">
        <v>20.149</v>
      </c>
      <c r="Q10" s="302">
        <f t="shared" si="2"/>
        <v>-10.18943614887452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74">
        <v>8.2</v>
      </c>
      <c r="Q11" s="198">
        <f t="shared" si="2"/>
        <v>-6.114037096404868</v>
      </c>
      <c r="R11" s="105" t="s">
        <v>11</v>
      </c>
    </row>
    <row r="12" spans="1:18" ht="12.75" customHeight="1">
      <c r="A12" s="16"/>
      <c r="B12" s="18" t="s">
        <v>13</v>
      </c>
      <c r="C12" s="290"/>
      <c r="D12" s="159"/>
      <c r="E12" s="159"/>
      <c r="F12" s="159"/>
      <c r="G12" s="159"/>
      <c r="H12" s="159">
        <v>23.096</v>
      </c>
      <c r="I12" s="159">
        <v>24.06</v>
      </c>
      <c r="J12" s="159">
        <v>27.356</v>
      </c>
      <c r="K12" s="159">
        <v>29.172</v>
      </c>
      <c r="L12" s="159">
        <v>29.965</v>
      </c>
      <c r="M12" s="159">
        <v>27.929</v>
      </c>
      <c r="N12" s="159">
        <v>34.294</v>
      </c>
      <c r="O12" s="159">
        <v>32.31</v>
      </c>
      <c r="P12" s="291">
        <v>35.129</v>
      </c>
      <c r="Q12" s="303">
        <f t="shared" si="2"/>
        <v>8.724852986691412</v>
      </c>
      <c r="R12" s="18" t="s">
        <v>13</v>
      </c>
    </row>
    <row r="13" spans="1:18" ht="12.75" customHeight="1">
      <c r="A13" s="16"/>
      <c r="B13" s="105" t="s">
        <v>24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74">
        <v>8.762</v>
      </c>
      <c r="Q13" s="198">
        <f t="shared" si="2"/>
        <v>-4.344978165938862</v>
      </c>
      <c r="R13" s="105" t="s">
        <v>24</v>
      </c>
    </row>
    <row r="14" spans="1:18" ht="12.75" customHeight="1">
      <c r="A14" s="16"/>
      <c r="B14" s="18" t="s">
        <v>30</v>
      </c>
      <c r="C14" s="290">
        <v>36.501000000000005</v>
      </c>
      <c r="D14" s="159">
        <v>37.405</v>
      </c>
      <c r="E14" s="159">
        <v>42.781000000000006</v>
      </c>
      <c r="F14" s="159">
        <v>46.99799999999999</v>
      </c>
      <c r="G14" s="159">
        <v>51.539</v>
      </c>
      <c r="H14" s="159">
        <v>54.179</v>
      </c>
      <c r="I14" s="159">
        <v>58.948</v>
      </c>
      <c r="J14" s="159">
        <v>59.74</v>
      </c>
      <c r="K14" s="159">
        <v>63.54</v>
      </c>
      <c r="L14" s="159">
        <v>71.449</v>
      </c>
      <c r="M14" s="159">
        <v>72.487</v>
      </c>
      <c r="N14" s="159">
        <v>78.637</v>
      </c>
      <c r="O14" s="159">
        <v>82.006</v>
      </c>
      <c r="P14" s="291">
        <v>76.987</v>
      </c>
      <c r="Q14" s="303">
        <f t="shared" si="2"/>
        <v>-6.1202838816671985</v>
      </c>
      <c r="R14" s="18" t="s">
        <v>30</v>
      </c>
    </row>
    <row r="15" spans="1:18" ht="12.75" customHeight="1">
      <c r="A15" s="16"/>
      <c r="B15" s="105" t="s">
        <v>14</v>
      </c>
      <c r="C15" s="292">
        <v>1.1</v>
      </c>
      <c r="D15" s="176">
        <v>1.455</v>
      </c>
      <c r="E15" s="176">
        <v>2.263</v>
      </c>
      <c r="F15" s="176">
        <v>3.253</v>
      </c>
      <c r="G15" s="176">
        <v>3.241</v>
      </c>
      <c r="H15" s="176">
        <v>3.217</v>
      </c>
      <c r="I15" s="129">
        <v>4.129</v>
      </c>
      <c r="J15" s="175">
        <v>3.625</v>
      </c>
      <c r="K15" s="129">
        <v>2.406</v>
      </c>
      <c r="L15" s="176">
        <v>3.62</v>
      </c>
      <c r="M15" s="176">
        <v>3.977</v>
      </c>
      <c r="N15" s="176">
        <v>3.569</v>
      </c>
      <c r="O15" s="176">
        <v>4.475</v>
      </c>
      <c r="P15" s="293">
        <v>5.522</v>
      </c>
      <c r="Q15" s="304">
        <f t="shared" si="2"/>
        <v>23.396648044692746</v>
      </c>
      <c r="R15" s="105" t="s">
        <v>14</v>
      </c>
    </row>
    <row r="16" spans="1:18" ht="12.75" customHeight="1">
      <c r="A16" s="16"/>
      <c r="B16" s="18" t="s">
        <v>33</v>
      </c>
      <c r="C16" s="288">
        <v>0.8</v>
      </c>
      <c r="D16" s="160">
        <v>1.6</v>
      </c>
      <c r="E16" s="160">
        <v>2.3</v>
      </c>
      <c r="F16" s="160">
        <v>3.5</v>
      </c>
      <c r="G16" s="160">
        <v>2.4689999999999994</v>
      </c>
      <c r="H16" s="160">
        <v>3.938</v>
      </c>
      <c r="I16" s="160">
        <v>3.203</v>
      </c>
      <c r="J16" s="160">
        <v>3.545</v>
      </c>
      <c r="K16" s="160">
        <v>3.715</v>
      </c>
      <c r="L16" s="160">
        <v>3.928</v>
      </c>
      <c r="M16" s="160">
        <v>3.926</v>
      </c>
      <c r="N16" s="160">
        <v>3.622</v>
      </c>
      <c r="O16" s="160">
        <v>4.592</v>
      </c>
      <c r="P16" s="289">
        <v>4.137</v>
      </c>
      <c r="Q16" s="302">
        <f t="shared" si="2"/>
        <v>-9.908536585365857</v>
      </c>
      <c r="R16" s="18" t="s">
        <v>33</v>
      </c>
    </row>
    <row r="17" spans="1:18" ht="12.75" customHeight="1">
      <c r="A17" s="16"/>
      <c r="B17" s="105" t="s">
        <v>25</v>
      </c>
      <c r="C17" s="280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74">
        <v>4.504</v>
      </c>
      <c r="Q17" s="198">
        <f t="shared" si="2"/>
        <v>-25.70108874958761</v>
      </c>
      <c r="R17" s="105" t="s">
        <v>25</v>
      </c>
    </row>
    <row r="18" spans="1:18" ht="12.75" customHeight="1">
      <c r="A18" s="16"/>
      <c r="B18" s="18" t="s">
        <v>31</v>
      </c>
      <c r="C18" s="279">
        <v>22.855999999999995</v>
      </c>
      <c r="D18" s="156">
        <v>25.742999999999995</v>
      </c>
      <c r="E18" s="156">
        <v>28.866</v>
      </c>
      <c r="F18" s="156">
        <v>33.67100000000001</v>
      </c>
      <c r="G18" s="156">
        <v>36.128</v>
      </c>
      <c r="H18" s="156">
        <v>41.782</v>
      </c>
      <c r="I18" s="156">
        <v>47.041</v>
      </c>
      <c r="J18" s="156">
        <v>55.039</v>
      </c>
      <c r="K18" s="156">
        <v>54.183</v>
      </c>
      <c r="L18" s="156">
        <v>65.807</v>
      </c>
      <c r="M18" s="156">
        <v>66.844</v>
      </c>
      <c r="N18" s="156">
        <v>67.2</v>
      </c>
      <c r="O18" s="156">
        <v>68.264</v>
      </c>
      <c r="P18" s="191">
        <v>67.799</v>
      </c>
      <c r="Q18" s="169">
        <f t="shared" si="2"/>
        <v>-0.6811789523028078</v>
      </c>
      <c r="R18" s="18" t="s">
        <v>31</v>
      </c>
    </row>
    <row r="19" spans="1:18" ht="12.75" customHeight="1">
      <c r="A19" s="16"/>
      <c r="B19" s="105" t="s">
        <v>32</v>
      </c>
      <c r="C19" s="292">
        <v>42.9</v>
      </c>
      <c r="D19" s="176">
        <v>43.49799999999999</v>
      </c>
      <c r="E19" s="176">
        <v>42.44</v>
      </c>
      <c r="F19" s="176">
        <v>43.64099999999999</v>
      </c>
      <c r="G19" s="176">
        <v>45.688</v>
      </c>
      <c r="H19" s="176">
        <v>40.836</v>
      </c>
      <c r="I19" s="176">
        <v>38.298</v>
      </c>
      <c r="J19" s="176">
        <v>34.617</v>
      </c>
      <c r="K19" s="176">
        <v>32.712</v>
      </c>
      <c r="L19" s="176">
        <v>33.018</v>
      </c>
      <c r="M19" s="176">
        <v>27.954</v>
      </c>
      <c r="N19" s="176">
        <v>28.692</v>
      </c>
      <c r="O19" s="176">
        <v>27.824</v>
      </c>
      <c r="P19" s="293">
        <v>24.425</v>
      </c>
      <c r="Q19" s="304">
        <f t="shared" si="2"/>
        <v>-12.216072455434157</v>
      </c>
      <c r="R19" s="105" t="s">
        <v>32</v>
      </c>
    </row>
    <row r="20" spans="1:18" ht="12.75" customHeight="1">
      <c r="A20" s="16"/>
      <c r="B20" s="18" t="s">
        <v>34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62">
        <v>30.904</v>
      </c>
      <c r="L20" s="160">
        <v>38.808</v>
      </c>
      <c r="M20" s="121">
        <v>40.217</v>
      </c>
      <c r="N20" s="121">
        <v>31.64</v>
      </c>
      <c r="O20" s="121">
        <v>27.004</v>
      </c>
      <c r="P20" s="281">
        <v>26</v>
      </c>
      <c r="Q20" s="305">
        <f t="shared" si="2"/>
        <v>-3.717967708487635</v>
      </c>
      <c r="R20" s="18" t="s">
        <v>34</v>
      </c>
    </row>
    <row r="21" spans="1:18" ht="12.75" customHeight="1">
      <c r="A21" s="16"/>
      <c r="B21" s="105" t="s">
        <v>12</v>
      </c>
      <c r="C21" s="292"/>
      <c r="D21" s="176"/>
      <c r="E21" s="176"/>
      <c r="F21" s="176"/>
      <c r="G21" s="176"/>
      <c r="H21" s="130">
        <v>0.03</v>
      </c>
      <c r="I21" s="130">
        <v>0.03</v>
      </c>
      <c r="J21" s="176">
        <v>0.037</v>
      </c>
      <c r="K21" s="176">
        <v>0.031</v>
      </c>
      <c r="L21" s="176">
        <v>0.017</v>
      </c>
      <c r="M21" s="176">
        <v>0.019</v>
      </c>
      <c r="N21" s="176">
        <v>0.02</v>
      </c>
      <c r="O21" s="176">
        <v>0.018</v>
      </c>
      <c r="P21" s="293">
        <v>0.012</v>
      </c>
      <c r="Q21" s="304">
        <f t="shared" si="2"/>
        <v>-33.33333333333333</v>
      </c>
      <c r="R21" s="105" t="s">
        <v>12</v>
      </c>
    </row>
    <row r="22" spans="1:18" ht="12.75" customHeight="1">
      <c r="A22" s="16"/>
      <c r="B22" s="18" t="s">
        <v>16</v>
      </c>
      <c r="C22" s="290"/>
      <c r="D22" s="159"/>
      <c r="E22" s="159"/>
      <c r="F22" s="159"/>
      <c r="G22" s="159"/>
      <c r="H22" s="159">
        <v>3.305</v>
      </c>
      <c r="I22" s="159">
        <v>3.715</v>
      </c>
      <c r="J22" s="159">
        <v>4.233</v>
      </c>
      <c r="K22" s="159">
        <v>4.443</v>
      </c>
      <c r="L22" s="159">
        <v>5</v>
      </c>
      <c r="M22" s="159">
        <v>5.66</v>
      </c>
      <c r="N22" s="159">
        <v>8.035</v>
      </c>
      <c r="O22" s="159">
        <v>10.197</v>
      </c>
      <c r="P22" s="291">
        <v>9.807</v>
      </c>
      <c r="Q22" s="303">
        <f t="shared" si="2"/>
        <v>-3.824654310091191</v>
      </c>
      <c r="R22" s="18" t="s">
        <v>16</v>
      </c>
    </row>
    <row r="23" spans="1:18" ht="12.75" customHeight="1">
      <c r="A23" s="16"/>
      <c r="B23" s="105" t="s">
        <v>17</v>
      </c>
      <c r="C23" s="292"/>
      <c r="D23" s="176"/>
      <c r="E23" s="176"/>
      <c r="F23" s="176"/>
      <c r="G23" s="176"/>
      <c r="H23" s="176">
        <v>6.235</v>
      </c>
      <c r="I23" s="176">
        <v>6.756</v>
      </c>
      <c r="J23" s="176">
        <v>9.191</v>
      </c>
      <c r="K23" s="176">
        <v>9.504</v>
      </c>
      <c r="L23" s="176">
        <v>10.066</v>
      </c>
      <c r="M23" s="176">
        <v>13.77</v>
      </c>
      <c r="N23" s="176">
        <v>15.902</v>
      </c>
      <c r="O23" s="176">
        <v>17.574</v>
      </c>
      <c r="P23" s="293">
        <v>17.859</v>
      </c>
      <c r="Q23" s="304">
        <f t="shared" si="2"/>
        <v>1.6217138955274768</v>
      </c>
      <c r="R23" s="105" t="s">
        <v>17</v>
      </c>
    </row>
    <row r="24" spans="1:18" ht="12.75" customHeight="1">
      <c r="A24" s="16"/>
      <c r="B24" s="18" t="s">
        <v>35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58">
        <v>9.746</v>
      </c>
      <c r="Q24" s="168">
        <f t="shared" si="2"/>
        <v>8.120701131573128</v>
      </c>
      <c r="R24" s="18" t="s">
        <v>35</v>
      </c>
    </row>
    <row r="25" spans="1:18" ht="12.75" customHeight="1">
      <c r="A25" s="16"/>
      <c r="B25" s="105" t="s">
        <v>15</v>
      </c>
      <c r="C25" s="292"/>
      <c r="D25" s="176"/>
      <c r="E25" s="176"/>
      <c r="F25" s="176"/>
      <c r="G25" s="176"/>
      <c r="H25" s="176">
        <v>6.979</v>
      </c>
      <c r="I25" s="176">
        <v>6.651</v>
      </c>
      <c r="J25" s="176">
        <v>6.746</v>
      </c>
      <c r="K25" s="176">
        <v>7.538</v>
      </c>
      <c r="L25" s="176">
        <v>9.632</v>
      </c>
      <c r="M25" s="176">
        <v>13.758</v>
      </c>
      <c r="N25" s="176">
        <v>18.054</v>
      </c>
      <c r="O25" s="176">
        <v>22.619</v>
      </c>
      <c r="P25" s="293">
        <v>22.716</v>
      </c>
      <c r="Q25" s="304">
        <f t="shared" si="2"/>
        <v>0.4288430080905403</v>
      </c>
      <c r="R25" s="105" t="s">
        <v>15</v>
      </c>
    </row>
    <row r="26" spans="1:18" ht="12.75" customHeight="1">
      <c r="A26" s="16"/>
      <c r="B26" s="18" t="s">
        <v>18</v>
      </c>
      <c r="C26" s="290"/>
      <c r="D26" s="159"/>
      <c r="E26" s="159"/>
      <c r="F26" s="159"/>
      <c r="G26" s="159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281">
        <v>0.05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292">
        <v>40.416999999999994</v>
      </c>
      <c r="D27" s="176">
        <v>42.09700000000001</v>
      </c>
      <c r="E27" s="176">
        <v>43.215999999999994</v>
      </c>
      <c r="F27" s="176">
        <v>50.26</v>
      </c>
      <c r="G27" s="176">
        <v>50.88199999999999</v>
      </c>
      <c r="H27" s="176">
        <v>48.028</v>
      </c>
      <c r="I27" s="176">
        <v>47.492</v>
      </c>
      <c r="J27" s="176">
        <v>47.161</v>
      </c>
      <c r="K27" s="176">
        <v>47.979</v>
      </c>
      <c r="L27" s="176">
        <v>55.757</v>
      </c>
      <c r="M27" s="176">
        <v>52.336</v>
      </c>
      <c r="N27" s="176">
        <v>52.184</v>
      </c>
      <c r="O27" s="176">
        <v>47.235</v>
      </c>
      <c r="P27" s="293">
        <v>46.15</v>
      </c>
      <c r="Q27" s="304">
        <f t="shared" si="2"/>
        <v>-2.297025510744155</v>
      </c>
      <c r="R27" s="64" t="s">
        <v>26</v>
      </c>
    </row>
    <row r="28" spans="1:18" ht="12.75" customHeight="1">
      <c r="A28" s="16"/>
      <c r="B28" s="18" t="s">
        <v>36</v>
      </c>
      <c r="C28" s="290">
        <v>15.431</v>
      </c>
      <c r="D28" s="159">
        <v>16.356</v>
      </c>
      <c r="E28" s="159">
        <v>17.041000000000004</v>
      </c>
      <c r="F28" s="159">
        <v>18.585</v>
      </c>
      <c r="G28" s="159">
        <v>21.701999999999998</v>
      </c>
      <c r="H28" s="159">
        <v>22.733</v>
      </c>
      <c r="I28" s="159">
        <v>25.078</v>
      </c>
      <c r="J28" s="159">
        <v>25.835</v>
      </c>
      <c r="K28" s="159">
        <v>26.52</v>
      </c>
      <c r="L28" s="159">
        <v>26.81</v>
      </c>
      <c r="M28" s="159">
        <v>24.53</v>
      </c>
      <c r="N28" s="159">
        <v>24.75</v>
      </c>
      <c r="O28" s="159">
        <v>22.658</v>
      </c>
      <c r="P28" s="291">
        <v>19.739</v>
      </c>
      <c r="Q28" s="303">
        <f t="shared" si="2"/>
        <v>-12.882866978550622</v>
      </c>
      <c r="R28" s="18" t="s">
        <v>36</v>
      </c>
    </row>
    <row r="29" spans="1:18" ht="12.75" customHeight="1">
      <c r="A29" s="16"/>
      <c r="B29" s="105" t="s">
        <v>19</v>
      </c>
      <c r="C29" s="292"/>
      <c r="D29" s="176"/>
      <c r="E29" s="176"/>
      <c r="F29" s="176"/>
      <c r="G29" s="176"/>
      <c r="H29" s="129">
        <v>27.023</v>
      </c>
      <c r="I29" s="129">
        <v>28.228</v>
      </c>
      <c r="J29" s="129">
        <v>29.818</v>
      </c>
      <c r="K29" s="175">
        <v>32.989</v>
      </c>
      <c r="L29" s="176">
        <v>43.982</v>
      </c>
      <c r="M29" s="176">
        <v>50.886</v>
      </c>
      <c r="N29" s="176">
        <v>68.895</v>
      </c>
      <c r="O29" s="176">
        <v>85.11</v>
      </c>
      <c r="P29" s="293">
        <v>93.013</v>
      </c>
      <c r="Q29" s="304">
        <f t="shared" si="2"/>
        <v>9.285630360709686</v>
      </c>
      <c r="R29" s="105" t="s">
        <v>19</v>
      </c>
    </row>
    <row r="30" spans="1:18" ht="12.75" customHeight="1">
      <c r="A30" s="16"/>
      <c r="B30" s="18" t="s">
        <v>37</v>
      </c>
      <c r="C30" s="282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58">
        <v>21.977</v>
      </c>
      <c r="Q30" s="168">
        <f t="shared" si="2"/>
        <v>-21.184191651126095</v>
      </c>
      <c r="R30" s="18" t="s">
        <v>37</v>
      </c>
    </row>
    <row r="31" spans="1:18" ht="12.75" customHeight="1">
      <c r="A31" s="16"/>
      <c r="B31" s="105" t="s">
        <v>20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74">
        <v>33.196</v>
      </c>
      <c r="Q31" s="198">
        <f t="shared" si="2"/>
        <v>-6.729229299542028</v>
      </c>
      <c r="R31" s="105" t="s">
        <v>20</v>
      </c>
    </row>
    <row r="32" spans="1:18" ht="12.75" customHeight="1">
      <c r="A32" s="16"/>
      <c r="B32" s="18" t="s">
        <v>22</v>
      </c>
      <c r="C32" s="288"/>
      <c r="D32" s="160"/>
      <c r="E32" s="160"/>
      <c r="F32" s="160"/>
      <c r="G32" s="160"/>
      <c r="H32" s="160">
        <v>3.4</v>
      </c>
      <c r="I32" s="160">
        <v>5.108</v>
      </c>
      <c r="J32" s="160">
        <v>4.664</v>
      </c>
      <c r="K32" s="160">
        <v>5.045</v>
      </c>
      <c r="L32" s="160">
        <v>6.74</v>
      </c>
      <c r="M32" s="160">
        <v>8.672</v>
      </c>
      <c r="N32" s="160">
        <v>9.834</v>
      </c>
      <c r="O32" s="160">
        <v>11.161</v>
      </c>
      <c r="P32" s="289">
        <v>13.625</v>
      </c>
      <c r="Q32" s="302">
        <f t="shared" si="2"/>
        <v>22.07687483200431</v>
      </c>
      <c r="R32" s="18" t="s">
        <v>22</v>
      </c>
    </row>
    <row r="33" spans="1:18" ht="12.75" customHeight="1">
      <c r="A33" s="16"/>
      <c r="B33" s="105" t="s">
        <v>21</v>
      </c>
      <c r="C33" s="292"/>
      <c r="D33" s="176"/>
      <c r="E33" s="176"/>
      <c r="F33" s="176"/>
      <c r="G33" s="176"/>
      <c r="H33" s="176">
        <v>9.284</v>
      </c>
      <c r="I33" s="176">
        <v>8.482</v>
      </c>
      <c r="J33" s="176">
        <v>9.91</v>
      </c>
      <c r="K33" s="176">
        <v>11.544</v>
      </c>
      <c r="L33" s="176">
        <v>13.105</v>
      </c>
      <c r="M33" s="176">
        <v>16.945</v>
      </c>
      <c r="N33" s="176">
        <v>17.009</v>
      </c>
      <c r="O33" s="176">
        <v>21.542</v>
      </c>
      <c r="P33" s="293">
        <v>22.957</v>
      </c>
      <c r="Q33" s="304">
        <f t="shared" si="2"/>
        <v>6.5685637359576665</v>
      </c>
      <c r="R33" s="105" t="s">
        <v>21</v>
      </c>
    </row>
    <row r="34" spans="1:18" ht="12.75" customHeight="1">
      <c r="A34" s="16"/>
      <c r="B34" s="18" t="s">
        <v>38</v>
      </c>
      <c r="C34" s="288">
        <v>2.6960000000000015</v>
      </c>
      <c r="D34" s="160">
        <v>2.815</v>
      </c>
      <c r="E34" s="160">
        <v>2.192</v>
      </c>
      <c r="F34" s="160">
        <v>2.4890000000000008</v>
      </c>
      <c r="G34" s="160">
        <v>3.85</v>
      </c>
      <c r="H34" s="160">
        <v>4.258</v>
      </c>
      <c r="I34" s="160">
        <v>3.8</v>
      </c>
      <c r="J34" s="160">
        <v>3.897</v>
      </c>
      <c r="K34" s="160">
        <v>4.03</v>
      </c>
      <c r="L34" s="160">
        <v>4.96</v>
      </c>
      <c r="M34" s="160">
        <v>4.043</v>
      </c>
      <c r="N34" s="160">
        <v>4.25</v>
      </c>
      <c r="O34" s="160">
        <v>3.855</v>
      </c>
      <c r="P34" s="289">
        <v>2.241</v>
      </c>
      <c r="Q34" s="302">
        <f t="shared" si="2"/>
        <v>-41.867704280155635</v>
      </c>
      <c r="R34" s="18" t="s">
        <v>38</v>
      </c>
    </row>
    <row r="35" spans="1:18" ht="12.75" customHeight="1">
      <c r="A35" s="16"/>
      <c r="B35" s="105" t="s">
        <v>39</v>
      </c>
      <c r="C35" s="292">
        <v>3.243000000000002</v>
      </c>
      <c r="D35" s="176">
        <v>3.011999999999997</v>
      </c>
      <c r="E35" s="176">
        <v>2.9239999999999995</v>
      </c>
      <c r="F35" s="176">
        <v>2.9309999999999974</v>
      </c>
      <c r="G35" s="129">
        <v>2.7780000000000022</v>
      </c>
      <c r="H35" s="176">
        <v>4.169</v>
      </c>
      <c r="I35" s="176">
        <v>4.191</v>
      </c>
      <c r="J35" s="176">
        <v>4.816</v>
      </c>
      <c r="K35" s="176">
        <v>5.171</v>
      </c>
      <c r="L35" s="176">
        <v>4.258</v>
      </c>
      <c r="M35" s="176">
        <v>3.874</v>
      </c>
      <c r="N35" s="176">
        <v>4.444</v>
      </c>
      <c r="O35" s="176">
        <v>4.145</v>
      </c>
      <c r="P35" s="293">
        <v>4.418</v>
      </c>
      <c r="Q35" s="304">
        <f t="shared" si="2"/>
        <v>6.586248492159252</v>
      </c>
      <c r="R35" s="105" t="s">
        <v>39</v>
      </c>
    </row>
    <row r="36" spans="1:18" ht="12.75" customHeight="1">
      <c r="A36" s="16"/>
      <c r="B36" s="19" t="s">
        <v>27</v>
      </c>
      <c r="C36" s="294">
        <v>14.786000000000001</v>
      </c>
      <c r="D36" s="295">
        <v>16.005</v>
      </c>
      <c r="E36" s="295">
        <v>16.69799999999998</v>
      </c>
      <c r="F36" s="295">
        <v>16.56899999999999</v>
      </c>
      <c r="G36" s="295">
        <v>17.240999999999985</v>
      </c>
      <c r="H36" s="295">
        <v>15.284</v>
      </c>
      <c r="I36" s="295">
        <v>13.504</v>
      </c>
      <c r="J36" s="295">
        <v>13.115</v>
      </c>
      <c r="K36" s="295">
        <v>13.21</v>
      </c>
      <c r="L36" s="295">
        <v>13.682</v>
      </c>
      <c r="M36" s="296">
        <v>13.136</v>
      </c>
      <c r="N36" s="296">
        <v>14.025</v>
      </c>
      <c r="O36" s="296">
        <v>11.052</v>
      </c>
      <c r="P36" s="329">
        <v>10.6</v>
      </c>
      <c r="Q36" s="306">
        <f t="shared" si="2"/>
        <v>-4.0897575099529515</v>
      </c>
      <c r="R36" s="19" t="s">
        <v>27</v>
      </c>
    </row>
    <row r="37" spans="1:18" ht="12.75" customHeight="1">
      <c r="A37" s="16"/>
      <c r="B37" s="105" t="s">
        <v>45</v>
      </c>
      <c r="C37" s="195"/>
      <c r="D37" s="173"/>
      <c r="E37" s="173"/>
      <c r="F37" s="173"/>
      <c r="G37" s="173">
        <v>0.8179999999999998</v>
      </c>
      <c r="H37" s="173">
        <v>0.95</v>
      </c>
      <c r="I37" s="173">
        <v>3.57</v>
      </c>
      <c r="J37" s="173">
        <v>3.75</v>
      </c>
      <c r="K37" s="173">
        <v>4.117</v>
      </c>
      <c r="L37" s="173">
        <v>4.445999999999999</v>
      </c>
      <c r="M37" s="173">
        <v>4.941</v>
      </c>
      <c r="N37" s="173">
        <v>4.884</v>
      </c>
      <c r="O37" s="173">
        <v>5.38</v>
      </c>
      <c r="P37" s="196">
        <v>4.598</v>
      </c>
      <c r="Q37" s="200">
        <f t="shared" si="2"/>
        <v>-14.535315985130115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97"/>
      <c r="Q39" s="199"/>
      <c r="R39" s="108" t="s">
        <v>23</v>
      </c>
    </row>
    <row r="40" spans="1:18" ht="12.75" customHeight="1">
      <c r="A40" s="16"/>
      <c r="B40" s="17" t="s">
        <v>9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297"/>
      <c r="Q40" s="170"/>
      <c r="R40" s="17" t="s">
        <v>9</v>
      </c>
    </row>
    <row r="41" spans="1:18" ht="12.75" customHeight="1">
      <c r="A41" s="16"/>
      <c r="B41" s="105" t="s">
        <v>40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74">
        <v>3.938</v>
      </c>
      <c r="Q41" s="198">
        <f t="shared" si="2"/>
        <v>-0.2532928064842954</v>
      </c>
      <c r="R41" s="105" t="s">
        <v>40</v>
      </c>
    </row>
    <row r="42" spans="1:18" ht="12.75" customHeight="1">
      <c r="A42" s="16"/>
      <c r="B42" s="19" t="s">
        <v>109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124">
        <v>0.8529</v>
      </c>
      <c r="P42" s="298">
        <v>0.7482999999999986</v>
      </c>
      <c r="Q42" s="171">
        <f t="shared" si="2"/>
        <v>-12.264040332981752</v>
      </c>
      <c r="R42" s="19" t="s">
        <v>109</v>
      </c>
    </row>
    <row r="43" spans="2:19" ht="15" customHeight="1">
      <c r="B43" s="415" t="s">
        <v>111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>
      <c r="B44" s="11" t="s">
        <v>3</v>
      </c>
    </row>
    <row r="45" ht="12.75">
      <c r="B45" s="3" t="s">
        <v>127</v>
      </c>
    </row>
    <row r="46" ht="12.75">
      <c r="B46" s="135" t="s">
        <v>128</v>
      </c>
    </row>
    <row r="47" spans="2:18" ht="24.75" customHeight="1">
      <c r="B47" s="414" t="s">
        <v>120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</row>
  </sheetData>
  <mergeCells count="4">
    <mergeCell ref="B2:R2"/>
    <mergeCell ref="B3:R3"/>
    <mergeCell ref="B47:R47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U48"/>
  <sheetViews>
    <sheetView workbookViewId="0" topLeftCell="A1">
      <selection activeCell="H32" sqref="H32:I32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6" width="8.28125" style="0" customWidth="1"/>
    <col min="17" max="17" width="6.28125" style="0" customWidth="1"/>
    <col min="18" max="18" width="4.57421875" style="0" customWidth="1"/>
    <col min="19" max="19" width="7.7109375" style="0" customWidth="1"/>
    <col min="20" max="20" width="6.57421875" style="0" customWidth="1"/>
    <col min="21" max="21" width="7.7109375" style="0" customWidth="1"/>
  </cols>
  <sheetData>
    <row r="1" spans="2:19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7</v>
      </c>
      <c r="S1" s="44"/>
    </row>
    <row r="2" spans="2:19" s="95" customFormat="1" ht="15" customHeight="1">
      <c r="B2" s="411" t="s">
        <v>124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70"/>
    </row>
    <row r="3" spans="2:19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55"/>
    </row>
    <row r="4" spans="2:21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  <c r="S4" s="22"/>
      <c r="U4" s="6"/>
    </row>
    <row r="5" spans="2:21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72"/>
      <c r="U5" s="45"/>
    </row>
    <row r="6" spans="2:21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79" t="s">
        <v>97</v>
      </c>
      <c r="R6" s="74"/>
      <c r="S6" s="72"/>
      <c r="U6" s="45"/>
    </row>
    <row r="7" spans="2:21" ht="12.75" customHeight="1">
      <c r="B7" s="112" t="s">
        <v>84</v>
      </c>
      <c r="C7" s="330">
        <f aca="true" t="shared" si="0" ref="C7:H7">SUM(C10:C36)</f>
        <v>1288.66</v>
      </c>
      <c r="D7" s="284">
        <f t="shared" si="0"/>
        <v>1302.5789999999997</v>
      </c>
      <c r="E7" s="284">
        <f t="shared" si="0"/>
        <v>1351.678</v>
      </c>
      <c r="F7" s="284">
        <f t="shared" si="0"/>
        <v>1414.2039999999997</v>
      </c>
      <c r="G7" s="284">
        <f t="shared" si="0"/>
        <v>1469.9409999999998</v>
      </c>
      <c r="H7" s="284">
        <f t="shared" si="0"/>
        <v>1518.7060000000001</v>
      </c>
      <c r="I7" s="284">
        <f aca="true" t="shared" si="1" ref="I7:N7">SUM(I10:I36)</f>
        <v>1556.2670000000003</v>
      </c>
      <c r="J7" s="284">
        <f t="shared" si="1"/>
        <v>1605.8980000000001</v>
      </c>
      <c r="K7" s="284">
        <f t="shared" si="1"/>
        <v>1625.4370000000001</v>
      </c>
      <c r="L7" s="284">
        <f t="shared" si="1"/>
        <v>1747.286</v>
      </c>
      <c r="M7" s="284">
        <f t="shared" si="1"/>
        <v>1800.2540000000001</v>
      </c>
      <c r="N7" s="284">
        <f t="shared" si="1"/>
        <v>1854.274</v>
      </c>
      <c r="O7" s="284">
        <f>SUM(O10:O36)</f>
        <v>1914.9339999999997</v>
      </c>
      <c r="P7" s="284">
        <f>SUM(P10:P36)</f>
        <v>1877.729</v>
      </c>
      <c r="Q7" s="299">
        <f>100*(P7/O7-1)</f>
        <v>-1.942886804453825</v>
      </c>
      <c r="R7" s="104" t="s">
        <v>84</v>
      </c>
      <c r="S7" s="72"/>
      <c r="U7" s="45"/>
    </row>
    <row r="8" spans="1:21" ht="12.75" customHeight="1">
      <c r="A8" s="16"/>
      <c r="B8" s="113" t="s">
        <v>28</v>
      </c>
      <c r="C8" s="106">
        <f aca="true" t="shared" si="2" ref="C8:H8">SUM(C10,C13:C14,C16:C20,C24,C27:C28,C30,C34:C36)</f>
        <v>1138.231</v>
      </c>
      <c r="D8" s="107">
        <f t="shared" si="2"/>
        <v>1147.34</v>
      </c>
      <c r="E8" s="107">
        <f t="shared" si="2"/>
        <v>1183.0330000000001</v>
      </c>
      <c r="F8" s="107">
        <f t="shared" si="2"/>
        <v>1233.7619999999997</v>
      </c>
      <c r="G8" s="107">
        <f t="shared" si="2"/>
        <v>1284.3239999999998</v>
      </c>
      <c r="H8" s="107">
        <f t="shared" si="2"/>
        <v>1328.8670000000004</v>
      </c>
      <c r="I8" s="107">
        <f aca="true" t="shared" si="3" ref="I8:N8">SUM(I10,I13:I14,I16:I20,I24,I27:I28,I30,I34:I36)</f>
        <v>1354.179</v>
      </c>
      <c r="J8" s="107">
        <f t="shared" si="3"/>
        <v>1385.4320000000002</v>
      </c>
      <c r="K8" s="107">
        <f t="shared" si="3"/>
        <v>1386.6719999999998</v>
      </c>
      <c r="L8" s="107">
        <f t="shared" si="3"/>
        <v>1475.0169999999998</v>
      </c>
      <c r="M8" s="107">
        <f t="shared" si="3"/>
        <v>1488.5590000000002</v>
      </c>
      <c r="N8" s="107">
        <f t="shared" si="3"/>
        <v>1503.877</v>
      </c>
      <c r="O8" s="107">
        <f>SUM(O10,O13:O14,O16:O20,O24,O27:O28,O30,O34:O36)</f>
        <v>1523.7169999999999</v>
      </c>
      <c r="P8" s="107">
        <f>SUM(P10,P13:P14,P16:P20,P24,P27:P28,P30,P34:P36)</f>
        <v>1467.243</v>
      </c>
      <c r="Q8" s="300">
        <f aca="true" t="shared" si="4" ref="Q8:Q42">100*(P8/O8-1)</f>
        <v>-3.7063312938032444</v>
      </c>
      <c r="R8" s="105" t="s">
        <v>28</v>
      </c>
      <c r="S8" s="71"/>
      <c r="U8" s="12"/>
    </row>
    <row r="9" spans="1:21" ht="12.75" customHeight="1">
      <c r="A9" s="16"/>
      <c r="B9" s="114" t="s">
        <v>99</v>
      </c>
      <c r="C9" s="117">
        <f aca="true" t="shared" si="5" ref="C9:N9">SUM(C11,C12,C15,C21:C23,C25:C26,C29,C31:C33)</f>
        <v>150.42900000000003</v>
      </c>
      <c r="D9" s="109">
        <f t="shared" si="5"/>
        <v>155.239</v>
      </c>
      <c r="E9" s="109">
        <f t="shared" si="5"/>
        <v>168.645</v>
      </c>
      <c r="F9" s="109">
        <f t="shared" si="5"/>
        <v>180.44199999999998</v>
      </c>
      <c r="G9" s="109">
        <f t="shared" si="5"/>
        <v>185.617</v>
      </c>
      <c r="H9" s="109">
        <f t="shared" si="5"/>
        <v>189.83900000000003</v>
      </c>
      <c r="I9" s="109">
        <f t="shared" si="5"/>
        <v>202.08800000000002</v>
      </c>
      <c r="J9" s="109">
        <f t="shared" si="5"/>
        <v>220.466</v>
      </c>
      <c r="K9" s="109">
        <f t="shared" si="5"/>
        <v>238.76500000000001</v>
      </c>
      <c r="L9" s="109">
        <f t="shared" si="5"/>
        <v>272.269</v>
      </c>
      <c r="M9" s="109">
        <f t="shared" si="5"/>
        <v>311.69499999999994</v>
      </c>
      <c r="N9" s="109">
        <f t="shared" si="5"/>
        <v>350.397</v>
      </c>
      <c r="O9" s="109">
        <f>SUM(O11,O12,O15,O21:O23,O25:O26,O29,O31:O33)</f>
        <v>391.2169999999999</v>
      </c>
      <c r="P9" s="109">
        <f>SUM(P11,P12,P15,P21:P23,P25:P26,P29,P31:P33)</f>
        <v>410.48600000000005</v>
      </c>
      <c r="Q9" s="301">
        <f t="shared" si="4"/>
        <v>4.925399458612523</v>
      </c>
      <c r="R9" s="108" t="s">
        <v>99</v>
      </c>
      <c r="S9" s="71"/>
      <c r="U9" s="12"/>
    </row>
    <row r="10" spans="1:21" ht="12.75" customHeight="1">
      <c r="A10" s="16"/>
      <c r="B10" s="18" t="s">
        <v>29</v>
      </c>
      <c r="C10" s="156">
        <v>45.6</v>
      </c>
      <c r="D10" s="156">
        <v>41.8</v>
      </c>
      <c r="E10" s="156">
        <v>43.7</v>
      </c>
      <c r="F10" s="157">
        <v>41.1</v>
      </c>
      <c r="G10" s="161">
        <v>37.284</v>
      </c>
      <c r="H10" s="156">
        <v>51.047</v>
      </c>
      <c r="I10" s="156">
        <v>53.182</v>
      </c>
      <c r="J10" s="156">
        <v>52.889</v>
      </c>
      <c r="K10" s="156">
        <v>50.542</v>
      </c>
      <c r="L10" s="156">
        <v>47.878</v>
      </c>
      <c r="M10" s="156">
        <v>43.847</v>
      </c>
      <c r="N10" s="156">
        <v>43.017</v>
      </c>
      <c r="O10" s="156">
        <v>42.085</v>
      </c>
      <c r="P10" s="156">
        <v>38.356</v>
      </c>
      <c r="Q10" s="302">
        <f t="shared" si="4"/>
        <v>-8.860639182606622</v>
      </c>
      <c r="R10" s="17" t="s">
        <v>29</v>
      </c>
      <c r="S10" s="26"/>
      <c r="U10" s="12"/>
    </row>
    <row r="11" spans="1:21" ht="12.75" customHeight="1">
      <c r="A11" s="16"/>
      <c r="B11" s="105" t="s">
        <v>11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98">
        <f t="shared" si="4"/>
        <v>4.772975929978118</v>
      </c>
      <c r="R11" s="105" t="s">
        <v>11</v>
      </c>
      <c r="S11" s="26"/>
      <c r="U11" s="12"/>
    </row>
    <row r="12" spans="1:21" ht="12.75" customHeight="1">
      <c r="A12" s="16"/>
      <c r="B12" s="18" t="s">
        <v>13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303">
        <f t="shared" si="4"/>
        <v>5.683305290708551</v>
      </c>
      <c r="R12" s="18" t="s">
        <v>13</v>
      </c>
      <c r="S12" s="26"/>
      <c r="U12" s="12"/>
    </row>
    <row r="13" spans="1:21" ht="12.75" customHeight="1">
      <c r="A13" s="16"/>
      <c r="B13" s="105" t="s">
        <v>24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98">
        <f t="shared" si="4"/>
        <v>-7.061068702290074</v>
      </c>
      <c r="R13" s="105" t="s">
        <v>24</v>
      </c>
      <c r="S13" s="26"/>
      <c r="U13" s="12"/>
    </row>
    <row r="14" spans="1:21" ht="12.75" customHeight="1">
      <c r="A14" s="16"/>
      <c r="B14" s="18" t="s">
        <v>30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303">
        <f t="shared" si="4"/>
        <v>-0.5575823926253554</v>
      </c>
      <c r="R14" s="18" t="s">
        <v>30</v>
      </c>
      <c r="S14" s="26"/>
      <c r="U14" s="12"/>
    </row>
    <row r="15" spans="1:21" ht="12.75" customHeight="1">
      <c r="A15" s="16"/>
      <c r="B15" s="105" t="s">
        <v>14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5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304">
        <f t="shared" si="4"/>
        <v>14.601838865513495</v>
      </c>
      <c r="R15" s="105" t="s">
        <v>14</v>
      </c>
      <c r="S15" s="26"/>
      <c r="U15" s="12"/>
    </row>
    <row r="16" spans="1:21" ht="12.75" customHeight="1">
      <c r="A16" s="16"/>
      <c r="B16" s="18" t="s">
        <v>33</v>
      </c>
      <c r="C16" s="156">
        <v>5.5</v>
      </c>
      <c r="D16" s="156">
        <v>6.3</v>
      </c>
      <c r="E16" s="156">
        <v>7</v>
      </c>
      <c r="F16" s="156">
        <v>8.2</v>
      </c>
      <c r="G16" s="156">
        <v>10.206</v>
      </c>
      <c r="H16" s="156">
        <v>12.275</v>
      </c>
      <c r="I16" s="156">
        <v>12.325</v>
      </c>
      <c r="J16" s="156">
        <v>14.275</v>
      </c>
      <c r="K16" s="156">
        <v>15.65</v>
      </c>
      <c r="L16" s="156">
        <v>17.144</v>
      </c>
      <c r="M16" s="156">
        <v>17.91</v>
      </c>
      <c r="N16" s="156">
        <v>17.454</v>
      </c>
      <c r="O16" s="156">
        <v>19.02</v>
      </c>
      <c r="P16" s="156">
        <v>17.402</v>
      </c>
      <c r="Q16" s="302">
        <f t="shared" si="4"/>
        <v>-8.506834910620388</v>
      </c>
      <c r="R16" s="18" t="s">
        <v>33</v>
      </c>
      <c r="S16" s="26"/>
      <c r="U16" s="12"/>
    </row>
    <row r="17" spans="1:21" ht="12.75" customHeight="1">
      <c r="A17" s="16"/>
      <c r="B17" s="105" t="s">
        <v>25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98">
        <f t="shared" si="4"/>
        <v>3.8105861609873726</v>
      </c>
      <c r="R17" s="105" t="s">
        <v>25</v>
      </c>
      <c r="S17" s="34"/>
      <c r="U17" s="12"/>
    </row>
    <row r="18" spans="1:21" ht="12.75" customHeight="1">
      <c r="A18" s="16"/>
      <c r="B18" s="18" t="s">
        <v>31</v>
      </c>
      <c r="C18" s="156">
        <v>101.6</v>
      </c>
      <c r="D18" s="157">
        <v>102</v>
      </c>
      <c r="E18" s="157">
        <v>109.5</v>
      </c>
      <c r="F18" s="157">
        <v>125</v>
      </c>
      <c r="G18" s="161">
        <v>134.262</v>
      </c>
      <c r="H18" s="156">
        <v>148.717</v>
      </c>
      <c r="I18" s="156">
        <v>161.045</v>
      </c>
      <c r="J18" s="156">
        <v>184.549</v>
      </c>
      <c r="K18" s="156">
        <v>192.596</v>
      </c>
      <c r="L18" s="156">
        <v>220.822</v>
      </c>
      <c r="M18" s="156">
        <v>233.23</v>
      </c>
      <c r="N18" s="156">
        <v>241.788</v>
      </c>
      <c r="O18" s="156">
        <v>258.875</v>
      </c>
      <c r="P18" s="156">
        <v>242.983</v>
      </c>
      <c r="Q18" s="169">
        <f t="shared" si="4"/>
        <v>-6.138870111057459</v>
      </c>
      <c r="R18" s="18" t="s">
        <v>31</v>
      </c>
      <c r="S18" s="26"/>
      <c r="U18" s="12"/>
    </row>
    <row r="19" spans="1:21" ht="12.75" customHeight="1">
      <c r="A19" s="16"/>
      <c r="B19" s="105" t="s">
        <v>32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304">
        <f t="shared" si="4"/>
        <v>-5.888363775705708</v>
      </c>
      <c r="R19" s="105" t="s">
        <v>32</v>
      </c>
      <c r="S19" s="26"/>
      <c r="U19" s="12"/>
    </row>
    <row r="20" spans="1:21" ht="12.75" customHeight="1">
      <c r="A20" s="16"/>
      <c r="B20" s="18" t="s">
        <v>34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62">
        <v>174.088</v>
      </c>
      <c r="L20" s="121">
        <v>196.98</v>
      </c>
      <c r="M20" s="121">
        <v>211.804</v>
      </c>
      <c r="N20" s="121">
        <v>187.065</v>
      </c>
      <c r="O20" s="122">
        <v>179.411</v>
      </c>
      <c r="P20" s="122">
        <v>175</v>
      </c>
      <c r="Q20" s="305">
        <f t="shared" si="4"/>
        <v>-2.458600643215858</v>
      </c>
      <c r="R20" s="18" t="s">
        <v>34</v>
      </c>
      <c r="S20" s="26"/>
      <c r="U20" s="12"/>
    </row>
    <row r="21" spans="1:21" ht="12.75" customHeight="1">
      <c r="A21" s="16"/>
      <c r="B21" s="105" t="s">
        <v>12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304">
        <f t="shared" si="4"/>
        <v>8.818635607321145</v>
      </c>
      <c r="R21" s="105" t="s">
        <v>12</v>
      </c>
      <c r="S21" s="26"/>
      <c r="U21" s="12"/>
    </row>
    <row r="22" spans="1:21" ht="12.75" customHeight="1">
      <c r="A22" s="16"/>
      <c r="B22" s="18" t="s">
        <v>16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303">
        <f t="shared" si="4"/>
        <v>-6.51317782490155</v>
      </c>
      <c r="R22" s="18" t="s">
        <v>16</v>
      </c>
      <c r="S22" s="26"/>
      <c r="U22" s="12"/>
    </row>
    <row r="23" spans="1:21" ht="12.75" customHeight="1">
      <c r="A23" s="16"/>
      <c r="B23" s="105" t="s">
        <v>17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304">
        <f t="shared" si="4"/>
        <v>0.6953348456455455</v>
      </c>
      <c r="R23" s="105" t="s">
        <v>17</v>
      </c>
      <c r="S23" s="26"/>
      <c r="U23" s="12"/>
    </row>
    <row r="24" spans="1:21" ht="12.75" customHeight="1">
      <c r="A24" s="16"/>
      <c r="B24" s="18" t="s">
        <v>35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10.533</v>
      </c>
      <c r="Q24" s="168">
        <f t="shared" si="4"/>
        <v>10.154779334867193</v>
      </c>
      <c r="R24" s="18" t="s">
        <v>35</v>
      </c>
      <c r="S24" s="26"/>
      <c r="U24" s="12"/>
    </row>
    <row r="25" spans="1:21" ht="12.75" customHeight="1">
      <c r="A25" s="16"/>
      <c r="B25" s="105" t="s">
        <v>15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304">
        <f t="shared" si="4"/>
        <v>-0.12847367686077416</v>
      </c>
      <c r="R25" s="105" t="s">
        <v>15</v>
      </c>
      <c r="S25" s="26"/>
      <c r="U25" s="12"/>
    </row>
    <row r="26" spans="1:21" ht="12.75" customHeight="1">
      <c r="A26" s="16"/>
      <c r="B26" s="18" t="s">
        <v>18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305">
        <f t="shared" si="4"/>
        <v>0</v>
      </c>
      <c r="R26" s="18" t="s">
        <v>18</v>
      </c>
      <c r="S26" s="34"/>
      <c r="U26" s="12"/>
    </row>
    <row r="27" spans="1:21" ht="12.75" customHeight="1">
      <c r="A27" s="16"/>
      <c r="B27" s="64" t="s">
        <v>26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304">
        <f t="shared" si="4"/>
        <v>0.3054375585529012</v>
      </c>
      <c r="R27" s="64" t="s">
        <v>26</v>
      </c>
      <c r="S27" s="26"/>
      <c r="U27" s="12"/>
    </row>
    <row r="28" spans="1:21" ht="12.75" customHeight="1">
      <c r="A28" s="16"/>
      <c r="B28" s="18" t="s">
        <v>36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34.327</v>
      </c>
      <c r="Q28" s="303">
        <f t="shared" si="4"/>
        <v>-8.221485482059787</v>
      </c>
      <c r="R28" s="18" t="s">
        <v>36</v>
      </c>
      <c r="S28" s="26"/>
      <c r="U28" s="12"/>
    </row>
    <row r="29" spans="1:21" ht="12.75" customHeight="1">
      <c r="A29" s="16"/>
      <c r="B29" s="105" t="s">
        <v>19</v>
      </c>
      <c r="C29" s="129">
        <v>51.2</v>
      </c>
      <c r="D29" s="129">
        <v>56.513000000000005</v>
      </c>
      <c r="E29" s="129">
        <v>63.684</v>
      </c>
      <c r="F29" s="129">
        <v>69.542</v>
      </c>
      <c r="G29" s="129">
        <v>70.452</v>
      </c>
      <c r="H29" s="129">
        <v>75.023</v>
      </c>
      <c r="I29" s="129">
        <v>77.228</v>
      </c>
      <c r="J29" s="129">
        <v>80.318</v>
      </c>
      <c r="K29" s="175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304">
        <f t="shared" si="4"/>
        <v>9.31276055647241</v>
      </c>
      <c r="R29" s="105" t="s">
        <v>19</v>
      </c>
      <c r="S29" s="26"/>
      <c r="U29" s="12"/>
    </row>
    <row r="30" spans="1:21" ht="12.75" customHeight="1">
      <c r="A30" s="16"/>
      <c r="B30" s="18" t="s">
        <v>37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7">
        <v>39.76</v>
      </c>
      <c r="L30" s="156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68">
        <f t="shared" si="4"/>
        <v>-15.39293985239054</v>
      </c>
      <c r="R30" s="18" t="s">
        <v>37</v>
      </c>
      <c r="S30" s="26"/>
      <c r="U30" s="12"/>
    </row>
    <row r="31" spans="1:21" ht="12.75" customHeight="1">
      <c r="A31" s="16"/>
      <c r="B31" s="105" t="s">
        <v>20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98">
        <f t="shared" si="4"/>
        <v>-5.271823130165975</v>
      </c>
      <c r="R31" s="105" t="s">
        <v>20</v>
      </c>
      <c r="S31" s="26"/>
      <c r="U31" s="12"/>
    </row>
    <row r="32" spans="1:21" ht="12.75" customHeight="1">
      <c r="A32" s="16"/>
      <c r="B32" s="18" t="s">
        <v>22</v>
      </c>
      <c r="C32" s="157">
        <v>3.3</v>
      </c>
      <c r="D32" s="157">
        <v>3.5</v>
      </c>
      <c r="E32" s="157">
        <v>3.9</v>
      </c>
      <c r="F32" s="157">
        <v>3.8</v>
      </c>
      <c r="G32" s="157">
        <v>4.2</v>
      </c>
      <c r="H32" s="156">
        <v>5.3</v>
      </c>
      <c r="I32" s="156">
        <v>7.035</v>
      </c>
      <c r="J32" s="156">
        <v>6.609</v>
      </c>
      <c r="K32" s="156">
        <v>7.04</v>
      </c>
      <c r="L32" s="156">
        <v>9.007</v>
      </c>
      <c r="M32" s="156">
        <v>11.032</v>
      </c>
      <c r="N32" s="156">
        <v>12.112</v>
      </c>
      <c r="O32" s="156">
        <v>13.734</v>
      </c>
      <c r="P32" s="156">
        <v>16.261</v>
      </c>
      <c r="Q32" s="302">
        <f t="shared" si="4"/>
        <v>18.399592252803252</v>
      </c>
      <c r="R32" s="18" t="s">
        <v>22</v>
      </c>
      <c r="S32" s="26"/>
      <c r="U32" s="12"/>
    </row>
    <row r="33" spans="1:21" ht="12.75" customHeight="1">
      <c r="A33" s="16"/>
      <c r="B33" s="105" t="s">
        <v>21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304">
        <f t="shared" si="4"/>
        <v>7.794837806988486</v>
      </c>
      <c r="R33" s="105" t="s">
        <v>21</v>
      </c>
      <c r="S33" s="26"/>
      <c r="U33" s="12"/>
    </row>
    <row r="34" spans="1:21" ht="12.75" customHeight="1">
      <c r="A34" s="16"/>
      <c r="B34" s="18" t="s">
        <v>38</v>
      </c>
      <c r="C34" s="156">
        <v>24.5</v>
      </c>
      <c r="D34" s="156">
        <v>25</v>
      </c>
      <c r="E34" s="156">
        <v>25.7</v>
      </c>
      <c r="F34" s="156">
        <v>28.1</v>
      </c>
      <c r="G34" s="156">
        <v>29.656</v>
      </c>
      <c r="H34" s="156">
        <v>31.975</v>
      </c>
      <c r="I34" s="156">
        <v>30.478</v>
      </c>
      <c r="J34" s="156">
        <v>31.967</v>
      </c>
      <c r="K34" s="156">
        <v>30.926</v>
      </c>
      <c r="L34" s="156">
        <v>32.29</v>
      </c>
      <c r="M34" s="156">
        <v>31.857</v>
      </c>
      <c r="N34" s="156">
        <v>29.715</v>
      </c>
      <c r="O34" s="156">
        <v>29.811</v>
      </c>
      <c r="P34" s="156">
        <v>29.856</v>
      </c>
      <c r="Q34" s="302">
        <f t="shared" si="4"/>
        <v>0.150950991244847</v>
      </c>
      <c r="R34" s="18" t="s">
        <v>38</v>
      </c>
      <c r="S34" s="26"/>
      <c r="U34" s="12"/>
    </row>
    <row r="35" spans="1:21" ht="12.75" customHeight="1">
      <c r="A35" s="16"/>
      <c r="B35" s="105" t="s">
        <v>39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304">
        <f t="shared" si="4"/>
        <v>4.51406018746916</v>
      </c>
      <c r="R35" s="105" t="s">
        <v>39</v>
      </c>
      <c r="S35" s="26"/>
      <c r="U35" s="12"/>
    </row>
    <row r="36" spans="1:21" ht="12.75" customHeight="1">
      <c r="A36" s="16"/>
      <c r="B36" s="19" t="s">
        <v>27</v>
      </c>
      <c r="C36" s="156">
        <v>161.5</v>
      </c>
      <c r="D36" s="156">
        <v>166.2</v>
      </c>
      <c r="E36" s="157">
        <v>169.2</v>
      </c>
      <c r="F36" s="157">
        <v>172</v>
      </c>
      <c r="G36" s="156">
        <v>166.26</v>
      </c>
      <c r="H36" s="156">
        <v>165.621</v>
      </c>
      <c r="I36" s="156">
        <v>163.264</v>
      </c>
      <c r="J36" s="156">
        <v>164.035</v>
      </c>
      <c r="K36" s="156">
        <v>167.143</v>
      </c>
      <c r="L36" s="156">
        <v>167.839</v>
      </c>
      <c r="M36" s="156">
        <v>167.533</v>
      </c>
      <c r="N36" s="156">
        <v>172.181</v>
      </c>
      <c r="O36" s="156">
        <v>171.477</v>
      </c>
      <c r="P36" s="156">
        <v>163</v>
      </c>
      <c r="Q36" s="306">
        <f t="shared" si="4"/>
        <v>-4.943520122232137</v>
      </c>
      <c r="R36" s="19" t="s">
        <v>27</v>
      </c>
      <c r="S36" s="26"/>
      <c r="U36" s="12"/>
    </row>
    <row r="37" spans="1:21" ht="12.75" customHeight="1">
      <c r="A37" s="16"/>
      <c r="B37" s="105" t="s">
        <v>45</v>
      </c>
      <c r="C37" s="195" t="s">
        <v>41</v>
      </c>
      <c r="D37" s="173" t="s">
        <v>41</v>
      </c>
      <c r="E37" s="173" t="s">
        <v>41</v>
      </c>
      <c r="F37" s="173" t="s">
        <v>41</v>
      </c>
      <c r="G37" s="173">
        <v>2.424</v>
      </c>
      <c r="H37" s="173">
        <v>2.856</v>
      </c>
      <c r="I37" s="173">
        <v>6.7829999999999995</v>
      </c>
      <c r="J37" s="173">
        <v>7.413</v>
      </c>
      <c r="K37" s="173">
        <v>8.241</v>
      </c>
      <c r="L37" s="173">
        <v>8.818999999999999</v>
      </c>
      <c r="M37" s="173">
        <v>9.328</v>
      </c>
      <c r="N37" s="173">
        <v>10.175</v>
      </c>
      <c r="O37" s="173">
        <v>10.502</v>
      </c>
      <c r="P37" s="173">
        <v>11.045</v>
      </c>
      <c r="Q37" s="200">
        <f t="shared" si="4"/>
        <v>5.1704437250047475</v>
      </c>
      <c r="R37" s="105" t="s">
        <v>45</v>
      </c>
      <c r="S37" s="26"/>
      <c r="U37" s="12"/>
    </row>
    <row r="38" spans="1:21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302">
        <f t="shared" si="4"/>
        <v>-33.00774671606601</v>
      </c>
      <c r="R38" s="18" t="s">
        <v>4</v>
      </c>
      <c r="S38" s="26"/>
      <c r="U38" s="12"/>
    </row>
    <row r="39" spans="1:21" ht="12.75" customHeight="1">
      <c r="A39" s="16"/>
      <c r="B39" s="108" t="s">
        <v>102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307">
        <f t="shared" si="4"/>
        <v>0.3336458390779118</v>
      </c>
      <c r="R39" s="108" t="s">
        <v>102</v>
      </c>
      <c r="S39" s="26"/>
      <c r="U39" s="12"/>
    </row>
    <row r="40" spans="1:21" ht="12.75" customHeight="1">
      <c r="A40" s="16"/>
      <c r="B40" s="18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</v>
      </c>
      <c r="Q40" s="302">
        <f t="shared" si="4"/>
        <v>-3.0303030303030165</v>
      </c>
      <c r="R40" s="18" t="s">
        <v>9</v>
      </c>
      <c r="S40" s="26"/>
      <c r="U40" s="12"/>
    </row>
    <row r="41" spans="1:21" ht="12.75" customHeight="1">
      <c r="A41" s="16"/>
      <c r="B41" s="105" t="s">
        <v>40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98">
        <f t="shared" si="4"/>
        <v>6.3019354838709685</v>
      </c>
      <c r="R41" s="105" t="s">
        <v>40</v>
      </c>
      <c r="S41" s="26"/>
      <c r="U41" s="12"/>
    </row>
    <row r="42" spans="1:21" ht="12.75" customHeight="1">
      <c r="A42" s="16"/>
      <c r="B42" s="19" t="s">
        <v>101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124">
        <v>10.2793</v>
      </c>
      <c r="Q42" s="171">
        <f t="shared" si="4"/>
        <v>-0.2619756847753396</v>
      </c>
      <c r="R42" s="19" t="s">
        <v>101</v>
      </c>
      <c r="S42" s="26"/>
      <c r="U42" s="12"/>
    </row>
    <row r="43" spans="2:19" ht="15" customHeight="1">
      <c r="B43" s="415" t="s">
        <v>112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 customHeight="1">
      <c r="B44" s="11" t="s">
        <v>3</v>
      </c>
    </row>
    <row r="45" ht="12.75" customHeight="1">
      <c r="B45" s="3" t="s">
        <v>125</v>
      </c>
    </row>
    <row r="46" ht="12.75" customHeight="1">
      <c r="B46" s="135" t="s">
        <v>128</v>
      </c>
    </row>
    <row r="47" spans="2:13" ht="12.75" customHeight="1">
      <c r="B47" s="136" t="s">
        <v>103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18" ht="24.75" customHeight="1">
      <c r="B48" s="414" t="s">
        <v>121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</row>
  </sheetData>
  <mergeCells count="4">
    <mergeCell ref="B2:R2"/>
    <mergeCell ref="B3:R3"/>
    <mergeCell ref="B48:R48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AA10" sqref="AA10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Y1" s="44" t="s">
        <v>47</v>
      </c>
    </row>
    <row r="2" spans="1:25" s="54" customFormat="1" ht="30" customHeight="1">
      <c r="A2" s="95"/>
      <c r="B2" s="416" t="s">
        <v>52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5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W3" s="52" t="s">
        <v>69</v>
      </c>
      <c r="X3" s="6"/>
      <c r="Y3" s="52"/>
    </row>
    <row r="4" spans="2:25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</row>
    <row r="5" spans="2:25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4"/>
    </row>
    <row r="6" spans="2:25" ht="12.75" customHeight="1">
      <c r="B6" s="104" t="s">
        <v>84</v>
      </c>
      <c r="C6" s="185">
        <f>55.9+SUM(C9:C35)</f>
        <v>551.069</v>
      </c>
      <c r="D6" s="185">
        <f>66.2+SUM(D9:D35)</f>
        <v>641.432</v>
      </c>
      <c r="E6" s="144">
        <f>59.4+SUM(E9:E35)</f>
        <v>526.343</v>
      </c>
      <c r="F6" s="144">
        <f>45.8+SUM(F9:F35)</f>
        <v>443.929011</v>
      </c>
      <c r="G6" s="144">
        <f>44+SUM(G9:G35)</f>
        <v>394.464591</v>
      </c>
      <c r="H6" s="144">
        <f>SUM(H9:H35)</f>
        <v>371.69550899999996</v>
      </c>
      <c r="I6" s="144">
        <f>SUM(I9:I35)</f>
        <v>380.15225799999996</v>
      </c>
      <c r="J6" s="379">
        <f>SUM(J9:J35)</f>
        <v>386.14406800000006</v>
      </c>
      <c r="K6" s="379">
        <f>SUM(K9:K35)</f>
        <v>392.1460000000001</v>
      </c>
      <c r="L6" s="379">
        <f aca="true" t="shared" si="0" ref="L6:U6">SUM(L9:L35)</f>
        <v>409.5369999999999</v>
      </c>
      <c r="M6" s="379">
        <f t="shared" si="0"/>
        <v>392.506525</v>
      </c>
      <c r="N6" s="379">
        <f t="shared" si="0"/>
        <v>383.62501500293985</v>
      </c>
      <c r="O6" s="379">
        <f t="shared" si="0"/>
        <v>403.6757546422241</v>
      </c>
      <c r="P6" s="379">
        <f t="shared" si="0"/>
        <v>385.9743022522569</v>
      </c>
      <c r="Q6" s="379">
        <f t="shared" si="0"/>
        <v>383.777192553031</v>
      </c>
      <c r="R6" s="379">
        <f t="shared" si="0"/>
        <v>391.888268754624</v>
      </c>
      <c r="S6" s="379">
        <f t="shared" si="0"/>
        <v>416.271370260433</v>
      </c>
      <c r="T6" s="379">
        <f t="shared" si="0"/>
        <v>414.13418045013304</v>
      </c>
      <c r="U6" s="379">
        <f t="shared" si="0"/>
        <v>440.39892025294506</v>
      </c>
      <c r="V6" s="379">
        <f>SUM(V9:V35)</f>
        <v>453.085</v>
      </c>
      <c r="W6" s="379">
        <f>SUM(W9:W35)</f>
        <v>442.739</v>
      </c>
      <c r="X6" s="334">
        <f>100*(W6/V6-1)</f>
        <v>-2.283456746526591</v>
      </c>
      <c r="Y6" s="115" t="s">
        <v>84</v>
      </c>
    </row>
    <row r="7" spans="1:25" ht="12.75" customHeight="1">
      <c r="A7" s="16"/>
      <c r="B7" s="105" t="s">
        <v>28</v>
      </c>
      <c r="C7" s="186">
        <f aca="true" t="shared" si="1" ref="C7:J7">SUM(C9,C12:C13,C15:C19,C23,C26:C27,C29,C33:C35)</f>
        <v>282.459</v>
      </c>
      <c r="D7" s="186">
        <f t="shared" si="1"/>
        <v>289.822</v>
      </c>
      <c r="E7" s="145">
        <f t="shared" si="1"/>
        <v>256.51099999999997</v>
      </c>
      <c r="F7" s="145">
        <f t="shared" si="1"/>
        <v>235.66801100000004</v>
      </c>
      <c r="G7" s="145">
        <f t="shared" si="1"/>
        <v>223.087591</v>
      </c>
      <c r="H7" s="145">
        <f t="shared" si="1"/>
        <v>205.43950900000002</v>
      </c>
      <c r="I7" s="145">
        <f t="shared" si="1"/>
        <v>219.61625800000002</v>
      </c>
      <c r="J7" s="380">
        <f t="shared" si="1"/>
        <v>222.73306799999997</v>
      </c>
      <c r="K7" s="380">
        <f>SUM(K9,K12:K13,K15:K19,K23,K26:K27,K29,K33:K35)</f>
        <v>223.77200000000002</v>
      </c>
      <c r="L7" s="380">
        <f aca="true" t="shared" si="2" ref="L7:U7">SUM(L9,L12:L13,L15:L19,L23,L26:L27,L29,L33:L35)</f>
        <v>240.20200000000006</v>
      </c>
      <c r="M7" s="380">
        <f t="shared" si="2"/>
        <v>239.98352500000004</v>
      </c>
      <c r="N7" s="380">
        <f t="shared" si="2"/>
        <v>243.43601500293997</v>
      </c>
      <c r="O7" s="380">
        <f t="shared" si="2"/>
        <v>257.067754642224</v>
      </c>
      <c r="P7" s="380">
        <f t="shared" si="2"/>
        <v>248.42730225225702</v>
      </c>
      <c r="Q7" s="380">
        <f t="shared" si="2"/>
        <v>245.78019255303101</v>
      </c>
      <c r="R7" s="380">
        <f t="shared" si="2"/>
        <v>248.4792687546241</v>
      </c>
      <c r="S7" s="380">
        <f t="shared" si="2"/>
        <v>264.271370260433</v>
      </c>
      <c r="T7" s="380">
        <f t="shared" si="2"/>
        <v>262.878180450133</v>
      </c>
      <c r="U7" s="380">
        <f t="shared" si="2"/>
        <v>286.13792025294504</v>
      </c>
      <c r="V7" s="380">
        <f>SUM(V9,V12:V13,V15:V19,V23,V26:V27,V29,V33:V35)</f>
        <v>297.116</v>
      </c>
      <c r="W7" s="380">
        <f>SUM(W9,W12:W13,W15:W19,W23,W26:W27,W29,W33:W35)</f>
        <v>292.365</v>
      </c>
      <c r="X7" s="336">
        <f aca="true" t="shared" si="3" ref="X7:X41">100*(W7/V7-1)</f>
        <v>-1.5990387592724642</v>
      </c>
      <c r="Y7" s="116" t="s">
        <v>28</v>
      </c>
    </row>
    <row r="8" spans="1:25" ht="12.75" customHeight="1">
      <c r="A8" s="16"/>
      <c r="B8" s="108" t="s">
        <v>99</v>
      </c>
      <c r="C8" s="187">
        <f>55.9+SUM(C10,C11,C14,C20:C22,C24:C25,C28,C30:C32)</f>
        <v>268.61</v>
      </c>
      <c r="D8" s="187">
        <f>66.2+SUM(D10,D11,D14,D20:D22,D24:D25,D28,D30:D32)</f>
        <v>351.61</v>
      </c>
      <c r="E8" s="146">
        <f>59.4+SUM(E10,E11,E14,E20:E22,E24:E25,E28,E30:E32)</f>
        <v>269.832</v>
      </c>
      <c r="F8" s="146">
        <f>45.8+SUM(F10,F11,F14,F20:F22,F24:F25,F28,F30:F32)</f>
        <v>208.26099999999997</v>
      </c>
      <c r="G8" s="146">
        <f>44+SUM(G10,G11,G14,G20:G22,G24:G25,G28,G30:G32)</f>
        <v>171.377</v>
      </c>
      <c r="H8" s="146">
        <f>SUM(H10,H11,H14,H20:H22,H24:H25,H28,H30:H32)</f>
        <v>166.25599999999997</v>
      </c>
      <c r="I8" s="146">
        <f>SUM(I10,I11,I14,I20:I22,I24:I25,I28,I30:I32)</f>
        <v>160.536</v>
      </c>
      <c r="J8" s="382">
        <f aca="true" t="shared" si="4" ref="J8:U8">SUM(J10,J11,J14,J20:J22,J24:J25,J28,J30:J32)</f>
        <v>163.411</v>
      </c>
      <c r="K8" s="382">
        <f t="shared" si="4"/>
        <v>168.374</v>
      </c>
      <c r="L8" s="382">
        <f t="shared" si="4"/>
        <v>169.335</v>
      </c>
      <c r="M8" s="382">
        <f t="shared" si="4"/>
        <v>152.52300000000002</v>
      </c>
      <c r="N8" s="382">
        <f t="shared" si="4"/>
        <v>140.189</v>
      </c>
      <c r="O8" s="382">
        <f t="shared" si="4"/>
        <v>146.608</v>
      </c>
      <c r="P8" s="382">
        <f t="shared" si="4"/>
        <v>137.547</v>
      </c>
      <c r="Q8" s="382">
        <f t="shared" si="4"/>
        <v>137.997</v>
      </c>
      <c r="R8" s="382">
        <f t="shared" si="4"/>
        <v>143.409</v>
      </c>
      <c r="S8" s="382">
        <f t="shared" si="4"/>
        <v>152</v>
      </c>
      <c r="T8" s="382">
        <f t="shared" si="4"/>
        <v>151.256</v>
      </c>
      <c r="U8" s="382">
        <f t="shared" si="4"/>
        <v>154.261</v>
      </c>
      <c r="V8" s="382">
        <f>SUM(V10,V11,V14,V20:V22,V24:V25,V28,V30:V32)</f>
        <v>155.969</v>
      </c>
      <c r="W8" s="382">
        <f>SUM(W10,W11,W14,W20:W22,W24:W25,W28,W30:W32)</f>
        <v>150.374</v>
      </c>
      <c r="X8" s="338">
        <f t="shared" si="3"/>
        <v>-3.587251312760864</v>
      </c>
      <c r="Y8" s="133" t="s">
        <v>99</v>
      </c>
    </row>
    <row r="9" spans="1:25" ht="12.75" customHeight="1">
      <c r="A9" s="16"/>
      <c r="B9" s="18" t="s">
        <v>29</v>
      </c>
      <c r="C9" s="188">
        <v>7.876</v>
      </c>
      <c r="D9" s="188">
        <v>8.037</v>
      </c>
      <c r="E9" s="189">
        <v>8.37</v>
      </c>
      <c r="F9" s="189">
        <v>8.203</v>
      </c>
      <c r="G9" s="189">
        <v>8.361</v>
      </c>
      <c r="H9" s="189">
        <v>7.596</v>
      </c>
      <c r="I9" s="189">
        <v>8.097</v>
      </c>
      <c r="J9" s="189">
        <v>7.304</v>
      </c>
      <c r="K9" s="189">
        <v>7.244</v>
      </c>
      <c r="L9" s="189">
        <v>7.465</v>
      </c>
      <c r="M9" s="189">
        <v>7.6</v>
      </c>
      <c r="N9" s="189">
        <v>7.392</v>
      </c>
      <c r="O9" s="189">
        <v>7.674</v>
      </c>
      <c r="P9" s="189">
        <v>7.081</v>
      </c>
      <c r="Q9" s="189">
        <v>7.297</v>
      </c>
      <c r="R9" s="189">
        <v>7.293</v>
      </c>
      <c r="S9" s="189">
        <v>7.691</v>
      </c>
      <c r="T9" s="189">
        <v>8.13</v>
      </c>
      <c r="U9" s="189">
        <v>8.572</v>
      </c>
      <c r="V9" s="189">
        <v>9.258</v>
      </c>
      <c r="W9" s="190">
        <v>8.572</v>
      </c>
      <c r="X9" s="302">
        <f t="shared" si="3"/>
        <v>-7.409807733851803</v>
      </c>
      <c r="Y9" s="18" t="s">
        <v>29</v>
      </c>
    </row>
    <row r="10" spans="1:25" ht="12.75" customHeight="1">
      <c r="A10" s="16"/>
      <c r="B10" s="105" t="s">
        <v>11</v>
      </c>
      <c r="C10" s="179">
        <v>13.7</v>
      </c>
      <c r="D10" s="179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74">
        <v>4.693</v>
      </c>
      <c r="X10" s="198">
        <f t="shared" si="3"/>
        <v>-10.45601984354131</v>
      </c>
      <c r="Y10" s="105" t="s">
        <v>11</v>
      </c>
    </row>
    <row r="11" spans="1:25" ht="12.75" customHeight="1">
      <c r="A11" s="16"/>
      <c r="B11" s="18" t="s">
        <v>13</v>
      </c>
      <c r="C11" s="163"/>
      <c r="D11" s="163"/>
      <c r="E11" s="164"/>
      <c r="F11" s="121"/>
      <c r="G11" s="121"/>
      <c r="H11" s="121">
        <v>25.2</v>
      </c>
      <c r="I11" s="162">
        <v>22.8</v>
      </c>
      <c r="J11" s="121">
        <v>22.623</v>
      </c>
      <c r="K11" s="162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58">
        <v>15.437</v>
      </c>
      <c r="X11" s="303">
        <f t="shared" si="3"/>
        <v>-5.3177134445534735</v>
      </c>
      <c r="Y11" s="18" t="s">
        <v>13</v>
      </c>
    </row>
    <row r="12" spans="1:25" ht="12.75" customHeight="1">
      <c r="A12" s="16"/>
      <c r="B12" s="105" t="s">
        <v>24</v>
      </c>
      <c r="C12" s="179">
        <v>1.701</v>
      </c>
      <c r="D12" s="179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74">
        <v>1.866</v>
      </c>
      <c r="X12" s="198">
        <f t="shared" si="3"/>
        <v>4.890387858347389</v>
      </c>
      <c r="Y12" s="105" t="s">
        <v>24</v>
      </c>
    </row>
    <row r="13" spans="1:25" ht="12.75" customHeight="1">
      <c r="A13" s="16"/>
      <c r="B13" s="18" t="s">
        <v>30</v>
      </c>
      <c r="C13" s="165">
        <v>113</v>
      </c>
      <c r="D13" s="165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62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58">
        <v>115.652</v>
      </c>
      <c r="X13" s="303">
        <f t="shared" si="3"/>
        <v>0.9047681368058447</v>
      </c>
      <c r="Y13" s="18" t="s">
        <v>30</v>
      </c>
    </row>
    <row r="14" spans="1:25" ht="12.75" customHeight="1">
      <c r="A14" s="16"/>
      <c r="B14" s="105" t="s">
        <v>14</v>
      </c>
      <c r="C14" s="179">
        <v>5.7</v>
      </c>
      <c r="D14" s="179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74">
        <v>5.943</v>
      </c>
      <c r="X14" s="304">
        <f t="shared" si="3"/>
        <v>-29.501779359430603</v>
      </c>
      <c r="Y14" s="105" t="s">
        <v>14</v>
      </c>
    </row>
    <row r="15" spans="1:25" ht="12.75" customHeight="1">
      <c r="A15" s="16"/>
      <c r="B15" s="18" t="s">
        <v>33</v>
      </c>
      <c r="C15" s="166">
        <v>0.545</v>
      </c>
      <c r="D15" s="166">
        <v>0.637</v>
      </c>
      <c r="E15" s="156">
        <v>0.589</v>
      </c>
      <c r="F15" s="156">
        <v>0.603</v>
      </c>
      <c r="G15" s="156">
        <v>0.633</v>
      </c>
      <c r="H15" s="156">
        <v>0.575</v>
      </c>
      <c r="I15" s="156">
        <v>0.569</v>
      </c>
      <c r="J15" s="156">
        <v>0.602</v>
      </c>
      <c r="K15" s="156">
        <v>0.57</v>
      </c>
      <c r="L15" s="156">
        <v>0.522</v>
      </c>
      <c r="M15" s="156">
        <v>0.466</v>
      </c>
      <c r="N15" s="156">
        <v>0.526</v>
      </c>
      <c r="O15" s="156">
        <v>0.491</v>
      </c>
      <c r="P15" s="156">
        <v>0.516</v>
      </c>
      <c r="Q15" s="156">
        <v>0.426</v>
      </c>
      <c r="R15" s="156">
        <v>0.398</v>
      </c>
      <c r="S15" s="156">
        <v>0.399</v>
      </c>
      <c r="T15" s="156">
        <v>0.303</v>
      </c>
      <c r="U15" s="156">
        <v>0.205</v>
      </c>
      <c r="V15" s="156">
        <v>0.129</v>
      </c>
      <c r="W15" s="191">
        <v>0.103</v>
      </c>
      <c r="X15" s="302">
        <f t="shared" si="3"/>
        <v>-20.155038759689926</v>
      </c>
      <c r="Y15" s="18" t="s">
        <v>33</v>
      </c>
    </row>
    <row r="16" spans="1:25" ht="12.75" customHeight="1">
      <c r="A16" s="16"/>
      <c r="B16" s="105" t="s">
        <v>25</v>
      </c>
      <c r="C16" s="179">
        <v>0.688</v>
      </c>
      <c r="D16" s="179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74">
        <v>0.786</v>
      </c>
      <c r="X16" s="198">
        <f t="shared" si="3"/>
        <v>-5.868263473053881</v>
      </c>
      <c r="Y16" s="105" t="s">
        <v>25</v>
      </c>
    </row>
    <row r="17" spans="1:25" ht="12.75" customHeight="1">
      <c r="A17" s="16"/>
      <c r="B17" s="18" t="s">
        <v>31</v>
      </c>
      <c r="C17" s="166">
        <v>9.741</v>
      </c>
      <c r="D17" s="161">
        <v>11.281</v>
      </c>
      <c r="E17" s="156">
        <v>11.153</v>
      </c>
      <c r="F17" s="156">
        <v>10.462</v>
      </c>
      <c r="G17" s="156">
        <v>9.205</v>
      </c>
      <c r="H17" s="156">
        <v>7.836</v>
      </c>
      <c r="I17" s="156">
        <v>9.089</v>
      </c>
      <c r="J17" s="156">
        <v>10.955</v>
      </c>
      <c r="K17" s="156">
        <v>11.125</v>
      </c>
      <c r="L17" s="156">
        <v>12.511</v>
      </c>
      <c r="M17" s="156">
        <v>11.322</v>
      </c>
      <c r="N17" s="156">
        <v>11.487</v>
      </c>
      <c r="O17" s="156">
        <v>11.614</v>
      </c>
      <c r="P17" s="156">
        <v>11.717</v>
      </c>
      <c r="Q17" s="156">
        <v>11.569</v>
      </c>
      <c r="R17" s="156">
        <v>11.743</v>
      </c>
      <c r="S17" s="156">
        <v>11.874</v>
      </c>
      <c r="T17" s="156">
        <v>11.635</v>
      </c>
      <c r="U17" s="156">
        <v>11.634</v>
      </c>
      <c r="V17" s="156">
        <v>11.064</v>
      </c>
      <c r="W17" s="191">
        <v>10.477</v>
      </c>
      <c r="X17" s="169">
        <f t="shared" si="3"/>
        <v>-5.305495300072305</v>
      </c>
      <c r="Y17" s="18" t="s">
        <v>31</v>
      </c>
    </row>
    <row r="18" spans="1:25" ht="12.75" customHeight="1">
      <c r="A18" s="16"/>
      <c r="B18" s="105" t="s">
        <v>32</v>
      </c>
      <c r="C18" s="179">
        <v>67.586</v>
      </c>
      <c r="D18" s="179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74">
        <v>40.627</v>
      </c>
      <c r="X18" s="304">
        <f t="shared" si="3"/>
        <v>-4.682917673556519</v>
      </c>
      <c r="Y18" s="105" t="s">
        <v>32</v>
      </c>
    </row>
    <row r="19" spans="1:25" ht="12.75" customHeight="1">
      <c r="A19" s="16"/>
      <c r="B19" s="18" t="s">
        <v>34</v>
      </c>
      <c r="C19" s="165">
        <v>18.069</v>
      </c>
      <c r="D19" s="165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58">
        <v>23.831</v>
      </c>
      <c r="X19" s="168">
        <f t="shared" si="3"/>
        <v>-5.750444927822818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74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15.52</v>
      </c>
      <c r="D21" s="165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58">
        <v>19.581</v>
      </c>
      <c r="X21" s="303">
        <f t="shared" si="3"/>
        <v>6.92404302954186</v>
      </c>
      <c r="Y21" s="18" t="s">
        <v>16</v>
      </c>
    </row>
    <row r="22" spans="1:25" ht="12.75" customHeight="1">
      <c r="A22" s="16"/>
      <c r="B22" s="105" t="s">
        <v>17</v>
      </c>
      <c r="C22" s="179">
        <v>13.57</v>
      </c>
      <c r="D22" s="179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5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74">
        <v>14.748</v>
      </c>
      <c r="X22" s="304">
        <f t="shared" si="3"/>
        <v>2.609058651638496</v>
      </c>
      <c r="Y22" s="105" t="s">
        <v>17</v>
      </c>
    </row>
    <row r="23" spans="1:25" ht="12.75" customHeight="1">
      <c r="A23" s="16"/>
      <c r="B23" s="18" t="s">
        <v>35</v>
      </c>
      <c r="C23" s="165">
        <v>0.763</v>
      </c>
      <c r="D23" s="165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58">
        <v>0.279</v>
      </c>
      <c r="X23" s="168">
        <f t="shared" si="3"/>
        <v>-2.7874564459930196</v>
      </c>
      <c r="Y23" s="18" t="s">
        <v>35</v>
      </c>
    </row>
    <row r="24" spans="1:25" ht="12.75" customHeight="1">
      <c r="A24" s="16"/>
      <c r="B24" s="105" t="s">
        <v>15</v>
      </c>
      <c r="C24" s="179">
        <v>19.82</v>
      </c>
      <c r="D24" s="179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74">
        <v>9.874</v>
      </c>
      <c r="X24" s="304">
        <f t="shared" si="3"/>
        <v>-1.7316878980891626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58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3.715</v>
      </c>
      <c r="D26" s="179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74">
        <v>6.984</v>
      </c>
      <c r="X26" s="304">
        <f t="shared" si="3"/>
        <v>-3.2150776053215147</v>
      </c>
      <c r="Y26" s="64" t="s">
        <v>26</v>
      </c>
    </row>
    <row r="27" spans="1:25" ht="12.75" customHeight="1">
      <c r="A27" s="16"/>
      <c r="B27" s="18" t="s">
        <v>36</v>
      </c>
      <c r="C27" s="165">
        <v>9.868</v>
      </c>
      <c r="D27" s="165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58">
        <v>21.915</v>
      </c>
      <c r="X27" s="303">
        <f t="shared" si="3"/>
        <v>2.5455055916896674</v>
      </c>
      <c r="Y27" s="18" t="s">
        <v>36</v>
      </c>
    </row>
    <row r="28" spans="1:25" ht="12.75" customHeight="1">
      <c r="A28" s="16"/>
      <c r="B28" s="105" t="s">
        <v>19</v>
      </c>
      <c r="C28" s="179">
        <v>98</v>
      </c>
      <c r="D28" s="179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74">
        <v>52.043</v>
      </c>
      <c r="X28" s="304">
        <f t="shared" si="3"/>
        <v>-4.0735074558089</v>
      </c>
      <c r="Y28" s="105" t="s">
        <v>19</v>
      </c>
    </row>
    <row r="29" spans="1:25" ht="12.75" customHeight="1">
      <c r="A29" s="16"/>
      <c r="B29" s="18" t="s">
        <v>37</v>
      </c>
      <c r="C29" s="165">
        <v>0.776</v>
      </c>
      <c r="D29" s="165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58">
        <v>2.549</v>
      </c>
      <c r="X29" s="168">
        <f t="shared" si="3"/>
        <v>-1.4307811291569994</v>
      </c>
      <c r="Y29" s="18" t="s">
        <v>37</v>
      </c>
    </row>
    <row r="30" spans="1:25" ht="12.75" customHeight="1">
      <c r="A30" s="16"/>
      <c r="B30" s="105" t="s">
        <v>20</v>
      </c>
      <c r="C30" s="179">
        <v>43.1</v>
      </c>
      <c r="D30" s="179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74">
        <v>15.236</v>
      </c>
      <c r="X30" s="198">
        <f t="shared" si="3"/>
        <v>-3.3064669670622493</v>
      </c>
      <c r="Y30" s="105" t="s">
        <v>20</v>
      </c>
    </row>
    <row r="31" spans="1:25" ht="12.75" customHeight="1">
      <c r="A31" s="16"/>
      <c r="B31" s="18" t="s">
        <v>22</v>
      </c>
      <c r="C31" s="166">
        <v>3.3</v>
      </c>
      <c r="D31" s="166">
        <v>3.8</v>
      </c>
      <c r="E31" s="156">
        <v>4.21</v>
      </c>
      <c r="F31" s="156">
        <v>3.2</v>
      </c>
      <c r="G31" s="156">
        <v>2.57</v>
      </c>
      <c r="H31" s="156">
        <v>2.26</v>
      </c>
      <c r="I31" s="156">
        <v>2.5</v>
      </c>
      <c r="J31" s="121">
        <v>3.076</v>
      </c>
      <c r="K31" s="121">
        <v>2.55</v>
      </c>
      <c r="L31" s="156">
        <v>2.9</v>
      </c>
      <c r="M31" s="156">
        <v>2.9</v>
      </c>
      <c r="N31" s="156">
        <v>2.784</v>
      </c>
      <c r="O31" s="156">
        <v>2.857</v>
      </c>
      <c r="P31" s="156">
        <v>2.837</v>
      </c>
      <c r="Q31" s="156">
        <v>3.078</v>
      </c>
      <c r="R31" s="156">
        <v>3.018</v>
      </c>
      <c r="S31" s="156">
        <v>3.149</v>
      </c>
      <c r="T31" s="156">
        <v>3.245</v>
      </c>
      <c r="U31" s="156">
        <v>3.373</v>
      </c>
      <c r="V31" s="156">
        <v>3.603</v>
      </c>
      <c r="W31" s="191">
        <v>3.52</v>
      </c>
      <c r="X31" s="302">
        <f t="shared" si="3"/>
        <v>-2.303635859006392</v>
      </c>
      <c r="Y31" s="18" t="s">
        <v>22</v>
      </c>
    </row>
    <row r="32" spans="1:25" ht="12.75" customHeight="1">
      <c r="A32" s="16"/>
      <c r="B32" s="105" t="s">
        <v>21</v>
      </c>
      <c r="C32" s="180"/>
      <c r="D32" s="180"/>
      <c r="E32" s="181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74">
        <v>9.299</v>
      </c>
      <c r="X32" s="304">
        <f t="shared" si="3"/>
        <v>-3.6073390691406693</v>
      </c>
      <c r="Y32" s="105" t="s">
        <v>21</v>
      </c>
    </row>
    <row r="33" spans="1:25" ht="12.75" customHeight="1">
      <c r="A33" s="16"/>
      <c r="B33" s="18" t="s">
        <v>38</v>
      </c>
      <c r="C33" s="166">
        <v>6.27</v>
      </c>
      <c r="D33" s="166">
        <v>8.335</v>
      </c>
      <c r="E33" s="156">
        <v>8.357</v>
      </c>
      <c r="F33" s="156">
        <v>7.63</v>
      </c>
      <c r="G33" s="156">
        <v>7.848</v>
      </c>
      <c r="H33" s="156">
        <v>9.26</v>
      </c>
      <c r="I33" s="156">
        <v>9.948</v>
      </c>
      <c r="J33" s="156">
        <v>9.6</v>
      </c>
      <c r="K33" s="156">
        <v>8.806</v>
      </c>
      <c r="L33" s="156">
        <v>9.856</v>
      </c>
      <c r="M33" s="156">
        <v>9.885</v>
      </c>
      <c r="N33" s="156">
        <v>9.753</v>
      </c>
      <c r="O33" s="156">
        <v>10.107</v>
      </c>
      <c r="P33" s="156">
        <v>9.857</v>
      </c>
      <c r="Q33" s="156">
        <v>9.664</v>
      </c>
      <c r="R33" s="156">
        <v>10.047</v>
      </c>
      <c r="S33" s="156">
        <v>10.105</v>
      </c>
      <c r="T33" s="156">
        <v>9.706</v>
      </c>
      <c r="U33" s="156">
        <v>11.06</v>
      </c>
      <c r="V33" s="156">
        <v>10.434</v>
      </c>
      <c r="W33" s="191">
        <v>10.777</v>
      </c>
      <c r="X33" s="302">
        <f t="shared" si="3"/>
        <v>3.2873298830745634</v>
      </c>
      <c r="Y33" s="18" t="s">
        <v>38</v>
      </c>
    </row>
    <row r="34" spans="1:25" ht="12.75" customHeight="1">
      <c r="A34" s="16"/>
      <c r="B34" s="105" t="s">
        <v>39</v>
      </c>
      <c r="C34" s="179">
        <v>17.311</v>
      </c>
      <c r="D34" s="179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74">
        <v>23.116</v>
      </c>
      <c r="X34" s="304">
        <f t="shared" si="3"/>
        <v>-0.5763440860215074</v>
      </c>
      <c r="Y34" s="105" t="s">
        <v>39</v>
      </c>
    </row>
    <row r="35" spans="1:25" ht="12.75" customHeight="1">
      <c r="A35" s="16"/>
      <c r="B35" s="19" t="s">
        <v>27</v>
      </c>
      <c r="C35" s="192">
        <v>24.55</v>
      </c>
      <c r="D35" s="192">
        <v>17.816</v>
      </c>
      <c r="E35" s="193">
        <v>16</v>
      </c>
      <c r="F35" s="193">
        <v>15.3</v>
      </c>
      <c r="G35" s="193">
        <v>15.5</v>
      </c>
      <c r="H35" s="193">
        <v>13.8</v>
      </c>
      <c r="I35" s="193">
        <v>13</v>
      </c>
      <c r="J35" s="193">
        <v>13.3</v>
      </c>
      <c r="K35" s="193">
        <v>15.1</v>
      </c>
      <c r="L35" s="193">
        <v>16.9</v>
      </c>
      <c r="M35" s="193">
        <v>17.3</v>
      </c>
      <c r="N35" s="193">
        <v>18.2</v>
      </c>
      <c r="O35" s="193">
        <v>18.1</v>
      </c>
      <c r="P35" s="193">
        <v>19.4</v>
      </c>
      <c r="Q35" s="193">
        <v>18.5</v>
      </c>
      <c r="R35" s="193">
        <v>18.734</v>
      </c>
      <c r="S35" s="193">
        <v>22.552</v>
      </c>
      <c r="T35" s="193">
        <v>22.322</v>
      </c>
      <c r="U35" s="193">
        <v>27.365</v>
      </c>
      <c r="V35" s="193">
        <v>26.384</v>
      </c>
      <c r="W35" s="194">
        <v>24.831</v>
      </c>
      <c r="X35" s="306">
        <f t="shared" si="3"/>
        <v>-5.886143117040632</v>
      </c>
      <c r="Y35" s="19" t="s">
        <v>27</v>
      </c>
    </row>
    <row r="36" spans="1:25" ht="12.75" customHeight="1">
      <c r="A36" s="16"/>
      <c r="B36" s="105" t="s">
        <v>45</v>
      </c>
      <c r="C36" s="179" t="s">
        <v>41</v>
      </c>
      <c r="D36" s="179" t="s">
        <v>41</v>
      </c>
      <c r="E36" s="129" t="s">
        <v>41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200">
        <f t="shared" si="3"/>
        <v>-7.330721880246227</v>
      </c>
      <c r="Y36" s="105" t="s">
        <v>45</v>
      </c>
    </row>
    <row r="37" spans="1:25" ht="12.75" customHeight="1">
      <c r="A37" s="16"/>
      <c r="B37" s="18" t="s">
        <v>4</v>
      </c>
      <c r="C37" s="165"/>
      <c r="D37" s="165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302">
        <f t="shared" si="3"/>
        <v>-4.498714652956304</v>
      </c>
      <c r="Y37" s="18" t="s">
        <v>4</v>
      </c>
    </row>
    <row r="38" spans="1:25" ht="12.75" customHeight="1">
      <c r="A38" s="16"/>
      <c r="B38" s="108" t="s">
        <v>23</v>
      </c>
      <c r="C38" s="182">
        <v>5.5</v>
      </c>
      <c r="D38" s="182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307">
        <f t="shared" si="3"/>
        <v>8.170169144028684</v>
      </c>
      <c r="Y38" s="108" t="s">
        <v>23</v>
      </c>
    </row>
    <row r="39" spans="1:25" ht="12.75" customHeight="1">
      <c r="A39" s="16"/>
      <c r="B39" s="18" t="s">
        <v>9</v>
      </c>
      <c r="C39" s="165" t="s">
        <v>42</v>
      </c>
      <c r="D39" s="165" t="s">
        <v>42</v>
      </c>
      <c r="E39" s="121" t="s">
        <v>42</v>
      </c>
      <c r="F39" s="121" t="s">
        <v>42</v>
      </c>
      <c r="G39" s="121" t="s">
        <v>42</v>
      </c>
      <c r="H39" s="121" t="s">
        <v>42</v>
      </c>
      <c r="I39" s="121" t="s">
        <v>42</v>
      </c>
      <c r="J39" s="121" t="s">
        <v>42</v>
      </c>
      <c r="K39" s="121" t="s">
        <v>42</v>
      </c>
      <c r="L39" s="121" t="s">
        <v>42</v>
      </c>
      <c r="M39" s="121" t="s">
        <v>42</v>
      </c>
      <c r="N39" s="121" t="s">
        <v>42</v>
      </c>
      <c r="O39" s="121" t="s">
        <v>42</v>
      </c>
      <c r="P39" s="121" t="s">
        <v>42</v>
      </c>
      <c r="Q39" s="121" t="s">
        <v>42</v>
      </c>
      <c r="R39" s="121" t="s">
        <v>42</v>
      </c>
      <c r="S39" s="121" t="s">
        <v>42</v>
      </c>
      <c r="T39" s="121" t="s">
        <v>42</v>
      </c>
      <c r="U39" s="121" t="s">
        <v>42</v>
      </c>
      <c r="V39" s="121" t="s">
        <v>42</v>
      </c>
      <c r="W39" s="121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>
        <v>2.6</v>
      </c>
      <c r="D40" s="179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98">
        <f t="shared" si="3"/>
        <v>3.398058252427183</v>
      </c>
      <c r="Y40" s="105" t="s">
        <v>40</v>
      </c>
    </row>
    <row r="41" spans="1:25" ht="12.75" customHeight="1">
      <c r="A41" s="16"/>
      <c r="B41" s="19" t="s">
        <v>10</v>
      </c>
      <c r="C41" s="167">
        <v>6.9</v>
      </c>
      <c r="D41" s="167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71">
        <f t="shared" si="3"/>
        <v>2.6188085676037476</v>
      </c>
      <c r="Y41" s="19" t="s">
        <v>10</v>
      </c>
    </row>
    <row r="42" spans="2:27" ht="15" customHeight="1">
      <c r="B42" s="415" t="s">
        <v>113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371"/>
      <c r="AA42" s="371"/>
    </row>
    <row r="43" spans="2:24" ht="12.75" customHeight="1">
      <c r="B43" s="372" t="s">
        <v>141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1"/>
      <c r="U43" s="331"/>
      <c r="V43" s="331"/>
      <c r="W43" s="331"/>
      <c r="X43" s="331"/>
    </row>
    <row r="44" spans="3:24" ht="12.75" customHeight="1">
      <c r="C44" s="332" t="s">
        <v>70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</row>
    <row r="45" ht="12.75">
      <c r="C45" s="333" t="s">
        <v>106</v>
      </c>
    </row>
  </sheetData>
  <mergeCells count="2">
    <mergeCell ref="B2:Y2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Z48"/>
  <sheetViews>
    <sheetView workbookViewId="0" topLeftCell="A1">
      <selection activeCell="X6" sqref="X6:X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3.00390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48</v>
      </c>
    </row>
    <row r="2" spans="1:25" s="54" customFormat="1" ht="30" customHeight="1">
      <c r="A2" s="95"/>
      <c r="B2" s="416" t="s">
        <v>51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6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V3" s="50" t="s">
        <v>69</v>
      </c>
      <c r="W3" s="52"/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"/>
      <c r="C5" s="184"/>
      <c r="D5" s="201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78" t="s">
        <v>97</v>
      </c>
      <c r="Y5" s="72"/>
      <c r="Z5" s="2"/>
    </row>
    <row r="6" spans="2:26" ht="12.75" customHeight="1">
      <c r="B6" s="104" t="s">
        <v>84</v>
      </c>
      <c r="C6" s="334">
        <f>2.43+SUM(C9:C35)</f>
        <v>112.476</v>
      </c>
      <c r="D6" s="334">
        <f>3.59+SUM(D9:D35)</f>
        <v>119.171</v>
      </c>
      <c r="E6" s="335">
        <f>4.42+SUM(E9:E35)</f>
        <v>118.33522714499999</v>
      </c>
      <c r="F6" s="335">
        <f>3.89+SUM(F9:F35)</f>
        <v>116.70840167300001</v>
      </c>
      <c r="G6" s="335">
        <f>2.98+SUM(G9:G35)</f>
        <v>115.05673840299998</v>
      </c>
      <c r="H6" s="284">
        <f>SUM(H9:H35)</f>
        <v>109.08724280999999</v>
      </c>
      <c r="I6" s="284">
        <f>SUM(I9:I35)</f>
        <v>118.78323084900002</v>
      </c>
      <c r="J6" s="378">
        <f>SUM(J9:J35)</f>
        <v>122.08520799999998</v>
      </c>
      <c r="K6" s="378">
        <f>SUM(K9:K35)</f>
        <v>119.75649199999998</v>
      </c>
      <c r="L6" s="378">
        <f aca="true" t="shared" si="0" ref="L6:U6">SUM(L9:L35)</f>
        <v>127.84812699999999</v>
      </c>
      <c r="M6" s="378">
        <f t="shared" si="0"/>
        <v>131.011354551</v>
      </c>
      <c r="N6" s="378">
        <f t="shared" si="0"/>
        <v>128.726899</v>
      </c>
      <c r="O6" s="378">
        <f t="shared" si="0"/>
        <v>133.8613496</v>
      </c>
      <c r="P6" s="378">
        <f t="shared" si="0"/>
        <v>132.5287596</v>
      </c>
      <c r="Q6" s="379">
        <f t="shared" si="0"/>
        <v>132.504278</v>
      </c>
      <c r="R6" s="379">
        <f t="shared" si="0"/>
        <v>123.5149852</v>
      </c>
      <c r="S6" s="379">
        <f t="shared" si="0"/>
        <v>136.73445100000004</v>
      </c>
      <c r="T6" s="379">
        <f t="shared" si="0"/>
        <v>138.66237439999995</v>
      </c>
      <c r="U6" s="379">
        <f t="shared" si="0"/>
        <v>138.4605691</v>
      </c>
      <c r="V6" s="379">
        <f>SUM(V9:V35)</f>
        <v>146.96835187899998</v>
      </c>
      <c r="W6" s="379">
        <f>SUM(W9:W35)</f>
        <v>145.27061440000003</v>
      </c>
      <c r="X6" s="334">
        <f>100*(W6/V6-1)</f>
        <v>-1.1551721559739048</v>
      </c>
      <c r="Y6" s="104" t="s">
        <v>84</v>
      </c>
      <c r="Z6" s="2"/>
    </row>
    <row r="7" spans="1:25" ht="12.75" customHeight="1">
      <c r="A7" s="16"/>
      <c r="B7" s="105" t="s">
        <v>28</v>
      </c>
      <c r="C7" s="336">
        <f aca="true" t="shared" si="1" ref="C7:J7">SUM(C9,C12:C13,C15:C19,C23,C26:C27,C29,C33:C35)</f>
        <v>102.626</v>
      </c>
      <c r="D7" s="336">
        <f t="shared" si="1"/>
        <v>105.891</v>
      </c>
      <c r="E7" s="337">
        <f t="shared" si="1"/>
        <v>106.97722714499997</v>
      </c>
      <c r="F7" s="337">
        <f t="shared" si="1"/>
        <v>107.16240167300002</v>
      </c>
      <c r="G7" s="337">
        <f t="shared" si="1"/>
        <v>106.95373840299997</v>
      </c>
      <c r="H7" s="337">
        <f t="shared" si="1"/>
        <v>104.70724281</v>
      </c>
      <c r="I7" s="337">
        <f t="shared" si="1"/>
        <v>113.25353084899999</v>
      </c>
      <c r="J7" s="380">
        <f t="shared" si="1"/>
        <v>114.596308</v>
      </c>
      <c r="K7" s="380">
        <f>SUM(K9,K12:K13,K15:K19,K23,K26:K27,K29,K33:K35)</f>
        <v>111.37309199999999</v>
      </c>
      <c r="L7" s="380">
        <f aca="true" t="shared" si="2" ref="L7:U7">SUM(L9,L12:L13,L15:L19,L23,L26:L27,L29,L33:L35)</f>
        <v>118.92042699999998</v>
      </c>
      <c r="M7" s="380">
        <f t="shared" si="2"/>
        <v>121.944141</v>
      </c>
      <c r="N7" s="380">
        <f t="shared" si="2"/>
        <v>121.99729899999998</v>
      </c>
      <c r="O7" s="380">
        <f t="shared" si="2"/>
        <v>127.380566</v>
      </c>
      <c r="P7" s="380">
        <f t="shared" si="2"/>
        <v>125.94002399999998</v>
      </c>
      <c r="Q7" s="380">
        <f t="shared" si="2"/>
        <v>125.08906300000001</v>
      </c>
      <c r="R7" s="380">
        <f t="shared" si="2"/>
        <v>116.41082</v>
      </c>
      <c r="S7" s="380">
        <f t="shared" si="2"/>
        <v>126.01883</v>
      </c>
      <c r="T7" s="380">
        <f t="shared" si="2"/>
        <v>126.22875</v>
      </c>
      <c r="U7" s="380">
        <f t="shared" si="2"/>
        <v>126.622974</v>
      </c>
      <c r="V7" s="380">
        <f>SUM(V9,V12:V13,V15:V19,V23,V26:V27,V29,V33:V35)</f>
        <v>132.222617399</v>
      </c>
      <c r="W7" s="380">
        <f>SUM(W9,W12:W13,W15:W19,W23,W26:W27,W29,W33:W35)</f>
        <v>130.025</v>
      </c>
      <c r="X7" s="336">
        <f aca="true" t="shared" si="3" ref="X7:X41">100*(W7/V7-1)</f>
        <v>-1.6620586116279812</v>
      </c>
      <c r="Y7" s="105" t="s">
        <v>28</v>
      </c>
    </row>
    <row r="8" spans="1:25" ht="12.75" customHeight="1">
      <c r="A8" s="16"/>
      <c r="B8" s="108" t="s">
        <v>99</v>
      </c>
      <c r="C8" s="338">
        <f>2.43+SUM(C10,C11,C14,C20:C22,C24:C25,C28,C30:C32)</f>
        <v>9.85</v>
      </c>
      <c r="D8" s="338">
        <f>3.59+SUM(D10,D11,D14,D20:D22,D24:D25,D28,D30:D32)</f>
        <v>13.28</v>
      </c>
      <c r="E8" s="339">
        <f>4.42+SUM(E10,E11,E14,E20:E22,E24:E25,E28,E30:E32)</f>
        <v>11.358</v>
      </c>
      <c r="F8" s="339">
        <f>3.89+SUM(F10,F11,F14,F20:F22,F24:F25,F28,F30:F32)</f>
        <v>9.546000000000001</v>
      </c>
      <c r="G8" s="339">
        <f>2.98+SUM(G10,G11,G14,G20:G22,G24:G25,G28,G30:G32)</f>
        <v>8.103</v>
      </c>
      <c r="H8" s="109">
        <f>SUM(H10,H11,H14,H20:H22,H24:H25,H28,H30:H32)</f>
        <v>4.38</v>
      </c>
      <c r="I8" s="109">
        <f>SUM(I10,I11,I14,I20:I22,I24:I25,I28,I30:I32)</f>
        <v>5.5297</v>
      </c>
      <c r="J8" s="381">
        <f aca="true" t="shared" si="4" ref="J8:U8">SUM(J10,J11,J14,J20:J22,J24:J25,J28,J30:J32)</f>
        <v>7.488899999999999</v>
      </c>
      <c r="K8" s="381">
        <f t="shared" si="4"/>
        <v>8.383400000000002</v>
      </c>
      <c r="L8" s="381">
        <f t="shared" si="4"/>
        <v>8.9277</v>
      </c>
      <c r="M8" s="381">
        <f t="shared" si="4"/>
        <v>9.067213551</v>
      </c>
      <c r="N8" s="381">
        <f t="shared" si="4"/>
        <v>6.7296000000000005</v>
      </c>
      <c r="O8" s="381">
        <f t="shared" si="4"/>
        <v>6.4807836</v>
      </c>
      <c r="P8" s="381">
        <f t="shared" si="4"/>
        <v>6.5887356</v>
      </c>
      <c r="Q8" s="382">
        <f t="shared" si="4"/>
        <v>7.415215</v>
      </c>
      <c r="R8" s="382">
        <f t="shared" si="4"/>
        <v>7.1041652</v>
      </c>
      <c r="S8" s="382">
        <f t="shared" si="4"/>
        <v>10.715620999999999</v>
      </c>
      <c r="T8" s="382">
        <f t="shared" si="4"/>
        <v>12.4336244</v>
      </c>
      <c r="U8" s="382">
        <f t="shared" si="4"/>
        <v>11.8375951</v>
      </c>
      <c r="V8" s="382">
        <f>SUM(V10,V11,V14,V20:V22,V24:V25,V28,V30:V32)</f>
        <v>14.745734479999998</v>
      </c>
      <c r="W8" s="382">
        <f>SUM(W10,W11,W14,W20:W22,W24:W25,W28,W30:W32)</f>
        <v>15.245614399999997</v>
      </c>
      <c r="X8" s="338">
        <f t="shared" si="3"/>
        <v>3.389996752471025</v>
      </c>
      <c r="Y8" s="108" t="s">
        <v>99</v>
      </c>
    </row>
    <row r="9" spans="1:25" ht="12.75" customHeight="1">
      <c r="A9" s="16"/>
      <c r="B9" s="18" t="s">
        <v>29</v>
      </c>
      <c r="C9" s="166">
        <v>6.734</v>
      </c>
      <c r="D9" s="166">
        <v>5.852</v>
      </c>
      <c r="E9" s="156">
        <v>5.388896222</v>
      </c>
      <c r="F9" s="156">
        <v>5.177006499</v>
      </c>
      <c r="G9" s="156">
        <v>5.0178631</v>
      </c>
      <c r="H9" s="156">
        <v>4.931673973</v>
      </c>
      <c r="I9" s="156">
        <v>5.490262438</v>
      </c>
      <c r="J9" s="156">
        <v>5.731</v>
      </c>
      <c r="K9" s="156">
        <v>5.715</v>
      </c>
      <c r="L9" s="156">
        <v>5.829</v>
      </c>
      <c r="M9" s="156">
        <v>6.015</v>
      </c>
      <c r="N9" s="156">
        <v>6.362</v>
      </c>
      <c r="O9" s="156">
        <v>7.215</v>
      </c>
      <c r="P9" s="156">
        <v>7.655</v>
      </c>
      <c r="Q9" s="156">
        <v>8.073</v>
      </c>
      <c r="R9" s="156">
        <v>8.23</v>
      </c>
      <c r="S9" s="156">
        <v>8.392</v>
      </c>
      <c r="T9" s="156">
        <v>8.566</v>
      </c>
      <c r="U9" s="156">
        <v>8.908</v>
      </c>
      <c r="V9" s="156">
        <v>9.006</v>
      </c>
      <c r="W9" s="156">
        <v>8.746</v>
      </c>
      <c r="X9" s="302">
        <f t="shared" si="3"/>
        <v>-2.886964246058177</v>
      </c>
      <c r="Y9" s="18" t="s">
        <v>29</v>
      </c>
    </row>
    <row r="10" spans="1:25" ht="12.75" customHeight="1">
      <c r="A10" s="16"/>
      <c r="B10" s="105" t="s">
        <v>11</v>
      </c>
      <c r="C10" s="179">
        <v>1.83</v>
      </c>
      <c r="D10" s="179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v>3.011</v>
      </c>
      <c r="W10" s="129">
        <v>2.89</v>
      </c>
      <c r="X10" s="198">
        <f t="shared" si="3"/>
        <v>-4.018598472268353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303">
        <f t="shared" si="3"/>
        <v>-22.22222222222221</v>
      </c>
      <c r="Y11" s="18" t="s">
        <v>13</v>
      </c>
    </row>
    <row r="12" spans="1:25" ht="12.75" customHeight="1">
      <c r="A12" s="16"/>
      <c r="B12" s="105" t="s">
        <v>24</v>
      </c>
      <c r="C12" s="179" t="s">
        <v>42</v>
      </c>
      <c r="D12" s="179" t="s">
        <v>42</v>
      </c>
      <c r="E12" s="129" t="s">
        <v>42</v>
      </c>
      <c r="F12" s="129" t="s">
        <v>42</v>
      </c>
      <c r="G12" s="129" t="s">
        <v>42</v>
      </c>
      <c r="H12" s="129" t="s">
        <v>42</v>
      </c>
      <c r="I12" s="129" t="s">
        <v>42</v>
      </c>
      <c r="J12" s="129" t="s">
        <v>42</v>
      </c>
      <c r="K12" s="129" t="s">
        <v>42</v>
      </c>
      <c r="L12" s="129" t="s">
        <v>42</v>
      </c>
      <c r="M12" s="129" t="s">
        <v>42</v>
      </c>
      <c r="N12" s="129" t="s">
        <v>42</v>
      </c>
      <c r="O12" s="129" t="s">
        <v>42</v>
      </c>
      <c r="P12" s="129" t="s">
        <v>42</v>
      </c>
      <c r="Q12" s="129" t="s">
        <v>42</v>
      </c>
      <c r="R12" s="129" t="s">
        <v>42</v>
      </c>
      <c r="S12" s="129" t="s">
        <v>42</v>
      </c>
      <c r="T12" s="129" t="s">
        <v>42</v>
      </c>
      <c r="U12" s="129" t="s">
        <v>42</v>
      </c>
      <c r="V12" s="129" t="s">
        <v>42</v>
      </c>
      <c r="W12" s="129" t="s">
        <v>42</v>
      </c>
      <c r="X12" s="198"/>
      <c r="Y12" s="105" t="s">
        <v>24</v>
      </c>
    </row>
    <row r="13" spans="1:25" ht="12.75" customHeight="1">
      <c r="A13" s="16"/>
      <c r="B13" s="18" t="s">
        <v>30</v>
      </c>
      <c r="C13" s="165">
        <v>48.8</v>
      </c>
      <c r="D13" s="165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303">
        <f t="shared" si="3"/>
        <v>-1.0198405340255845</v>
      </c>
      <c r="Y13" s="18" t="s">
        <v>30</v>
      </c>
    </row>
    <row r="14" spans="1:25" ht="12.75" customHeight="1">
      <c r="A14" s="16"/>
      <c r="B14" s="105" t="s">
        <v>14</v>
      </c>
      <c r="C14" s="179">
        <v>0.01</v>
      </c>
      <c r="D14" s="179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29" t="s">
        <v>42</v>
      </c>
      <c r="R16" s="129" t="s">
        <v>42</v>
      </c>
      <c r="S16" s="129" t="s">
        <v>42</v>
      </c>
      <c r="T16" s="129" t="s">
        <v>42</v>
      </c>
      <c r="U16" s="129" t="s">
        <v>42</v>
      </c>
      <c r="V16" s="129" t="s">
        <v>42</v>
      </c>
      <c r="W16" s="129" t="s">
        <v>42</v>
      </c>
      <c r="X16" s="198"/>
      <c r="Y16" s="105" t="s">
        <v>25</v>
      </c>
    </row>
    <row r="17" spans="1:25" ht="12.75" customHeight="1">
      <c r="A17" s="16"/>
      <c r="B17" s="18" t="s">
        <v>31</v>
      </c>
      <c r="C17" s="166" t="s">
        <v>42</v>
      </c>
      <c r="D17" s="166" t="s">
        <v>42</v>
      </c>
      <c r="E17" s="156" t="s">
        <v>42</v>
      </c>
      <c r="F17" s="156" t="s">
        <v>42</v>
      </c>
      <c r="G17" s="156" t="s">
        <v>42</v>
      </c>
      <c r="H17" s="156" t="s">
        <v>42</v>
      </c>
      <c r="I17" s="156" t="s">
        <v>42</v>
      </c>
      <c r="J17" s="156" t="s">
        <v>42</v>
      </c>
      <c r="K17" s="156" t="s">
        <v>42</v>
      </c>
      <c r="L17" s="156" t="s">
        <v>42</v>
      </c>
      <c r="M17" s="156" t="s">
        <v>42</v>
      </c>
      <c r="N17" s="156" t="s">
        <v>42</v>
      </c>
      <c r="O17" s="156" t="s">
        <v>42</v>
      </c>
      <c r="P17" s="156" t="s">
        <v>42</v>
      </c>
      <c r="Q17" s="156" t="s">
        <v>42</v>
      </c>
      <c r="R17" s="156" t="s">
        <v>42</v>
      </c>
      <c r="S17" s="156" t="s">
        <v>42</v>
      </c>
      <c r="T17" s="156" t="s">
        <v>42</v>
      </c>
      <c r="U17" s="156" t="s">
        <v>42</v>
      </c>
      <c r="V17" s="156" t="s">
        <v>42</v>
      </c>
      <c r="W17" s="156" t="s">
        <v>42</v>
      </c>
      <c r="X17" s="169"/>
      <c r="Y17" s="18" t="s">
        <v>31</v>
      </c>
    </row>
    <row r="18" spans="1:25" ht="12.75" customHeight="1">
      <c r="A18" s="16"/>
      <c r="B18" s="105" t="s">
        <v>32</v>
      </c>
      <c r="C18" s="179">
        <v>12.229</v>
      </c>
      <c r="D18" s="175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304">
        <f t="shared" si="3"/>
        <v>-3.3883579496090332</v>
      </c>
      <c r="Y18" s="105" t="s">
        <v>32</v>
      </c>
    </row>
    <row r="19" spans="1:25" ht="12.75" customHeight="1">
      <c r="A19" s="16"/>
      <c r="B19" s="18" t="s">
        <v>34</v>
      </c>
      <c r="C19" s="165">
        <v>0.35</v>
      </c>
      <c r="D19" s="165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0.076</v>
      </c>
      <c r="X19" s="168">
        <f t="shared" si="3"/>
        <v>-18.279569892473123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0.05</v>
      </c>
      <c r="D21" s="165">
        <v>0.09</v>
      </c>
      <c r="E21" s="121" t="s">
        <v>42</v>
      </c>
      <c r="F21" s="121" t="s">
        <v>42</v>
      </c>
      <c r="G21" s="121" t="s">
        <v>42</v>
      </c>
      <c r="H21" s="121" t="s">
        <v>42</v>
      </c>
      <c r="I21" s="121" t="s">
        <v>42</v>
      </c>
      <c r="J21" s="121" t="s">
        <v>42</v>
      </c>
      <c r="K21" s="121" t="s">
        <v>42</v>
      </c>
      <c r="L21" s="121" t="s">
        <v>42</v>
      </c>
      <c r="M21" s="121" t="s">
        <v>42</v>
      </c>
      <c r="N21" s="121" t="s">
        <v>42</v>
      </c>
      <c r="O21" s="121" t="s">
        <v>42</v>
      </c>
      <c r="P21" s="121" t="s">
        <v>42</v>
      </c>
      <c r="Q21" s="121" t="s">
        <v>42</v>
      </c>
      <c r="R21" s="121" t="s">
        <v>42</v>
      </c>
      <c r="S21" s="121" t="s">
        <v>42</v>
      </c>
      <c r="T21" s="121" t="s">
        <v>42</v>
      </c>
      <c r="U21" s="121" t="s">
        <v>42</v>
      </c>
      <c r="V21" s="121" t="s">
        <v>42</v>
      </c>
      <c r="W21" s="121" t="s">
        <v>42</v>
      </c>
      <c r="X21" s="303"/>
      <c r="Y21" s="18" t="s">
        <v>16</v>
      </c>
    </row>
    <row r="22" spans="1:25" ht="12.75" customHeight="1">
      <c r="A22" s="16"/>
      <c r="B22" s="105" t="s">
        <v>17</v>
      </c>
      <c r="C22" s="179">
        <v>0.12</v>
      </c>
      <c r="D22" s="179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304">
        <f t="shared" si="3"/>
        <v>14.958534584890181</v>
      </c>
      <c r="Y22" s="105" t="s">
        <v>17</v>
      </c>
    </row>
    <row r="23" spans="1:25" ht="12.75" customHeight="1">
      <c r="A23" s="16"/>
      <c r="B23" s="18" t="s">
        <v>35</v>
      </c>
      <c r="C23" s="165">
        <v>0.302</v>
      </c>
      <c r="D23" s="165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68">
        <f t="shared" si="3"/>
        <v>6.3768115942029135</v>
      </c>
      <c r="Y23" s="18" t="s">
        <v>35</v>
      </c>
    </row>
    <row r="24" spans="1:25" ht="12.75" customHeight="1">
      <c r="A24" s="16"/>
      <c r="B24" s="105" t="s">
        <v>15</v>
      </c>
      <c r="C24" s="179">
        <v>1.76</v>
      </c>
      <c r="D24" s="179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304">
        <f t="shared" si="3"/>
        <v>1.717902350813727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30.618</v>
      </c>
      <c r="D26" s="179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304">
        <f t="shared" si="3"/>
        <v>-1.5197304054788474</v>
      </c>
      <c r="Y26" s="64" t="s">
        <v>26</v>
      </c>
    </row>
    <row r="27" spans="1:25" ht="12.75" customHeight="1">
      <c r="A27" s="16"/>
      <c r="B27" s="18" t="s">
        <v>36</v>
      </c>
      <c r="C27" s="165">
        <v>1.293</v>
      </c>
      <c r="D27" s="165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303">
        <f t="shared" si="3"/>
        <v>-9.151036232427256</v>
      </c>
      <c r="Y27" s="18" t="s">
        <v>36</v>
      </c>
    </row>
    <row r="28" spans="1:25" ht="12.75" customHeight="1">
      <c r="A28" s="16"/>
      <c r="B28" s="105" t="s">
        <v>19</v>
      </c>
      <c r="C28" s="179">
        <v>2.3</v>
      </c>
      <c r="D28" s="179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5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304">
        <f t="shared" si="3"/>
        <v>0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 t="s">
        <v>42</v>
      </c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1" t="s">
        <v>42</v>
      </c>
      <c r="P29" s="121" t="s">
        <v>42</v>
      </c>
      <c r="Q29" s="121" t="s">
        <v>42</v>
      </c>
      <c r="R29" s="121" t="s">
        <v>42</v>
      </c>
      <c r="S29" s="121" t="s">
        <v>42</v>
      </c>
      <c r="T29" s="121" t="s">
        <v>42</v>
      </c>
      <c r="U29" s="121" t="s">
        <v>42</v>
      </c>
      <c r="V29" s="121" t="s">
        <v>42</v>
      </c>
      <c r="W29" s="121" t="s">
        <v>42</v>
      </c>
      <c r="X29" s="168"/>
      <c r="Y29" s="18" t="s">
        <v>37</v>
      </c>
    </row>
    <row r="30" spans="1:25" ht="12.75" customHeight="1">
      <c r="A30" s="16"/>
      <c r="B30" s="105" t="s">
        <v>20</v>
      </c>
      <c r="C30" s="179">
        <v>1.35</v>
      </c>
      <c r="D30" s="179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5">
        <v>3.521</v>
      </c>
      <c r="S30" s="129">
        <v>6.955</v>
      </c>
      <c r="T30" s="129">
        <v>8.435</v>
      </c>
      <c r="U30" s="129">
        <v>8.157</v>
      </c>
      <c r="V30" s="129">
        <v>8.194761479999999</v>
      </c>
      <c r="W30" s="129">
        <v>8.687</v>
      </c>
      <c r="X30" s="198">
        <f t="shared" si="3"/>
        <v>6.006746153641562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304">
        <f t="shared" si="3"/>
        <v>9.661354581673297</v>
      </c>
      <c r="Y32" s="105" t="s">
        <v>21</v>
      </c>
    </row>
    <row r="33" spans="1:25" ht="12.75" customHeight="1">
      <c r="A33" s="16"/>
      <c r="B33" s="18" t="s">
        <v>38</v>
      </c>
      <c r="C33" s="166">
        <v>2</v>
      </c>
      <c r="D33" s="166">
        <v>1.8</v>
      </c>
      <c r="E33" s="156">
        <v>1.1</v>
      </c>
      <c r="F33" s="156">
        <v>0.8</v>
      </c>
      <c r="G33" s="156">
        <v>0.5</v>
      </c>
      <c r="H33" s="156">
        <v>0.4</v>
      </c>
      <c r="I33" s="161">
        <v>0.3</v>
      </c>
      <c r="J33" s="156">
        <v>0.077</v>
      </c>
      <c r="K33" s="156">
        <v>0.1</v>
      </c>
      <c r="L33" s="156">
        <v>0.1</v>
      </c>
      <c r="M33" s="156">
        <v>0.118</v>
      </c>
      <c r="N33" s="156">
        <v>0.118</v>
      </c>
      <c r="O33" s="156">
        <v>0.118</v>
      </c>
      <c r="P33" s="156">
        <v>0.101</v>
      </c>
      <c r="Q33" s="156">
        <v>0.112</v>
      </c>
      <c r="R33" s="156">
        <v>0.109</v>
      </c>
      <c r="S33" s="156">
        <v>0.118</v>
      </c>
      <c r="T33" s="156">
        <v>0.075</v>
      </c>
      <c r="U33" s="156">
        <v>0.066</v>
      </c>
      <c r="V33" s="156">
        <v>0.101</v>
      </c>
      <c r="W33" s="156">
        <v>0.08</v>
      </c>
      <c r="X33" s="302">
        <f t="shared" si="3"/>
        <v>-20.7920792079208</v>
      </c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0.3</v>
      </c>
      <c r="D35" s="166">
        <v>0.4</v>
      </c>
      <c r="E35" s="156">
        <v>0.3</v>
      </c>
      <c r="F35" s="156">
        <v>0.2</v>
      </c>
      <c r="G35" s="156">
        <v>0.19</v>
      </c>
      <c r="H35" s="156">
        <v>0.2</v>
      </c>
      <c r="I35" s="156">
        <v>0.2</v>
      </c>
      <c r="J35" s="156">
        <v>0.2</v>
      </c>
      <c r="K35" s="156">
        <v>0.18</v>
      </c>
      <c r="L35" s="156">
        <v>0.15</v>
      </c>
      <c r="M35" s="156">
        <v>0.15</v>
      </c>
      <c r="N35" s="156">
        <v>0.16</v>
      </c>
      <c r="O35" s="156">
        <v>0.21</v>
      </c>
      <c r="P35" s="156">
        <v>0.19</v>
      </c>
      <c r="Q35" s="156">
        <v>0.18</v>
      </c>
      <c r="R35" s="156">
        <v>0.18</v>
      </c>
      <c r="S35" s="156">
        <v>0.15</v>
      </c>
      <c r="T35" s="156">
        <v>0.17</v>
      </c>
      <c r="U35" s="156">
        <v>0.16</v>
      </c>
      <c r="V35" s="156">
        <v>0.162</v>
      </c>
      <c r="W35" s="156">
        <v>0.149</v>
      </c>
      <c r="X35" s="306">
        <f t="shared" si="3"/>
        <v>-8.024691358024693</v>
      </c>
      <c r="Y35" s="19" t="s">
        <v>27</v>
      </c>
    </row>
    <row r="36" spans="1:25" ht="12.75" customHeight="1">
      <c r="A36" s="16"/>
      <c r="B36" s="105" t="s">
        <v>45</v>
      </c>
      <c r="C36" s="202">
        <v>0.3</v>
      </c>
      <c r="D36" s="202">
        <v>0.6</v>
      </c>
      <c r="E36" s="173">
        <v>0.5</v>
      </c>
      <c r="F36" s="173" t="s">
        <v>41</v>
      </c>
      <c r="G36" s="173" t="s">
        <v>41</v>
      </c>
      <c r="H36" s="173" t="s">
        <v>41</v>
      </c>
      <c r="I36" s="173" t="s">
        <v>41</v>
      </c>
      <c r="J36" s="173">
        <v>0.033</v>
      </c>
      <c r="K36" s="173">
        <v>0.022</v>
      </c>
      <c r="L36" s="173">
        <v>0.022</v>
      </c>
      <c r="M36" s="173">
        <v>0.053</v>
      </c>
      <c r="N36" s="173">
        <v>0.052</v>
      </c>
      <c r="O36" s="173">
        <v>0.063536</v>
      </c>
      <c r="P36" s="173">
        <v>0.077484</v>
      </c>
      <c r="Q36" s="173">
        <v>0.089745</v>
      </c>
      <c r="R36" s="173">
        <v>0.1001</v>
      </c>
      <c r="S36" s="173">
        <v>0.1787</v>
      </c>
      <c r="T36" s="173">
        <v>0.1186</v>
      </c>
      <c r="U36" s="173">
        <v>0.1164</v>
      </c>
      <c r="V36" s="173">
        <v>0.108961285</v>
      </c>
      <c r="W36" s="196">
        <v>0.079</v>
      </c>
      <c r="X36" s="200">
        <f t="shared" si="3"/>
        <v>-27.497183976859308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1" t="s">
        <v>42</v>
      </c>
      <c r="R37" s="121" t="s">
        <v>42</v>
      </c>
      <c r="S37" s="121" t="s">
        <v>42</v>
      </c>
      <c r="T37" s="121" t="s">
        <v>42</v>
      </c>
      <c r="U37" s="121" t="s">
        <v>42</v>
      </c>
      <c r="V37" s="121" t="s">
        <v>42</v>
      </c>
      <c r="W37" s="158" t="s">
        <v>42</v>
      </c>
      <c r="X37" s="302"/>
      <c r="Y37" s="18" t="s">
        <v>4</v>
      </c>
    </row>
    <row r="38" spans="1:25" ht="12.75" customHeight="1">
      <c r="A38" s="16"/>
      <c r="B38" s="108" t="s">
        <v>23</v>
      </c>
      <c r="C38" s="182" t="s">
        <v>42</v>
      </c>
      <c r="D38" s="182" t="s">
        <v>42</v>
      </c>
      <c r="E38" s="132" t="s">
        <v>42</v>
      </c>
      <c r="F38" s="132" t="s">
        <v>42</v>
      </c>
      <c r="G38" s="132" t="s">
        <v>42</v>
      </c>
      <c r="H38" s="132" t="s">
        <v>42</v>
      </c>
      <c r="I38" s="132" t="s">
        <v>42</v>
      </c>
      <c r="J38" s="132" t="s">
        <v>42</v>
      </c>
      <c r="K38" s="132" t="s">
        <v>42</v>
      </c>
      <c r="L38" s="132" t="s">
        <v>42</v>
      </c>
      <c r="M38" s="132" t="s">
        <v>42</v>
      </c>
      <c r="N38" s="132" t="s">
        <v>42</v>
      </c>
      <c r="O38" s="132" t="s">
        <v>42</v>
      </c>
      <c r="P38" s="132" t="s">
        <v>42</v>
      </c>
      <c r="Q38" s="132" t="s">
        <v>42</v>
      </c>
      <c r="R38" s="132" t="s">
        <v>42</v>
      </c>
      <c r="S38" s="132" t="s">
        <v>42</v>
      </c>
      <c r="T38" s="132" t="s">
        <v>42</v>
      </c>
      <c r="U38" s="132" t="s">
        <v>42</v>
      </c>
      <c r="V38" s="132" t="s">
        <v>42</v>
      </c>
      <c r="W38" s="197" t="s">
        <v>42</v>
      </c>
      <c r="X38" s="307"/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 t="s">
        <v>42</v>
      </c>
      <c r="F40" s="129" t="s">
        <v>42</v>
      </c>
      <c r="G40" s="129" t="s">
        <v>42</v>
      </c>
      <c r="H40" s="129" t="s">
        <v>42</v>
      </c>
      <c r="I40" s="129" t="s">
        <v>42</v>
      </c>
      <c r="J40" s="129" t="s">
        <v>42</v>
      </c>
      <c r="K40" s="129" t="s">
        <v>42</v>
      </c>
      <c r="L40" s="129" t="s">
        <v>42</v>
      </c>
      <c r="M40" s="129" t="s">
        <v>42</v>
      </c>
      <c r="N40" s="129" t="s">
        <v>42</v>
      </c>
      <c r="O40" s="129" t="s">
        <v>42</v>
      </c>
      <c r="P40" s="129" t="s">
        <v>42</v>
      </c>
      <c r="Q40" s="129" t="s">
        <v>42</v>
      </c>
      <c r="R40" s="129" t="s">
        <v>42</v>
      </c>
      <c r="S40" s="129" t="s">
        <v>42</v>
      </c>
      <c r="T40" s="129" t="s">
        <v>42</v>
      </c>
      <c r="U40" s="129" t="s">
        <v>42</v>
      </c>
      <c r="V40" s="129" t="s">
        <v>42</v>
      </c>
      <c r="W40" s="129" t="s">
        <v>42</v>
      </c>
      <c r="X40" s="198"/>
      <c r="Y40" s="105" t="s">
        <v>40</v>
      </c>
    </row>
    <row r="41" spans="1:25" ht="12.75" customHeight="1">
      <c r="A41" s="16"/>
      <c r="B41" s="19" t="s">
        <v>10</v>
      </c>
      <c r="C41" s="167">
        <v>0.139</v>
      </c>
      <c r="D41" s="167">
        <v>0.125</v>
      </c>
      <c r="E41" s="345">
        <v>0.196</v>
      </c>
      <c r="F41" s="124">
        <v>0.19</v>
      </c>
      <c r="G41" s="124">
        <v>0.18</v>
      </c>
      <c r="H41" s="124">
        <v>0.17</v>
      </c>
      <c r="I41" s="193">
        <v>0.16</v>
      </c>
      <c r="J41" s="344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298">
        <v>0.04265</v>
      </c>
      <c r="X41" s="171">
        <f t="shared" si="3"/>
        <v>-5.849889624724058</v>
      </c>
      <c r="Y41" s="19" t="s">
        <v>10</v>
      </c>
    </row>
    <row r="42" spans="2:25" ht="15" customHeight="1">
      <c r="B42" s="383" t="s">
        <v>114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</row>
    <row r="43" spans="2:19" ht="12.75" customHeight="1">
      <c r="B43" s="417" t="s">
        <v>3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</row>
    <row r="44" spans="1:25" s="54" customFormat="1" ht="12.75" customHeight="1">
      <c r="A44" s="95"/>
      <c r="B44" s="340" t="s">
        <v>104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</row>
    <row r="45" spans="1:25" s="54" customFormat="1" ht="12.75" customHeight="1">
      <c r="A45" s="95"/>
      <c r="B45" s="137" t="s">
        <v>130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1"/>
      <c r="U45" s="341"/>
      <c r="V45" s="341"/>
      <c r="W45" s="341"/>
      <c r="X45" s="341"/>
      <c r="Y45" s="341"/>
    </row>
    <row r="46" spans="1:25" s="54" customFormat="1" ht="12.75" customHeight="1">
      <c r="A46" s="95"/>
      <c r="B46" s="342" t="s">
        <v>71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</row>
    <row r="47" ht="12.75" customHeight="1">
      <c r="B47" s="343" t="s">
        <v>107</v>
      </c>
    </row>
    <row r="48" ht="12.75">
      <c r="C48" s="12"/>
    </row>
  </sheetData>
  <mergeCells count="3">
    <mergeCell ref="B2:Y2"/>
    <mergeCell ref="B43:S43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2010-05-05T11:13:37Z</cp:lastPrinted>
  <dcterms:created xsi:type="dcterms:W3CDTF">2003-09-05T14:33:05Z</dcterms:created>
  <dcterms:modified xsi:type="dcterms:W3CDTF">2010-05-05T16:33:49Z</dcterms:modified>
  <cp:category/>
  <cp:version/>
  <cp:contentType/>
  <cp:contentStatus/>
</cp:coreProperties>
</file>