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_pass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'bus_coach'!$B$1:$Z$48</definedName>
    <definedName name="_xlnm.Print_Area" localSheetId="4">'cars'!$B$1:$X$48</definedName>
    <definedName name="_xlnm.Print_Area" localSheetId="8">'hs_rail'!$B$1:$P$37</definedName>
    <definedName name="_xlnm.Print_Area" localSheetId="1">'passeng_graph'!$B$1:$J$35</definedName>
    <definedName name="_xlnm.Print_Area" localSheetId="2">'perf_mode_pkm'!$B$1:$J$43</definedName>
    <definedName name="_xlnm.Print_Area" localSheetId="7">'rail_pkm'!$B$1:$Z$45</definedName>
    <definedName name="_xlnm.Print_Area" localSheetId="3">'split_mode_pkm'!$B$1:$G$50</definedName>
    <definedName name="_xlnm.Print_Area" localSheetId="0">'T3.3'!$B$1:$E$25</definedName>
    <definedName name="_xlnm.Print_Area" localSheetId="6">'tram_metro'!$B$1:$X$47</definedName>
    <definedName name="_xlnm.Print_Area" localSheetId="9">'usa_pass'!$B$1:$I$49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<sst xmlns="http://schemas.openxmlformats.org/spreadsheetml/2006/main" count="996" uniqueCount="135">
  <si>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</si>
  <si>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</si>
  <si>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</si>
  <si>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</si>
  <si>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</si>
  <si>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</si>
  <si>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</si>
  <si>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</si>
  <si>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</si>
  <si>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</si>
  <si>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</si>
  <si>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</si>
  <si>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</si>
  <si>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</si>
  <si>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</si>
  <si>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</si>
  <si>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</si>
  <si>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</si>
  <si>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</si>
  <si>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</si>
  <si>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</si>
  <si>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</si>
  <si>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</si>
  <si>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</si>
  <si>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</si>
  <si>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</si>
  <si>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</si>
  <si>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</si>
  <si>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</si>
  <si>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</si>
  <si>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</si>
  <si>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</si>
  <si>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</si>
  <si>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</si>
  <si>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</si>
  <si>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</si>
  <si>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</si>
  <si>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</si>
  <si>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</si>
  <si>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</si>
  <si>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</si>
  <si>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</si>
  <si>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</si>
  <si>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</si>
  <si>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</si>
  <si>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</si>
  <si>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</si>
  <si>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</si>
  <si>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</si>
  <si>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</si>
  <si>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</si>
  <si>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</si>
  <si>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</si>
  <si>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</si>
  <si>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</si>
  <si>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</si>
  <si>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</si>
  <si>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</si>
  <si>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</si>
  <si>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</si>
  <si>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</si>
  <si>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</si>
  <si>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</si>
  <si>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</si>
  <si>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</si>
  <si>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</si>
  <si>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</si>
  <si>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</si>
  <si>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</si>
  <si>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</si>
  <si>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</si>
  <si>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</si>
  <si>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</si>
  <si>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</si>
  <si>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</si>
  <si>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</si>
  <si>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</si>
  <si>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</si>
  <si>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</si>
  <si>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</si>
  <si>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</si>
  <si>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</si>
  <si>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</si>
  <si>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</si>
  <si>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</si>
  <si>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</si>
  <si>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</si>
  <si>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</si>
  <si>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</si>
  <si>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</si>
  <si>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</si>
  <si>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</si>
  <si>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</si>
  <si>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t>Data are not harmonised and therefore not fully comparable.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</si>
  <si>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</si>
  <si>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>BE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AT</t>
    </r>
    <r>
      <rPr>
        <sz val="8"/>
        <rFont val="Arial"/>
        <family val="2"/>
      </rPr>
      <t>: completely revised series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</si>
  <si>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</si>
  <si>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</si>
  <si>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</si>
  <si>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</si>
  <si>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CS:</t>
    </r>
    <r>
      <rPr>
        <sz val="8"/>
        <rFont val="Arial"/>
        <family val="0"/>
      </rPr>
      <t xml:space="preserve"> 1970: 21.4, 1980: 33.8, 1990: 43.4, 1991: 43.1, 1992: 35.0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</si>
  <si>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</si>
  <si>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</si>
  <si>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r>
      <t>FR:</t>
    </r>
    <r>
      <rPr>
        <sz val="8"/>
        <rFont val="Arial"/>
        <family val="0"/>
      </rPr>
      <t xml:space="preserve"> data refer to the Paris Metro and RER (Réseau Express Régional) systems and to metros in other French cities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</si>
  <si>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</si>
  <si>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</si>
  <si>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</si>
  <si>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</si>
  <si>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</si>
  <si>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</si>
  <si>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</si>
  <si>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</si>
  <si>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</si>
  <si>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</si>
  <si>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07/06</t>
  </si>
  <si>
    <t>change %</t>
  </si>
  <si>
    <t>*: Passenger Cars (2006: 4279 billion pkm) and other 2-axle 4-tyre vehicles (2006: 3038 billion pkm)</t>
  </si>
  <si>
    <t>2000- 2006</t>
  </si>
  <si>
    <r>
      <t>Source</t>
    </r>
    <r>
      <rPr>
        <sz val="8"/>
        <rFont val="Arial"/>
        <family val="2"/>
      </rPr>
      <t>: U.S. Department of Transportation</t>
    </r>
  </si>
  <si>
    <t>Rail pkm from 3.3.7</t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</si>
  <si>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</si>
  <si>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</si>
  <si>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</si>
  <si>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</si>
  <si>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1995 -2007</t>
  </si>
  <si>
    <t>2006 - 2007</t>
  </si>
  <si>
    <r>
      <t xml:space="preserve">Air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Sea</t>
    </r>
    <r>
      <rPr>
        <sz val="10"/>
        <rFont val="Arial"/>
        <family val="2"/>
      </rPr>
      <t>: only domestic and intra-EU-27 transport; provisional estimates</t>
    </r>
  </si>
  <si>
    <r>
      <t>P2W</t>
    </r>
    <r>
      <rPr>
        <sz val="10"/>
        <rFont val="Arial"/>
        <family val="2"/>
      </rPr>
      <t>: Powered two-wheelers</t>
    </r>
  </si>
  <si>
    <r>
      <t>Source :</t>
    </r>
    <r>
      <rPr>
        <sz val="10"/>
        <rFont val="Arial"/>
        <family val="2"/>
      </rPr>
      <t xml:space="preserve"> tables 3.3.4, 3.3.5, 3.3.6, 3.3.7,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</si>
  <si>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 xml:space="preserve">If </t>
    </r>
    <r>
      <rPr>
        <b/>
        <sz val="10"/>
        <rFont val="Arial"/>
        <family val="0"/>
      </rPr>
      <t>powered two-wheelers</t>
    </r>
    <r>
      <rPr>
        <sz val="10"/>
        <rFont val="Arial"/>
        <family val="0"/>
      </rPr>
      <t xml:space="preserve"> are included, they account for </t>
    </r>
    <r>
      <rPr>
        <b/>
        <sz val="10"/>
        <rFont val="Arial"/>
        <family val="0"/>
      </rPr>
      <t>2.6%</t>
    </r>
    <r>
      <rPr>
        <sz val="10"/>
        <rFont val="Arial"/>
        <family val="0"/>
      </rPr>
      <t xml:space="preserve"> of the total in EU27 (2.7% in EU15, 1.9% in EU12), while the share of the other modes becomes: </t>
    </r>
  </si>
  <si>
    <r>
      <t>Source:</t>
    </r>
    <r>
      <rPr>
        <sz val="10"/>
        <rFont val="Arial"/>
        <family val="0"/>
      </rPr>
      <t xml:space="preserve"> tables 3.3.4, 3.3.5, 3.3.6, 3.3.7</t>
    </r>
  </si>
  <si>
    <t>Modal Split of Passenger Transport on Land by Country</t>
  </si>
  <si>
    <t>2009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</si>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</sst>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170" fontId="18" fillId="0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170" fontId="2" fillId="0" borderId="7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4" borderId="11" xfId="0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0" fontId="2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1" fontId="3" fillId="5" borderId="8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/>
    </xf>
    <xf numFmtId="170" fontId="3" fillId="4" borderId="2" xfId="0" applyNumberFormat="1" applyFont="1" applyFill="1" applyBorder="1" applyAlignment="1">
      <alignment/>
    </xf>
    <xf numFmtId="170" fontId="3" fillId="4" borderId="3" xfId="0" applyNumberFormat="1" applyFont="1" applyFill="1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170" fontId="2" fillId="4" borderId="3" xfId="0" applyNumberFormat="1" applyFont="1" applyFill="1" applyBorder="1" applyAlignment="1">
      <alignment/>
    </xf>
    <xf numFmtId="175" fontId="2" fillId="0" borderId="16" xfId="0" applyNumberFormat="1" applyFont="1" applyBorder="1" applyAlignment="1">
      <alignment horizontal="right" vertical="center"/>
    </xf>
    <xf numFmtId="175" fontId="2" fillId="0" borderId="16" xfId="0" applyNumberFormat="1" applyFont="1" applyFill="1" applyBorder="1" applyAlignment="1">
      <alignment horizontal="right" vertical="center"/>
    </xf>
    <xf numFmtId="175" fontId="2" fillId="0" borderId="17" xfId="0" applyNumberFormat="1" applyFont="1" applyBorder="1" applyAlignment="1">
      <alignment horizontal="right" vertical="center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175" fontId="2" fillId="0" borderId="16" xfId="0" applyNumberFormat="1" applyFont="1" applyBorder="1" applyAlignment="1">
      <alignment vertical="center"/>
    </xf>
    <xf numFmtId="175" fontId="2" fillId="0" borderId="16" xfId="0" applyNumberFormat="1" applyFont="1" applyBorder="1" applyAlignment="1">
      <alignment vertical="center"/>
    </xf>
    <xf numFmtId="175" fontId="2" fillId="0" borderId="18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top"/>
    </xf>
    <xf numFmtId="170" fontId="2" fillId="0" borderId="2" xfId="0" applyNumberFormat="1" applyFont="1" applyFill="1" applyBorder="1" applyAlignment="1">
      <alignment/>
    </xf>
    <xf numFmtId="170" fontId="2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0" fontId="3" fillId="5" borderId="1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170" fontId="2" fillId="0" borderId="1" xfId="0" applyNumberFormat="1" applyFont="1" applyBorder="1" applyAlignment="1">
      <alignment/>
    </xf>
    <xf numFmtId="170" fontId="2" fillId="4" borderId="2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3" fillId="0" borderId="6" xfId="0" applyNumberFormat="1" applyFont="1" applyFill="1" applyBorder="1" applyAlignment="1">
      <alignment horizontal="center" vertical="center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75" fontId="2" fillId="0" borderId="15" xfId="0" applyNumberFormat="1" applyFont="1" applyFill="1" applyBorder="1" applyAlignment="1">
      <alignment horizontal="center" vertical="center"/>
    </xf>
    <xf numFmtId="175" fontId="18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 quotePrefix="1">
      <alignment horizontal="center" vertical="center"/>
    </xf>
    <xf numFmtId="175" fontId="2" fillId="0" borderId="6" xfId="0" applyNumberFormat="1" applyFont="1" applyFill="1" applyBorder="1" applyAlignment="1" quotePrefix="1">
      <alignment horizontal="center" vertical="center"/>
    </xf>
    <xf numFmtId="175" fontId="2" fillId="0" borderId="7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170" fontId="3" fillId="0" borderId="0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24" fillId="0" borderId="6" xfId="0" applyFont="1" applyFill="1" applyBorder="1" applyAlignment="1">
      <alignment horizontal="center" vertical="center" wrapText="1"/>
    </xf>
    <xf numFmtId="170" fontId="2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69" fontId="19" fillId="0" borderId="19" xfId="0" applyNumberFormat="1" applyFont="1" applyFill="1" applyBorder="1" applyAlignment="1">
      <alignment horizontal="right" vertical="center"/>
    </xf>
    <xf numFmtId="169" fontId="19" fillId="0" borderId="6" xfId="0" applyNumberFormat="1" applyFont="1" applyFill="1" applyBorder="1" applyAlignment="1">
      <alignment horizontal="right" vertical="center"/>
    </xf>
    <xf numFmtId="169" fontId="3" fillId="0" borderId="6" xfId="0" applyNumberFormat="1" applyFont="1" applyFill="1" applyBorder="1" applyAlignment="1">
      <alignment horizontal="right" vertical="center"/>
    </xf>
    <xf numFmtId="169" fontId="3" fillId="0" borderId="7" xfId="0" applyNumberFormat="1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18" fillId="7" borderId="0" xfId="0" applyNumberFormat="1" applyFont="1" applyFill="1" applyBorder="1" applyAlignment="1">
      <alignment horizontal="right" vertical="center"/>
    </xf>
    <xf numFmtId="2" fontId="2" fillId="7" borderId="2" xfId="0" applyNumberFormat="1" applyFont="1" applyFill="1" applyBorder="1" applyAlignment="1">
      <alignment horizontal="right" vertical="center"/>
    </xf>
    <xf numFmtId="2" fontId="2" fillId="7" borderId="20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18" fillId="7" borderId="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1" xfId="0" applyNumberFormat="1" applyFont="1" applyFill="1" applyBorder="1" applyAlignment="1">
      <alignment horizontal="right" vertical="center"/>
    </xf>
    <xf numFmtId="2" fontId="2" fillId="7" borderId="15" xfId="0" applyNumberFormat="1" applyFont="1" applyFill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7" borderId="21" xfId="0" applyNumberFormat="1" applyFont="1" applyFill="1" applyBorder="1" applyAlignment="1">
      <alignment horizontal="right" vertical="center"/>
    </xf>
    <xf numFmtId="2" fontId="18" fillId="7" borderId="8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/>
    </xf>
    <xf numFmtId="170" fontId="2" fillId="4" borderId="3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2" fillId="7" borderId="15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 horizontal="right"/>
    </xf>
    <xf numFmtId="170" fontId="3" fillId="4" borderId="2" xfId="0" applyNumberFormat="1" applyFont="1" applyFill="1" applyBorder="1" applyAlignment="1">
      <alignment horizontal="right"/>
    </xf>
    <xf numFmtId="170" fontId="3" fillId="4" borderId="3" xfId="0" applyNumberFormat="1" applyFont="1" applyFill="1" applyBorder="1" applyAlignment="1">
      <alignment horizontal="right"/>
    </xf>
    <xf numFmtId="175" fontId="2" fillId="4" borderId="2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2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/>
    </xf>
    <xf numFmtId="2" fontId="18" fillId="4" borderId="15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1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2" fontId="18" fillId="7" borderId="4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9" xfId="0" applyNumberFormat="1" applyFont="1" applyFill="1" applyBorder="1" applyAlignment="1">
      <alignment vertical="center"/>
    </xf>
    <xf numFmtId="2" fontId="19" fillId="4" borderId="15" xfId="0" applyNumberFormat="1" applyFont="1" applyFill="1" applyBorder="1" applyAlignment="1">
      <alignment vertical="center"/>
    </xf>
    <xf numFmtId="2" fontId="19" fillId="4" borderId="10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4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2" fillId="4" borderId="10" xfId="0" applyNumberFormat="1" applyFont="1" applyFill="1" applyBorder="1" applyAlignment="1">
      <alignment horizontal="right"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19" xfId="0" applyNumberFormat="1" applyFont="1" applyFill="1" applyBorder="1" applyAlignment="1">
      <alignment horizontal="right" vertical="center"/>
    </xf>
    <xf numFmtId="2" fontId="19" fillId="4" borderId="15" xfId="0" applyNumberFormat="1" applyFont="1" applyFill="1" applyBorder="1" applyAlignment="1">
      <alignment horizontal="right" vertical="center"/>
    </xf>
    <xf numFmtId="2" fontId="19" fillId="4" borderId="10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4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7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7" borderId="4" xfId="0" applyNumberFormat="1" applyFont="1" applyFill="1" applyBorder="1" applyAlignment="1">
      <alignment horizontal="right" vertical="center"/>
    </xf>
    <xf numFmtId="2" fontId="3" fillId="4" borderId="15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4" xfId="0" applyNumberFormat="1" applyFont="1" applyFill="1" applyBorder="1" applyAlignment="1">
      <alignment horizontal="right" vertical="center"/>
    </xf>
    <xf numFmtId="2" fontId="3" fillId="4" borderId="8" xfId="0" applyNumberFormat="1" applyFont="1" applyFill="1" applyBorder="1" applyAlignment="1">
      <alignment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8" xfId="0" applyNumberFormat="1" applyFont="1" applyBorder="1" applyAlignment="1">
      <alignment horizontal="center" vertical="center"/>
    </xf>
    <xf numFmtId="171" fontId="2" fillId="0" borderId="8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205" fontId="26" fillId="0" borderId="19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22" xfId="0" applyNumberFormat="1" applyFont="1" applyFill="1" applyBorder="1" applyAlignment="1">
      <alignment horizontal="right" vertical="center"/>
    </xf>
    <xf numFmtId="205" fontId="26" fillId="0" borderId="23" xfId="0" applyNumberFormat="1" applyFont="1" applyFill="1" applyBorder="1" applyAlignment="1">
      <alignment horizontal="right" vertical="center"/>
    </xf>
    <xf numFmtId="205" fontId="27" fillId="0" borderId="24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9" xfId="0" applyNumberFormat="1" applyFont="1" applyBorder="1" applyAlignment="1">
      <alignment/>
    </xf>
    <xf numFmtId="170" fontId="18" fillId="0" borderId="15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70" fontId="15" fillId="7" borderId="0" xfId="0" applyNumberFormat="1" applyFont="1" applyFill="1" applyBorder="1" applyAlignment="1">
      <alignment/>
    </xf>
    <xf numFmtId="170" fontId="15" fillId="7" borderId="4" xfId="0" applyNumberFormat="1" applyFont="1" applyFill="1" applyBorder="1" applyAlignment="1">
      <alignment/>
    </xf>
    <xf numFmtId="170" fontId="30" fillId="7" borderId="0" xfId="0" applyNumberFormat="1" applyFont="1" applyFill="1" applyBorder="1" applyAlignment="1">
      <alignment/>
    </xf>
    <xf numFmtId="170" fontId="30" fillId="7" borderId="4" xfId="0" applyNumberFormat="1" applyFont="1" applyFill="1" applyBorder="1" applyAlignment="1">
      <alignment/>
    </xf>
    <xf numFmtId="0" fontId="3" fillId="7" borderId="1" xfId="0" applyFont="1" applyFill="1" applyBorder="1" applyAlignment="1">
      <alignment horizontal="center" vertical="center"/>
    </xf>
    <xf numFmtId="170" fontId="15" fillId="7" borderId="15" xfId="0" applyNumberFormat="1" applyFont="1" applyFill="1" applyBorder="1" applyAlignment="1">
      <alignment/>
    </xf>
    <xf numFmtId="170" fontId="15" fillId="7" borderId="10" xfId="0" applyNumberFormat="1" applyFont="1" applyFill="1" applyBorder="1" applyAlignment="1">
      <alignment/>
    </xf>
    <xf numFmtId="0" fontId="3" fillId="7" borderId="3" xfId="0" applyFont="1" applyFill="1" applyBorder="1" applyAlignment="1">
      <alignment horizontal="center" vertical="center"/>
    </xf>
    <xf numFmtId="170" fontId="15" fillId="7" borderId="8" xfId="0" applyNumberFormat="1" applyFont="1" applyFill="1" applyBorder="1" applyAlignment="1">
      <alignment/>
    </xf>
    <xf numFmtId="170" fontId="15" fillId="7" borderId="9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8" xfId="0" applyBorder="1" applyAlignment="1">
      <alignment/>
    </xf>
    <xf numFmtId="170" fontId="19" fillId="0" borderId="15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8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7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175" fontId="2" fillId="0" borderId="17" xfId="0" applyNumberFormat="1" applyFont="1" applyFill="1" applyBorder="1" applyAlignment="1">
      <alignment horizontal="right" vertical="center"/>
    </xf>
    <xf numFmtId="175" fontId="2" fillId="0" borderId="18" xfId="0" applyNumberFormat="1" applyFont="1" applyBorder="1" applyAlignment="1">
      <alignment vertical="center"/>
    </xf>
    <xf numFmtId="175" fontId="2" fillId="0" borderId="17" xfId="0" applyNumberFormat="1" applyFont="1" applyBorder="1" applyAlignment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3" fillId="5" borderId="1" xfId="0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15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righ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9" fillId="4" borderId="15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30" fillId="4" borderId="0" xfId="0" applyNumberFormat="1" applyFont="1" applyFill="1" applyBorder="1" applyAlignment="1">
      <alignment/>
    </xf>
    <xf numFmtId="170" fontId="30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30" fillId="4" borderId="15" xfId="0" applyNumberFormat="1" applyFont="1" applyFill="1" applyBorder="1" applyAlignment="1">
      <alignment/>
    </xf>
    <xf numFmtId="170" fontId="30" fillId="4" borderId="10" xfId="0" applyNumberFormat="1" applyFont="1" applyFill="1" applyBorder="1" applyAlignment="1">
      <alignment/>
    </xf>
    <xf numFmtId="170" fontId="30" fillId="4" borderId="8" xfId="0" applyNumberFormat="1" applyFont="1" applyFill="1" applyBorder="1" applyAlignment="1">
      <alignment/>
    </xf>
    <xf numFmtId="170" fontId="30" fillId="4" borderId="9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1995 - 2007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15"/>
          <c:w val="0.948"/>
          <c:h val="0.809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passeng_graph!$C$40:$O$40</c:f>
              <c:numCache/>
            </c:numRef>
          </c:val>
          <c:smooth val="0"/>
        </c:ser>
        <c:marker val="1"/>
        <c:axId val="48302264"/>
        <c:axId val="32067193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passeng_graph!$C$42:$O$42</c:f>
              <c:numCache/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passeng_graph!$C$45:$O$45</c:f>
              <c:numCache/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passeng_graph!$C$43:$O$43</c:f>
              <c:numCache/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passeng_graph!$C$41:$O$41</c:f>
              <c:numCache/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passeng_graph!$C$44:$O$44</c:f>
              <c:numCache/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passeng_graph!$C$46:$O$46</c:f>
              <c:numCache/>
            </c:numRef>
          </c:val>
          <c:smooth val="0"/>
        </c:ser>
        <c:marker val="1"/>
        <c:axId val="20169282"/>
        <c:axId val="47305811"/>
      </c:lineChart>
      <c:catAx>
        <c:axId val="483022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067193"/>
        <c:crosses val="autoZero"/>
        <c:auto val="0"/>
        <c:lblOffset val="100"/>
        <c:tickLblSkip val="1"/>
        <c:noMultiLvlLbl val="0"/>
      </c:catAx>
      <c:valAx>
        <c:axId val="3206719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02264"/>
        <c:crossesAt val="1"/>
        <c:crossBetween val="midCat"/>
        <c:dispUnits/>
      </c:valAx>
      <c:catAx>
        <c:axId val="20169282"/>
        <c:scaling>
          <c:orientation val="minMax"/>
        </c:scaling>
        <c:axPos val="b"/>
        <c:delete val="1"/>
        <c:majorTickMark val="in"/>
        <c:minorTickMark val="none"/>
        <c:tickLblPos val="nextTo"/>
        <c:crossAx val="47305811"/>
        <c:crosses val="autoZero"/>
        <c:auto val="0"/>
        <c:lblOffset val="100"/>
        <c:tickLblSkip val="1"/>
        <c:noMultiLvlLbl val="0"/>
      </c:catAx>
      <c:valAx>
        <c:axId val="4730581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6928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875"/>
          <c:w val="0.94"/>
          <c:h val="0.071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9</xdr:col>
      <xdr:colOff>790575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85725" y="200025"/>
        <a:ext cx="59531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9" sqref="B9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07" t="s">
        <v>68</v>
      </c>
      <c r="C1" s="407"/>
      <c r="D1" s="407"/>
      <c r="E1" s="407"/>
    </row>
    <row r="2" spans="2:5" ht="19.5" customHeight="1">
      <c r="B2" s="408" t="s">
        <v>69</v>
      </c>
      <c r="C2" s="408"/>
      <c r="D2" s="408"/>
      <c r="E2" s="408"/>
    </row>
    <row r="3" spans="2:5" ht="19.5" customHeight="1">
      <c r="B3" s="409" t="s">
        <v>70</v>
      </c>
      <c r="C3" s="409"/>
      <c r="D3" s="409"/>
      <c r="E3" s="409"/>
    </row>
    <row r="4" spans="2:5" ht="19.5" customHeight="1">
      <c r="B4" s="410" t="s">
        <v>73</v>
      </c>
      <c r="C4" s="410"/>
      <c r="D4" s="410"/>
      <c r="E4" s="410"/>
    </row>
    <row r="5" spans="2:5" ht="19.5" customHeight="1">
      <c r="B5" s="87"/>
      <c r="C5" s="87"/>
      <c r="D5" s="87"/>
      <c r="E5" s="87"/>
    </row>
    <row r="6" ht="19.5" customHeight="1"/>
    <row r="7" spans="2:5" ht="19.5" customHeight="1">
      <c r="B7" s="407" t="s">
        <v>71</v>
      </c>
      <c r="C7" s="407"/>
      <c r="D7" s="407"/>
      <c r="E7" s="407"/>
    </row>
    <row r="8" spans="2:5" ht="19.5" customHeight="1">
      <c r="B8" s="406" t="s">
        <v>132</v>
      </c>
      <c r="C8" s="406"/>
      <c r="D8" s="406"/>
      <c r="E8" s="406"/>
    </row>
    <row r="9" spans="2:5" ht="19.5" customHeight="1">
      <c r="B9" s="88"/>
      <c r="C9" s="88"/>
      <c r="D9" s="88"/>
      <c r="E9" s="88"/>
    </row>
    <row r="10" spans="2:5" ht="19.5" customHeight="1">
      <c r="B10" s="411" t="s">
        <v>60</v>
      </c>
      <c r="C10" s="411"/>
      <c r="D10" s="411"/>
      <c r="E10" s="411"/>
    </row>
    <row r="11" spans="2:5" ht="19.5" customHeight="1">
      <c r="B11" s="7"/>
      <c r="E11" s="7"/>
    </row>
    <row r="12" spans="2:5" ht="19.5" customHeight="1">
      <c r="B12" s="412" t="s">
        <v>0</v>
      </c>
      <c r="C12" s="412"/>
      <c r="D12" s="412"/>
      <c r="E12" s="412"/>
    </row>
    <row r="13" spans="2:5" ht="19.5" customHeight="1">
      <c r="B13" s="412" t="s">
        <v>77</v>
      </c>
      <c r="C13" s="412"/>
      <c r="D13" s="412"/>
      <c r="E13" s="412"/>
    </row>
    <row r="14" spans="2:5" ht="19.5" customHeight="1">
      <c r="B14" s="412" t="s">
        <v>78</v>
      </c>
      <c r="C14" s="412"/>
      <c r="D14" s="412"/>
      <c r="E14" s="41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9" t="s">
        <v>48</v>
      </c>
      <c r="C17" s="90"/>
      <c r="D17" s="91" t="s">
        <v>72</v>
      </c>
      <c r="E17" s="7"/>
    </row>
    <row r="18" spans="2:5" ht="15" customHeight="1">
      <c r="B18" s="89" t="s">
        <v>49</v>
      </c>
      <c r="C18" s="90"/>
      <c r="D18" s="91" t="s">
        <v>74</v>
      </c>
      <c r="E18" s="7"/>
    </row>
    <row r="19" spans="2:5" ht="15" customHeight="1">
      <c r="B19" s="89" t="s">
        <v>51</v>
      </c>
      <c r="C19" s="90"/>
      <c r="D19" s="91" t="s">
        <v>75</v>
      </c>
      <c r="E19" s="7"/>
    </row>
    <row r="20" spans="2:5" ht="15" customHeight="1">
      <c r="B20" s="89" t="s">
        <v>52</v>
      </c>
      <c r="C20" s="90"/>
      <c r="D20" s="93" t="s">
        <v>57</v>
      </c>
      <c r="E20" s="7"/>
    </row>
    <row r="21" spans="2:5" ht="15" customHeight="1">
      <c r="B21" s="89" t="s">
        <v>53</v>
      </c>
      <c r="C21" s="90"/>
      <c r="D21" s="93" t="s">
        <v>58</v>
      </c>
      <c r="E21" s="7"/>
    </row>
    <row r="22" spans="2:4" ht="15" customHeight="1">
      <c r="B22" s="89" t="s">
        <v>54</v>
      </c>
      <c r="C22" s="92"/>
      <c r="D22" s="93" t="s">
        <v>2</v>
      </c>
    </row>
    <row r="23" spans="2:5" ht="15" customHeight="1">
      <c r="B23" s="89" t="s">
        <v>55</v>
      </c>
      <c r="C23" s="92"/>
      <c r="D23" s="93" t="s">
        <v>59</v>
      </c>
      <c r="E23"/>
    </row>
    <row r="24" spans="2:5" ht="15" customHeight="1">
      <c r="B24" s="89" t="s">
        <v>56</v>
      </c>
      <c r="C24" s="92"/>
      <c r="D24" s="91" t="s">
        <v>104</v>
      </c>
      <c r="E24" s="7"/>
    </row>
    <row r="25" spans="2:5" ht="15" customHeight="1">
      <c r="B25" s="89" t="s">
        <v>80</v>
      </c>
      <c r="C25" s="113"/>
      <c r="D25" s="91" t="s">
        <v>105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0"/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  <col min="10" max="10" width="1.7109375" style="0" customWidth="1"/>
  </cols>
  <sheetData>
    <row r="1" spans="2:9" ht="14.25" customHeight="1">
      <c r="B1" s="114"/>
      <c r="C1" s="114"/>
      <c r="D1" s="114"/>
      <c r="E1" s="114"/>
      <c r="F1" s="114"/>
      <c r="G1" s="114"/>
      <c r="H1" s="115"/>
      <c r="I1" s="104" t="s">
        <v>80</v>
      </c>
    </row>
    <row r="2" spans="2:9" s="25" customFormat="1" ht="30" customHeight="1">
      <c r="B2" s="431" t="s">
        <v>81</v>
      </c>
      <c r="C2" s="431"/>
      <c r="D2" s="431"/>
      <c r="E2" s="431"/>
      <c r="F2" s="431"/>
      <c r="G2" s="431"/>
      <c r="H2" s="431"/>
      <c r="I2" s="431"/>
    </row>
    <row r="3" spans="2:9" ht="15" customHeight="1">
      <c r="B3" s="432" t="s">
        <v>82</v>
      </c>
      <c r="C3" s="432"/>
      <c r="D3" s="432"/>
      <c r="E3" s="432"/>
      <c r="F3" s="432"/>
      <c r="G3" s="432"/>
      <c r="H3" s="432"/>
      <c r="I3" s="432"/>
    </row>
    <row r="4" spans="2:9" ht="12" customHeight="1">
      <c r="B4" s="439" t="s">
        <v>7</v>
      </c>
      <c r="C4" s="439"/>
      <c r="D4" s="439"/>
      <c r="E4" s="439"/>
      <c r="F4" s="439"/>
      <c r="G4" s="439"/>
      <c r="H4" s="439"/>
      <c r="I4" s="439"/>
    </row>
    <row r="5" spans="2:9" ht="12.75" customHeight="1">
      <c r="B5" s="44"/>
      <c r="C5" s="434" t="s">
        <v>83</v>
      </c>
      <c r="D5" s="434" t="s">
        <v>84</v>
      </c>
      <c r="E5" s="436" t="s">
        <v>85</v>
      </c>
      <c r="F5" s="436" t="s">
        <v>86</v>
      </c>
      <c r="G5" s="434" t="s">
        <v>87</v>
      </c>
      <c r="H5" s="436" t="s">
        <v>62</v>
      </c>
      <c r="I5" s="436" t="s">
        <v>63</v>
      </c>
    </row>
    <row r="6" spans="2:9" ht="22.5" customHeight="1">
      <c r="B6" s="44"/>
      <c r="C6" s="435"/>
      <c r="D6" s="435"/>
      <c r="E6" s="437"/>
      <c r="F6" s="437"/>
      <c r="G6" s="435"/>
      <c r="H6" s="437"/>
      <c r="I6" s="437"/>
    </row>
    <row r="7" spans="2:9" ht="12.75" customHeight="1">
      <c r="B7" s="116">
        <v>2006</v>
      </c>
      <c r="C7" s="221">
        <f>4278.636+3038.437</f>
        <v>7317.073</v>
      </c>
      <c r="D7" s="223">
        <v>25.347</v>
      </c>
      <c r="E7" s="223">
        <v>23.691</v>
      </c>
      <c r="F7" s="223">
        <f>238.642+36.727</f>
        <v>275.36899999999997</v>
      </c>
      <c r="G7" s="223">
        <f>3.003+16.674</f>
        <v>19.677</v>
      </c>
      <c r="H7" s="224">
        <v>950.532</v>
      </c>
      <c r="I7" s="219">
        <f aca="true" t="shared" si="0" ref="I7:I19">SUM(C7:H7)</f>
        <v>8611.688999999998</v>
      </c>
    </row>
    <row r="8" spans="2:9" ht="12.75" customHeight="1">
      <c r="B8" s="118">
        <v>2005</v>
      </c>
      <c r="C8" s="221">
        <f>4344.11+2904.621</f>
        <v>7248.731</v>
      </c>
      <c r="D8" s="223">
        <v>21.367</v>
      </c>
      <c r="E8" s="223">
        <v>23.204</v>
      </c>
      <c r="F8" s="223">
        <f>238.17+35.124</f>
        <v>273.294</v>
      </c>
      <c r="G8" s="223">
        <f>2.736+15.245</f>
        <v>17.980999999999998</v>
      </c>
      <c r="H8" s="224">
        <v>939.357</v>
      </c>
      <c r="I8" s="219">
        <f t="shared" si="0"/>
        <v>8523.934</v>
      </c>
    </row>
    <row r="9" spans="2:9" ht="12.75" customHeight="1">
      <c r="B9" s="118">
        <v>2004</v>
      </c>
      <c r="C9" s="221">
        <f>4322.42+2865.873</f>
        <v>7188.293</v>
      </c>
      <c r="D9" s="223">
        <v>20.688</v>
      </c>
      <c r="E9" s="223">
        <v>23.101</v>
      </c>
      <c r="F9" s="223">
        <f>232.048+34.403</f>
        <v>266.451</v>
      </c>
      <c r="G9" s="223">
        <f>2.536+15.641</f>
        <v>18.177</v>
      </c>
      <c r="H9" s="224">
        <v>897.841</v>
      </c>
      <c r="I9" s="219">
        <f t="shared" si="0"/>
        <v>8414.551</v>
      </c>
    </row>
    <row r="10" spans="2:9" ht="12.75" customHeight="1">
      <c r="B10" s="118">
        <v>2003</v>
      </c>
      <c r="C10" s="221">
        <f>4251.702+2745.707</f>
        <v>6997.409</v>
      </c>
      <c r="D10" s="223">
        <v>19.574</v>
      </c>
      <c r="E10" s="223">
        <f>21.897</f>
        <v>21.897</v>
      </c>
      <c r="F10" s="223">
        <f>231.425+34.218</f>
        <v>265.64300000000003</v>
      </c>
      <c r="G10" s="223">
        <f>2.375+15.384</f>
        <v>17.759</v>
      </c>
      <c r="H10" s="224">
        <v>812.974</v>
      </c>
      <c r="I10" s="219">
        <f t="shared" si="0"/>
        <v>8135.255999999999</v>
      </c>
    </row>
    <row r="11" spans="2:9" ht="12.75" customHeight="1">
      <c r="B11" s="119">
        <v>2002</v>
      </c>
      <c r="C11" s="221">
        <f>4217.107+2695.316</f>
        <v>6912.423</v>
      </c>
      <c r="D11" s="223">
        <v>19.523</v>
      </c>
      <c r="E11" s="223">
        <f>21.988</f>
        <v>21.988</v>
      </c>
      <c r="F11" s="223">
        <f>233.554+35.15</f>
        <v>268.704</v>
      </c>
      <c r="G11" s="223">
        <f>2.305+15.295</f>
        <v>17.6</v>
      </c>
      <c r="H11" s="224">
        <v>776.202</v>
      </c>
      <c r="I11" s="219">
        <f t="shared" si="0"/>
        <v>8016.4400000000005</v>
      </c>
    </row>
    <row r="12" spans="2:9" ht="12.75" customHeight="1">
      <c r="B12" s="119">
        <v>2001</v>
      </c>
      <c r="C12" s="221">
        <f>4114.257+2701.852</f>
        <v>6816.1089999999995</v>
      </c>
      <c r="D12" s="223">
        <v>18.926</v>
      </c>
      <c r="E12" s="223">
        <f>22.817</f>
        <v>22.817</v>
      </c>
      <c r="F12" s="223">
        <f>241.469+35.441</f>
        <v>276.90999999999997</v>
      </c>
      <c r="G12" s="223">
        <f>2.313+15.366</f>
        <v>17.679</v>
      </c>
      <c r="H12" s="224">
        <v>782.956</v>
      </c>
      <c r="I12" s="219">
        <f t="shared" si="0"/>
        <v>7935.397</v>
      </c>
    </row>
    <row r="13" spans="2:9" ht="12.75" customHeight="1">
      <c r="B13" s="119">
        <v>2000</v>
      </c>
      <c r="C13" s="221">
        <f>4094.907+2361.976</f>
        <v>6456.883</v>
      </c>
      <c r="D13" s="223">
        <v>18.533</v>
      </c>
      <c r="E13" s="223">
        <f>22.28</f>
        <v>22.28</v>
      </c>
      <c r="F13" s="223">
        <f>258.974+34.184</f>
        <v>293.158</v>
      </c>
      <c r="G13" s="223">
        <f>2.182+15.131</f>
        <v>17.313</v>
      </c>
      <c r="H13" s="224">
        <v>830.629</v>
      </c>
      <c r="I13" s="219">
        <f t="shared" si="0"/>
        <v>7638.796</v>
      </c>
    </row>
    <row r="14" spans="2:9" ht="12.75" customHeight="1">
      <c r="B14" s="119">
        <v>1999</v>
      </c>
      <c r="C14" s="221">
        <f>4015.104+2305.586</f>
        <v>6320.69</v>
      </c>
      <c r="D14" s="223">
        <v>18.736</v>
      </c>
      <c r="E14" s="223">
        <f>20.764</f>
        <v>20.764</v>
      </c>
      <c r="F14" s="223">
        <f>261.43+34.126</f>
        <v>295.556</v>
      </c>
      <c r="G14" s="223">
        <f>1.941+14.108</f>
        <v>16.049</v>
      </c>
      <c r="H14" s="224">
        <v>785.934</v>
      </c>
      <c r="I14" s="219">
        <f t="shared" si="0"/>
        <v>7457.728999999999</v>
      </c>
    </row>
    <row r="15" spans="2:9" ht="12.75" customHeight="1">
      <c r="B15" s="119">
        <v>1998</v>
      </c>
      <c r="C15" s="221">
        <f>3965.147+2221.791</f>
        <v>6186.938</v>
      </c>
      <c r="D15" s="223">
        <v>18.203</v>
      </c>
      <c r="E15" s="223">
        <f>19.769</f>
        <v>19.769</v>
      </c>
      <c r="F15" s="223">
        <f>239.081+32.766</f>
        <v>271.847</v>
      </c>
      <c r="G15" s="223">
        <f>1.815+14.008</f>
        <v>15.822999999999999</v>
      </c>
      <c r="H15" s="224">
        <v>745.548</v>
      </c>
      <c r="I15" s="219">
        <f t="shared" si="0"/>
        <v>7258.128000000001</v>
      </c>
    </row>
    <row r="16" spans="2:9" ht="12.75" customHeight="1">
      <c r="B16" s="119">
        <v>1997</v>
      </c>
      <c r="C16" s="221">
        <f>3844.827+2176.919</f>
        <v>6021.746</v>
      </c>
      <c r="D16" s="223">
        <v>17.846</v>
      </c>
      <c r="E16" s="223">
        <f>19.402</f>
        <v>19.402</v>
      </c>
      <c r="F16" s="223">
        <f>233.451+31.55</f>
        <v>265.001</v>
      </c>
      <c r="G16" s="223">
        <f>1.666+12.936</f>
        <v>14.602</v>
      </c>
      <c r="H16" s="224">
        <v>725.19</v>
      </c>
      <c r="I16" s="219">
        <f t="shared" si="0"/>
        <v>7063.787</v>
      </c>
    </row>
    <row r="17" spans="2:9" ht="12.75" customHeight="1">
      <c r="B17" s="119">
        <v>1996</v>
      </c>
      <c r="C17" s="221">
        <f>3761.146+2089.41</f>
        <v>5850.5560000000005</v>
      </c>
      <c r="D17" s="223">
        <v>17.561</v>
      </c>
      <c r="E17" s="223">
        <f>18.556</f>
        <v>18.556</v>
      </c>
      <c r="F17" s="223">
        <f>223.918+30.732</f>
        <v>254.65</v>
      </c>
      <c r="G17" s="223">
        <f>1.54+13.44</f>
        <v>14.98</v>
      </c>
      <c r="H17" s="224">
        <v>699.505</v>
      </c>
      <c r="I17" s="219">
        <f t="shared" si="0"/>
        <v>6855.807999999999</v>
      </c>
    </row>
    <row r="18" spans="2:9" ht="12.75" customHeight="1">
      <c r="B18" s="119">
        <v>1995</v>
      </c>
      <c r="C18" s="221">
        <f>3680.388+2021.571</f>
        <v>5701.959</v>
      </c>
      <c r="D18" s="223">
        <v>17.344</v>
      </c>
      <c r="E18" s="223">
        <f>16.993</f>
        <v>16.993</v>
      </c>
      <c r="F18" s="223">
        <f>219.038+30.285</f>
        <v>249.323</v>
      </c>
      <c r="G18" s="223">
        <f>1.384+13.267</f>
        <v>14.651</v>
      </c>
      <c r="H18" s="224">
        <v>649.995</v>
      </c>
      <c r="I18" s="219">
        <f t="shared" si="0"/>
        <v>6650.265</v>
      </c>
    </row>
    <row r="19" spans="2:9" ht="12.75" customHeight="1">
      <c r="B19" s="120">
        <v>1990</v>
      </c>
      <c r="C19" s="222">
        <f>3671.543+1608.947</f>
        <v>5280.49</v>
      </c>
      <c r="D19" s="225">
        <v>19.995</v>
      </c>
      <c r="E19" s="225">
        <f>18.467</f>
        <v>18.467</v>
      </c>
      <c r="F19" s="225">
        <f>195.371+33.766</f>
        <v>229.137</v>
      </c>
      <c r="G19" s="225">
        <f>0.919+11.397</f>
        <v>12.316</v>
      </c>
      <c r="H19" s="226">
        <v>556.629</v>
      </c>
      <c r="I19" s="220">
        <f t="shared" si="0"/>
        <v>6117.033999999999</v>
      </c>
    </row>
    <row r="20" spans="2:9" ht="15" customHeight="1">
      <c r="B20" s="56" t="s">
        <v>118</v>
      </c>
      <c r="C20" s="121"/>
      <c r="D20" s="121"/>
      <c r="E20" s="121"/>
      <c r="F20" s="121"/>
      <c r="G20" s="122"/>
      <c r="H20" s="122"/>
      <c r="I20" s="122"/>
    </row>
    <row r="21" spans="2:9" ht="12.75" customHeight="1">
      <c r="B21" s="440" t="s">
        <v>65</v>
      </c>
      <c r="C21" s="440"/>
      <c r="D21" s="123"/>
      <c r="E21" s="12"/>
      <c r="F21" s="12"/>
      <c r="G21" s="12"/>
      <c r="H21" s="12"/>
      <c r="I21" s="12"/>
    </row>
    <row r="22" spans="2:9" ht="12.75" customHeight="1">
      <c r="B22" s="441" t="s">
        <v>116</v>
      </c>
      <c r="C22" s="441"/>
      <c r="D22" s="441"/>
      <c r="E22" s="441"/>
      <c r="F22" s="441"/>
      <c r="G22" s="441"/>
      <c r="H22" s="441"/>
      <c r="I22" s="441"/>
    </row>
    <row r="23" spans="2:9" ht="15" customHeight="1">
      <c r="B23" s="124"/>
      <c r="C23" s="122"/>
      <c r="D23" s="122"/>
      <c r="E23" s="125"/>
      <c r="F23" s="125"/>
      <c r="G23" s="125"/>
      <c r="H23" s="125"/>
      <c r="I23" s="125"/>
    </row>
    <row r="24" spans="2:9" ht="15" customHeight="1">
      <c r="B24" s="433" t="s">
        <v>88</v>
      </c>
      <c r="C24" s="433"/>
      <c r="D24" s="433"/>
      <c r="E24" s="433"/>
      <c r="F24" s="433"/>
      <c r="G24" s="433"/>
      <c r="H24" s="433"/>
      <c r="I24" s="433"/>
    </row>
    <row r="25" spans="2:9" ht="12" customHeight="1">
      <c r="B25" s="438" t="s">
        <v>89</v>
      </c>
      <c r="C25" s="438"/>
      <c r="D25" s="438"/>
      <c r="E25" s="438"/>
      <c r="F25" s="438"/>
      <c r="G25" s="438"/>
      <c r="H25" s="438"/>
      <c r="I25" s="438"/>
    </row>
    <row r="26" spans="2:9" ht="12.75" customHeight="1">
      <c r="B26" s="44"/>
      <c r="C26" s="434" t="s">
        <v>83</v>
      </c>
      <c r="D26" s="434" t="s">
        <v>84</v>
      </c>
      <c r="E26" s="436" t="s">
        <v>85</v>
      </c>
      <c r="F26" s="436" t="s">
        <v>86</v>
      </c>
      <c r="G26" s="434" t="s">
        <v>87</v>
      </c>
      <c r="H26" s="436" t="s">
        <v>62</v>
      </c>
      <c r="I26" s="436" t="s">
        <v>63</v>
      </c>
    </row>
    <row r="27" spans="2:9" ht="23.25" customHeight="1">
      <c r="B27" s="44"/>
      <c r="C27" s="435"/>
      <c r="D27" s="435"/>
      <c r="E27" s="437"/>
      <c r="F27" s="437"/>
      <c r="G27" s="435"/>
      <c r="H27" s="437"/>
      <c r="I27" s="437"/>
    </row>
    <row r="28" spans="2:9" ht="12.75" customHeight="1">
      <c r="B28" s="116">
        <v>2006</v>
      </c>
      <c r="C28" s="105">
        <f aca="true" t="shared" si="1" ref="C28:I28">100*(C7/C8-1)</f>
        <v>0.9428133007004957</v>
      </c>
      <c r="D28" s="106">
        <f t="shared" si="1"/>
        <v>18.626854495249678</v>
      </c>
      <c r="E28" s="106">
        <f t="shared" si="1"/>
        <v>2.0987760730908356</v>
      </c>
      <c r="F28" s="106">
        <f t="shared" si="1"/>
        <v>0.7592556001961182</v>
      </c>
      <c r="G28" s="106">
        <f t="shared" si="1"/>
        <v>9.432178410544466</v>
      </c>
      <c r="H28" s="107">
        <f t="shared" si="1"/>
        <v>1.1896435540481587</v>
      </c>
      <c r="I28" s="108">
        <f t="shared" si="1"/>
        <v>1.0295128986216762</v>
      </c>
    </row>
    <row r="29" spans="2:9" ht="12.75" customHeight="1">
      <c r="B29" s="118">
        <v>2005</v>
      </c>
      <c r="C29" s="105">
        <f aca="true" t="shared" si="2" ref="C29:I29">100*(C8/C9-1)</f>
        <v>0.8407837577015798</v>
      </c>
      <c r="D29" s="106">
        <f t="shared" si="2"/>
        <v>3.282095901005433</v>
      </c>
      <c r="E29" s="106">
        <f t="shared" si="2"/>
        <v>0.4458681442361945</v>
      </c>
      <c r="F29" s="106">
        <f t="shared" si="2"/>
        <v>2.5682020333944955</v>
      </c>
      <c r="G29" s="106">
        <f t="shared" si="2"/>
        <v>-1.0782857457226291</v>
      </c>
      <c r="H29" s="107">
        <f t="shared" si="2"/>
        <v>4.623981306266911</v>
      </c>
      <c r="I29" s="108">
        <f t="shared" si="2"/>
        <v>1.2999267578269968</v>
      </c>
    </row>
    <row r="30" spans="2:9" ht="12.75" customHeight="1">
      <c r="B30" s="118">
        <v>2004</v>
      </c>
      <c r="C30" s="105">
        <f aca="true" t="shared" si="3" ref="C30:I31">100*(C9/C10-1)</f>
        <v>2.7279240073004196</v>
      </c>
      <c r="D30" s="106">
        <f>100*(D9/D10-1)</f>
        <v>5.691223050985994</v>
      </c>
      <c r="E30" s="106">
        <f>100*(E9/E10-1)</f>
        <v>5.498470110060749</v>
      </c>
      <c r="F30" s="106">
        <f t="shared" si="3"/>
        <v>0.3041676234645685</v>
      </c>
      <c r="G30" s="106">
        <f>100*(G9/G10-1)</f>
        <v>2.3537361337913065</v>
      </c>
      <c r="H30" s="107">
        <f t="shared" si="3"/>
        <v>10.439079232546167</v>
      </c>
      <c r="I30" s="108">
        <f>100*(I9/I10-1)</f>
        <v>3.433143345458345</v>
      </c>
    </row>
    <row r="31" spans="1:9" ht="12.75" customHeight="1">
      <c r="A31" s="127"/>
      <c r="B31" s="118">
        <v>2003</v>
      </c>
      <c r="C31" s="105">
        <f t="shared" si="3"/>
        <v>1.229467583219379</v>
      </c>
      <c r="D31" s="106">
        <f>100*(D10/D11-1)</f>
        <v>0.261230343697183</v>
      </c>
      <c r="E31" s="106">
        <f t="shared" si="3"/>
        <v>-0.4138621066036019</v>
      </c>
      <c r="F31" s="106">
        <f t="shared" si="3"/>
        <v>-1.1391717279980895</v>
      </c>
      <c r="G31" s="106">
        <f t="shared" si="3"/>
        <v>0.9034090909090908</v>
      </c>
      <c r="H31" s="107">
        <f t="shared" si="3"/>
        <v>4.737426597715544</v>
      </c>
      <c r="I31" s="108">
        <f t="shared" si="3"/>
        <v>1.4821541731741217</v>
      </c>
    </row>
    <row r="32" spans="1:9" ht="12.75" customHeight="1">
      <c r="A32" s="127"/>
      <c r="B32" s="118">
        <v>2002</v>
      </c>
      <c r="C32" s="105">
        <f aca="true" t="shared" si="4" ref="C32:I32">100*(C11/C12-1)</f>
        <v>1.4130349147879029</v>
      </c>
      <c r="D32" s="106">
        <f>100*(D11/D12-1)</f>
        <v>3.1543907851632635</v>
      </c>
      <c r="E32" s="106">
        <f t="shared" si="4"/>
        <v>-3.6332559056843627</v>
      </c>
      <c r="F32" s="106">
        <f t="shared" si="4"/>
        <v>-2.963417716947736</v>
      </c>
      <c r="G32" s="106">
        <f t="shared" si="4"/>
        <v>-0.4468578539509993</v>
      </c>
      <c r="H32" s="107">
        <f t="shared" si="4"/>
        <v>-0.8626282958429377</v>
      </c>
      <c r="I32" s="108">
        <f t="shared" si="4"/>
        <v>1.021284757397778</v>
      </c>
    </row>
    <row r="33" spans="1:9" ht="19.5" customHeight="1">
      <c r="A33" s="127"/>
      <c r="B33" s="128" t="s">
        <v>117</v>
      </c>
      <c r="C33" s="129">
        <f>100*(POWER((C7/C13),1/6)-1)</f>
        <v>2.1062700839739934</v>
      </c>
      <c r="D33" s="130">
        <f aca="true" t="shared" si="5" ref="D33:I33">100*(POWER((D7/D13),1/6)-1)</f>
        <v>5.357018781624601</v>
      </c>
      <c r="E33" s="130">
        <f t="shared" si="5"/>
        <v>1.0286851942880038</v>
      </c>
      <c r="F33" s="130">
        <f t="shared" si="5"/>
        <v>-1.0379044830437167</v>
      </c>
      <c r="G33" s="130">
        <f t="shared" si="5"/>
        <v>2.1561285867631286</v>
      </c>
      <c r="H33" s="131">
        <f t="shared" si="5"/>
        <v>2.2727519483092706</v>
      </c>
      <c r="I33" s="137">
        <f t="shared" si="5"/>
        <v>2.0181015661166812</v>
      </c>
    </row>
    <row r="34" spans="1:9" ht="19.5" customHeight="1">
      <c r="A34" s="127"/>
      <c r="B34" s="132" t="s">
        <v>90</v>
      </c>
      <c r="C34" s="105">
        <f aca="true" t="shared" si="6" ref="C34:I34">100*(POWER((C13/C18),1/5)-1)</f>
        <v>2.517915093821954</v>
      </c>
      <c r="D34" s="106">
        <f t="shared" si="6"/>
        <v>1.334958080597315</v>
      </c>
      <c r="E34" s="106">
        <f t="shared" si="6"/>
        <v>5.567205608364567</v>
      </c>
      <c r="F34" s="106">
        <f t="shared" si="6"/>
        <v>3.2922841404807723</v>
      </c>
      <c r="G34" s="106">
        <f t="shared" si="6"/>
        <v>3.3953510636280493</v>
      </c>
      <c r="H34" s="107">
        <f t="shared" si="6"/>
        <v>5.026626203255669</v>
      </c>
      <c r="I34" s="108">
        <f t="shared" si="6"/>
        <v>2.8104339168126824</v>
      </c>
    </row>
    <row r="35" spans="1:9" ht="19.5" customHeight="1">
      <c r="A35" s="127"/>
      <c r="B35" s="133" t="s">
        <v>91</v>
      </c>
      <c r="C35" s="109">
        <f aca="true" t="shared" si="7" ref="C35:I35">100*(POWER((C18/C19),1/5)-1)</f>
        <v>1.5476723660431846</v>
      </c>
      <c r="D35" s="110">
        <f>100*(POWER((D18/D19),1/5)-1)</f>
        <v>-2.8046313614381257</v>
      </c>
      <c r="E35" s="110">
        <f t="shared" si="7"/>
        <v>-1.6499145366974832</v>
      </c>
      <c r="F35" s="110">
        <f t="shared" si="7"/>
        <v>1.7029204859399627</v>
      </c>
      <c r="G35" s="110">
        <f t="shared" si="7"/>
        <v>3.5331714521563695</v>
      </c>
      <c r="H35" s="111">
        <f t="shared" si="7"/>
        <v>3.149906197988339</v>
      </c>
      <c r="I35" s="112">
        <f t="shared" si="7"/>
        <v>1.6856364922928302</v>
      </c>
    </row>
    <row r="36" spans="2:9" ht="15" customHeight="1">
      <c r="B36" s="124"/>
      <c r="C36" s="4"/>
      <c r="D36" s="4"/>
      <c r="E36" s="4"/>
      <c r="F36" s="4"/>
      <c r="G36" s="4"/>
      <c r="H36" s="4"/>
      <c r="I36" s="4"/>
    </row>
    <row r="37" spans="2:9" ht="15" customHeight="1">
      <c r="B37" s="433" t="s">
        <v>67</v>
      </c>
      <c r="C37" s="433"/>
      <c r="D37" s="433"/>
      <c r="E37" s="433"/>
      <c r="F37" s="433"/>
      <c r="G37" s="433"/>
      <c r="H37" s="433"/>
      <c r="I37" s="433"/>
    </row>
    <row r="38" spans="2:9" ht="9.75" customHeight="1">
      <c r="B38" s="442" t="s">
        <v>46</v>
      </c>
      <c r="C38" s="442"/>
      <c r="D38" s="442"/>
      <c r="E38" s="442"/>
      <c r="F38" s="442"/>
      <c r="G38" s="442"/>
      <c r="H38" s="442"/>
      <c r="I38" s="442"/>
    </row>
    <row r="39" spans="2:9" ht="12.75" customHeight="1">
      <c r="B39" s="44"/>
      <c r="C39" s="434" t="s">
        <v>83</v>
      </c>
      <c r="D39" s="434" t="s">
        <v>84</v>
      </c>
      <c r="E39" s="436" t="s">
        <v>85</v>
      </c>
      <c r="F39" s="436" t="s">
        <v>86</v>
      </c>
      <c r="G39" s="434" t="s">
        <v>87</v>
      </c>
      <c r="H39" s="436" t="s">
        <v>62</v>
      </c>
      <c r="I39" s="443"/>
    </row>
    <row r="40" spans="2:9" ht="23.25" customHeight="1">
      <c r="B40" s="44"/>
      <c r="C40" s="435"/>
      <c r="D40" s="435"/>
      <c r="E40" s="437"/>
      <c r="F40" s="437"/>
      <c r="G40" s="435"/>
      <c r="H40" s="437"/>
      <c r="I40" s="443"/>
    </row>
    <row r="41" spans="2:9" ht="12.75" customHeight="1">
      <c r="B41" s="116">
        <v>2006</v>
      </c>
      <c r="C41" s="227">
        <f aca="true" t="shared" si="8" ref="C41:H43">100*(C7/$I7)</f>
        <v>84.96675855340342</v>
      </c>
      <c r="D41" s="228">
        <f t="shared" si="8"/>
        <v>0.2943325055050177</v>
      </c>
      <c r="E41" s="228">
        <f t="shared" si="8"/>
        <v>0.27510282826051896</v>
      </c>
      <c r="F41" s="228">
        <f t="shared" si="8"/>
        <v>3.1976189572103686</v>
      </c>
      <c r="G41" s="228">
        <f t="shared" si="8"/>
        <v>0.2284917627657014</v>
      </c>
      <c r="H41" s="229">
        <f t="shared" si="8"/>
        <v>11.037695392854992</v>
      </c>
      <c r="I41" s="117"/>
    </row>
    <row r="42" spans="2:9" ht="12.75" customHeight="1">
      <c r="B42" s="118">
        <v>2005</v>
      </c>
      <c r="C42" s="227">
        <f t="shared" si="8"/>
        <v>85.03973634709044</v>
      </c>
      <c r="D42" s="228">
        <f t="shared" si="8"/>
        <v>0.25067064104438164</v>
      </c>
      <c r="E42" s="228">
        <f t="shared" si="8"/>
        <v>0.2722217229743919</v>
      </c>
      <c r="F42" s="228">
        <f t="shared" si="8"/>
        <v>3.2061956368972355</v>
      </c>
      <c r="G42" s="228">
        <f t="shared" si="8"/>
        <v>0.21094719879342097</v>
      </c>
      <c r="H42" s="229">
        <f t="shared" si="8"/>
        <v>11.020228453200131</v>
      </c>
      <c r="I42" s="117"/>
    </row>
    <row r="43" spans="2:9" ht="12.75" customHeight="1">
      <c r="B43" s="118">
        <v>2004</v>
      </c>
      <c r="C43" s="227">
        <f t="shared" si="8"/>
        <v>85.42693484179964</v>
      </c>
      <c r="D43" s="228">
        <f t="shared" si="8"/>
        <v>0.24585982068443105</v>
      </c>
      <c r="E43" s="228">
        <f t="shared" si="8"/>
        <v>0.27453633592570775</v>
      </c>
      <c r="F43" s="228">
        <f t="shared" si="8"/>
        <v>3.1665504196242913</v>
      </c>
      <c r="G43" s="228">
        <f t="shared" si="8"/>
        <v>0.21601865625391065</v>
      </c>
      <c r="H43" s="229">
        <f t="shared" si="8"/>
        <v>10.670099925712021</v>
      </c>
      <c r="I43" s="117"/>
    </row>
    <row r="44" spans="2:8" ht="12.75" customHeight="1">
      <c r="B44" s="118">
        <v>2003</v>
      </c>
      <c r="C44" s="227">
        <f aca="true" t="shared" si="9" ref="C44:H45">100*(C10/$I10)</f>
        <v>86.01338421310896</v>
      </c>
      <c r="D44" s="228">
        <f>100*(D10/$I10)</f>
        <v>0.24060705649582514</v>
      </c>
      <c r="E44" s="228">
        <f t="shared" si="9"/>
        <v>0.26916178175585376</v>
      </c>
      <c r="F44" s="228">
        <f t="shared" si="9"/>
        <v>3.265330556284892</v>
      </c>
      <c r="G44" s="228">
        <f t="shared" si="9"/>
        <v>0.21829675673389998</v>
      </c>
      <c r="H44" s="229">
        <f t="shared" si="9"/>
        <v>9.993219635620566</v>
      </c>
    </row>
    <row r="45" spans="2:8" ht="12.75" customHeight="1">
      <c r="B45" s="119">
        <v>2002</v>
      </c>
      <c r="C45" s="227">
        <f t="shared" si="9"/>
        <v>86.2280887775621</v>
      </c>
      <c r="D45" s="228">
        <f>100*(D11/$I11)</f>
        <v>0.24353703140047203</v>
      </c>
      <c r="E45" s="228">
        <f t="shared" si="9"/>
        <v>0.2742863415680776</v>
      </c>
      <c r="F45" s="228">
        <f t="shared" si="9"/>
        <v>3.3519118212074184</v>
      </c>
      <c r="G45" s="228">
        <f t="shared" si="9"/>
        <v>0.21954882716018584</v>
      </c>
      <c r="H45" s="229">
        <f t="shared" si="9"/>
        <v>9.682627201101736</v>
      </c>
    </row>
    <row r="46" spans="2:9" ht="12.75" customHeight="1">
      <c r="B46" s="118">
        <v>2001</v>
      </c>
      <c r="C46" s="227">
        <f aca="true" t="shared" si="10" ref="C46:H47">100*(C12/$I12)</f>
        <v>85.89499680986344</v>
      </c>
      <c r="D46" s="228">
        <f>100*(D12/$I12)</f>
        <v>0.23850098489086305</v>
      </c>
      <c r="E46" s="228">
        <f t="shared" si="10"/>
        <v>0.2875344484970317</v>
      </c>
      <c r="F46" s="228">
        <f t="shared" si="10"/>
        <v>3.489554460854321</v>
      </c>
      <c r="G46" s="228">
        <f t="shared" si="10"/>
        <v>0.222786585220626</v>
      </c>
      <c r="H46" s="229">
        <f t="shared" si="10"/>
        <v>9.866626710673707</v>
      </c>
      <c r="I46" s="1"/>
    </row>
    <row r="47" spans="2:9" ht="12.75" customHeight="1">
      <c r="B47" s="118">
        <v>2000</v>
      </c>
      <c r="C47" s="227">
        <f t="shared" si="10"/>
        <v>84.52749621799038</v>
      </c>
      <c r="D47" s="228">
        <f>100*(D13/$I13)</f>
        <v>0.24261676840172194</v>
      </c>
      <c r="E47" s="228">
        <f t="shared" si="10"/>
        <v>0.29166900124050965</v>
      </c>
      <c r="F47" s="228">
        <f t="shared" si="10"/>
        <v>3.8377513943296826</v>
      </c>
      <c r="G47" s="228">
        <f t="shared" si="10"/>
        <v>0.22664566510219672</v>
      </c>
      <c r="H47" s="229">
        <f t="shared" si="10"/>
        <v>10.873820952935514</v>
      </c>
      <c r="I47" s="134"/>
    </row>
    <row r="48" spans="2:9" ht="12.75" customHeight="1">
      <c r="B48" s="118">
        <v>1995</v>
      </c>
      <c r="C48" s="227">
        <f>100*(C18/$I18)</f>
        <v>85.74032764107896</v>
      </c>
      <c r="D48" s="228">
        <f>100*(D18/$I18)</f>
        <v>0.26080163722799016</v>
      </c>
      <c r="E48" s="228">
        <f aca="true" t="shared" si="11" ref="E48:H49">100*(E18/$I18)</f>
        <v>0.2555236520649929</v>
      </c>
      <c r="F48" s="228">
        <f t="shared" si="11"/>
        <v>3.749068646136658</v>
      </c>
      <c r="G48" s="228">
        <f t="shared" si="11"/>
        <v>0.22030701032214506</v>
      </c>
      <c r="H48" s="229">
        <f t="shared" si="11"/>
        <v>9.77397141316925</v>
      </c>
      <c r="I48" s="134"/>
    </row>
    <row r="49" spans="2:9" ht="12.75" customHeight="1">
      <c r="B49" s="135">
        <v>1990</v>
      </c>
      <c r="C49" s="230">
        <f>100*(C19/$I19)</f>
        <v>86.32435261925961</v>
      </c>
      <c r="D49" s="231">
        <f>100*(D19/$I19)</f>
        <v>0.3268741027105621</v>
      </c>
      <c r="E49" s="231">
        <f t="shared" si="11"/>
        <v>0.3018946764068992</v>
      </c>
      <c r="F49" s="231">
        <f t="shared" si="11"/>
        <v>3.745884034648165</v>
      </c>
      <c r="G49" s="231">
        <f t="shared" si="11"/>
        <v>0.2013394073009894</v>
      </c>
      <c r="H49" s="232">
        <f t="shared" si="11"/>
        <v>9.099655159673791</v>
      </c>
      <c r="I49" s="136"/>
    </row>
  </sheetData>
  <mergeCells count="30">
    <mergeCell ref="D39:D40"/>
    <mergeCell ref="B38:I38"/>
    <mergeCell ref="C39:C40"/>
    <mergeCell ref="E39:E40"/>
    <mergeCell ref="F39:F40"/>
    <mergeCell ref="G39:G40"/>
    <mergeCell ref="I39:I40"/>
    <mergeCell ref="H39:H40"/>
    <mergeCell ref="B24:I24"/>
    <mergeCell ref="B4:I4"/>
    <mergeCell ref="B21:C21"/>
    <mergeCell ref="H5:H6"/>
    <mergeCell ref="I5:I6"/>
    <mergeCell ref="B22:I22"/>
    <mergeCell ref="D5:D6"/>
    <mergeCell ref="F26:F27"/>
    <mergeCell ref="G26:G27"/>
    <mergeCell ref="H26:H27"/>
    <mergeCell ref="D26:D27"/>
    <mergeCell ref="E26:E27"/>
    <mergeCell ref="B2:I2"/>
    <mergeCell ref="B3:I3"/>
    <mergeCell ref="B37:I37"/>
    <mergeCell ref="C5:C6"/>
    <mergeCell ref="C26:C27"/>
    <mergeCell ref="I26:I27"/>
    <mergeCell ref="E5:E6"/>
    <mergeCell ref="F5:F6"/>
    <mergeCell ref="G5:G6"/>
    <mergeCell ref="B25:I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O47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9" width="9.7109375" style="0" customWidth="1"/>
    <col min="10" max="10" width="12.00390625" style="0" customWidth="1"/>
  </cols>
  <sheetData>
    <row r="1" spans="2:10" ht="14.25" customHeight="1">
      <c r="B1" s="25"/>
      <c r="J1" s="24" t="s">
        <v>48</v>
      </c>
    </row>
    <row r="2" spans="3:9" ht="12.75" customHeight="1">
      <c r="C2" s="49"/>
      <c r="D2" s="49"/>
      <c r="E2" s="49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50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31"/>
    </row>
    <row r="8" spans="3:7" s="30" customFormat="1" ht="12.75" customHeight="1">
      <c r="C8" s="51"/>
      <c r="D8" s="1"/>
      <c r="E8" s="1"/>
      <c r="F8" s="1"/>
      <c r="G8" s="1"/>
    </row>
    <row r="9" spans="3:7" s="30" customFormat="1" ht="12.75" customHeight="1">
      <c r="C9" s="51"/>
      <c r="D9" s="1"/>
      <c r="E9" s="1"/>
      <c r="F9" s="1"/>
      <c r="G9" s="1"/>
    </row>
    <row r="10" spans="3:7" s="31" customFormat="1" ht="12.75" customHeight="1">
      <c r="C10" s="52"/>
      <c r="D10" s="1"/>
      <c r="E10" s="1"/>
      <c r="F10" s="1"/>
      <c r="G10" s="1"/>
    </row>
    <row r="11" spans="3:7" s="31" customFormat="1" ht="12.75" customHeight="1">
      <c r="C11" s="52"/>
      <c r="D11" s="1"/>
      <c r="E11" s="1"/>
      <c r="F11" s="1"/>
      <c r="G11" s="1"/>
    </row>
    <row r="12" spans="3:7" s="31" customFormat="1" ht="12.75" customHeight="1">
      <c r="C12" s="52"/>
      <c r="D12" s="1"/>
      <c r="E12" s="1"/>
      <c r="F12" s="1"/>
      <c r="G12" s="1"/>
    </row>
    <row r="13" spans="3:7" s="31" customFormat="1" ht="12.75" customHeight="1">
      <c r="C13" s="52"/>
      <c r="D13" s="1"/>
      <c r="E13" s="1"/>
      <c r="F13" s="1"/>
      <c r="G13" s="1"/>
    </row>
    <row r="14" spans="3:7" s="31" customFormat="1" ht="12.75" customHeight="1">
      <c r="C14" s="52"/>
      <c r="D14" s="1"/>
      <c r="E14" s="1"/>
      <c r="F14" s="1"/>
      <c r="G14" s="1"/>
    </row>
    <row r="15" spans="3:7" s="31" customFormat="1" ht="12.75" customHeight="1">
      <c r="C15" s="52"/>
      <c r="D15" s="1"/>
      <c r="E15" s="1"/>
      <c r="F15" s="1"/>
      <c r="G15" s="1"/>
    </row>
    <row r="16" spans="3:7" s="32" customFormat="1" ht="12.75" customHeight="1">
      <c r="C16" s="36"/>
      <c r="D16" s="1"/>
      <c r="E16" s="1"/>
      <c r="F16" s="1"/>
      <c r="G16" s="1"/>
    </row>
    <row r="17" spans="3:7" s="41" customFormat="1" ht="12.75" customHeight="1">
      <c r="C17" s="53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5" customFormat="1" ht="12.75" customHeight="1">
      <c r="C19" s="54"/>
      <c r="D19" s="1"/>
      <c r="E19" s="1"/>
      <c r="F19" s="1"/>
      <c r="G19" s="1"/>
    </row>
    <row r="20" spans="3:7" s="55" customFormat="1" ht="12.75" customHeight="1">
      <c r="C20" s="54"/>
      <c r="D20" s="1"/>
      <c r="E20" s="1"/>
      <c r="F20" s="1"/>
      <c r="G20" s="1"/>
    </row>
    <row r="21" spans="3:7" s="55" customFormat="1" ht="12.75" customHeight="1">
      <c r="C21" s="54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30" customFormat="1" ht="12.75" customHeight="1">
      <c r="C25" s="51"/>
      <c r="D25" s="1"/>
      <c r="E25" s="1"/>
      <c r="F25" s="1"/>
      <c r="G25" s="1"/>
    </row>
    <row r="26" spans="3:7" s="30" customFormat="1" ht="12.75" customHeight="1">
      <c r="C26" s="51"/>
      <c r="D26" s="1"/>
      <c r="E26" s="1"/>
      <c r="F26" s="1"/>
      <c r="G26" s="1"/>
    </row>
    <row r="27" spans="3:7" s="32" customFormat="1" ht="12.75" customHeight="1">
      <c r="C27" s="36"/>
      <c r="D27" s="1"/>
      <c r="E27" s="1"/>
      <c r="F27" s="1"/>
      <c r="G27" s="1"/>
    </row>
    <row r="28" spans="3:7" s="31" customFormat="1" ht="12.75" customHeight="1">
      <c r="C28" s="52"/>
      <c r="D28" s="1"/>
      <c r="E28" s="1"/>
      <c r="F28" s="1"/>
      <c r="G28" s="1"/>
    </row>
    <row r="29" spans="3:7" s="31" customFormat="1" ht="12.75" customHeight="1">
      <c r="C29" s="52"/>
      <c r="D29" s="1"/>
      <c r="E29" s="1"/>
      <c r="F29" s="1"/>
      <c r="G29" s="1"/>
    </row>
    <row r="30" spans="3:7" s="31" customFormat="1" ht="12.75" customHeight="1">
      <c r="C30" s="52"/>
      <c r="D30" s="1"/>
      <c r="E30" s="1"/>
      <c r="F30" s="1"/>
      <c r="G30" s="1"/>
    </row>
    <row r="31" spans="3:7" s="32" customFormat="1" ht="12.75" customHeight="1">
      <c r="C31" s="36"/>
      <c r="D31" s="1"/>
      <c r="E31" s="1"/>
      <c r="F31" s="1"/>
      <c r="G31" s="1"/>
    </row>
    <row r="32" spans="3:7" ht="12.75" customHeight="1">
      <c r="C32" s="1"/>
      <c r="D32" s="1"/>
      <c r="E32" s="1"/>
      <c r="F32" s="1"/>
      <c r="G32" s="1"/>
    </row>
    <row r="33" spans="3:7" ht="12.75" customHeight="1">
      <c r="C33" s="1"/>
      <c r="D33" s="1"/>
      <c r="E33" s="1"/>
      <c r="F33" s="1"/>
      <c r="G33" s="1"/>
    </row>
    <row r="34" spans="3:7" ht="12.75" customHeight="1">
      <c r="C34" s="1"/>
      <c r="D34" s="1"/>
      <c r="E34" s="1"/>
      <c r="F34" s="1"/>
      <c r="G34" s="1"/>
    </row>
    <row r="35" ht="12.75">
      <c r="B35" s="56" t="s">
        <v>107</v>
      </c>
    </row>
    <row r="38" ht="21.75" customHeight="1"/>
    <row r="39" spans="2:15" ht="21.75" customHeight="1">
      <c r="B39" s="30"/>
      <c r="C39" s="394">
        <v>1995</v>
      </c>
      <c r="D39" s="395">
        <v>1996</v>
      </c>
      <c r="E39" s="395">
        <v>1997</v>
      </c>
      <c r="F39" s="395">
        <v>1998</v>
      </c>
      <c r="G39" s="395">
        <v>1999</v>
      </c>
      <c r="H39" s="395">
        <v>2000</v>
      </c>
      <c r="I39" s="395">
        <v>2001</v>
      </c>
      <c r="J39" s="395">
        <v>2002</v>
      </c>
      <c r="K39" s="395">
        <v>2003</v>
      </c>
      <c r="L39" s="395">
        <v>2004</v>
      </c>
      <c r="M39" s="395">
        <v>2005</v>
      </c>
      <c r="N39" s="395">
        <v>2006</v>
      </c>
      <c r="O39" s="396">
        <v>2007</v>
      </c>
    </row>
    <row r="40" spans="2:15" ht="21.75" customHeight="1">
      <c r="B40" s="159" t="s">
        <v>57</v>
      </c>
      <c r="C40" s="391">
        <v>3863.0184955</v>
      </c>
      <c r="D40" s="157">
        <v>3930.8209999999995</v>
      </c>
      <c r="E40" s="157">
        <v>4009.573999999999</v>
      </c>
      <c r="F40" s="157">
        <v>4107.5254551</v>
      </c>
      <c r="G40" s="157">
        <v>4212.106000000002</v>
      </c>
      <c r="H40" s="157">
        <v>4292.408115699999</v>
      </c>
      <c r="I40" s="157">
        <v>4375.722153</v>
      </c>
      <c r="J40" s="157">
        <v>4451.7796396</v>
      </c>
      <c r="K40" s="157">
        <v>4480.258311500001</v>
      </c>
      <c r="L40" s="157">
        <v>4543.25</v>
      </c>
      <c r="M40" s="157">
        <v>4536.417000000001</v>
      </c>
      <c r="N40" s="161">
        <v>4656.059</v>
      </c>
      <c r="O40" s="392">
        <v>4688.035000000001</v>
      </c>
    </row>
    <row r="41" spans="2:15" ht="21.75" customHeight="1">
      <c r="B41" s="159" t="s">
        <v>11</v>
      </c>
      <c r="C41" s="391">
        <v>123.316</v>
      </c>
      <c r="D41" s="157">
        <v>124.745</v>
      </c>
      <c r="E41" s="157">
        <v>127.325</v>
      </c>
      <c r="F41" s="157">
        <v>129.57</v>
      </c>
      <c r="G41" s="157">
        <v>133.55700000000002</v>
      </c>
      <c r="H41" s="157">
        <v>135.67800000000003</v>
      </c>
      <c r="I41" s="157">
        <v>138.89800000000002</v>
      </c>
      <c r="J41" s="157">
        <v>139.27200000000002</v>
      </c>
      <c r="K41" s="157">
        <v>143.57699999999997</v>
      </c>
      <c r="L41" s="157">
        <v>146.63400000000001</v>
      </c>
      <c r="M41" s="157">
        <v>150.053</v>
      </c>
      <c r="N41" s="161">
        <v>153.85</v>
      </c>
      <c r="O41" s="392">
        <v>153.93800000000002</v>
      </c>
    </row>
    <row r="42" spans="2:15" ht="21.75" customHeight="1">
      <c r="B42" s="159" t="s">
        <v>58</v>
      </c>
      <c r="C42" s="391">
        <v>503.9745000000001</v>
      </c>
      <c r="D42" s="157">
        <v>508.4965000000001</v>
      </c>
      <c r="E42" s="157">
        <v>507.6708</v>
      </c>
      <c r="F42" s="157">
        <v>514.5251</v>
      </c>
      <c r="G42" s="157">
        <v>515.0588</v>
      </c>
      <c r="H42" s="157">
        <v>517.6147635</v>
      </c>
      <c r="I42" s="157">
        <v>519.36393722</v>
      </c>
      <c r="J42" s="157">
        <v>517.89928837</v>
      </c>
      <c r="K42" s="157">
        <v>518.6427944</v>
      </c>
      <c r="L42" s="157">
        <v>525.00176323</v>
      </c>
      <c r="M42" s="157">
        <v>525.9858824600001</v>
      </c>
      <c r="N42" s="161">
        <v>526.085574</v>
      </c>
      <c r="O42" s="392">
        <v>538.951962</v>
      </c>
    </row>
    <row r="43" spans="2:15" ht="21.75" customHeight="1">
      <c r="B43" s="159" t="s">
        <v>59</v>
      </c>
      <c r="C43" s="391">
        <v>350.5187000000001</v>
      </c>
      <c r="D43" s="157">
        <v>348.9748000000001</v>
      </c>
      <c r="E43" s="157">
        <v>350.5145999999999</v>
      </c>
      <c r="F43" s="157">
        <v>350.58320000000003</v>
      </c>
      <c r="G43" s="157">
        <v>358.59970000000004</v>
      </c>
      <c r="H43" s="157">
        <v>370.7280999999999</v>
      </c>
      <c r="I43" s="157">
        <v>372.739349</v>
      </c>
      <c r="J43" s="157">
        <v>365.57125</v>
      </c>
      <c r="K43" s="157">
        <v>361.88681399999996</v>
      </c>
      <c r="L43" s="157">
        <v>367.87313299999994</v>
      </c>
      <c r="M43" s="157">
        <v>378.5718990000001</v>
      </c>
      <c r="N43" s="161">
        <v>389.60281100000003</v>
      </c>
      <c r="O43" s="392">
        <v>395.12230000000005</v>
      </c>
    </row>
    <row r="44" spans="2:15" ht="21.75" customHeight="1">
      <c r="B44" s="159" t="s">
        <v>2</v>
      </c>
      <c r="C44" s="391">
        <v>71.14549</v>
      </c>
      <c r="D44" s="157">
        <v>72.0213</v>
      </c>
      <c r="E44" s="157">
        <v>72.5947</v>
      </c>
      <c r="F44" s="157">
        <v>73.46026399999998</v>
      </c>
      <c r="G44" s="157">
        <v>75.02074200000003</v>
      </c>
      <c r="H44" s="157">
        <v>77.1254</v>
      </c>
      <c r="I44" s="157">
        <v>77.76326278</v>
      </c>
      <c r="J44" s="157">
        <v>78.66871163</v>
      </c>
      <c r="K44" s="157">
        <v>79.30602059999998</v>
      </c>
      <c r="L44" s="157">
        <v>81.90558177</v>
      </c>
      <c r="M44" s="157">
        <v>82.47304154000001</v>
      </c>
      <c r="N44" s="161">
        <v>83.90303600000001</v>
      </c>
      <c r="O44" s="392">
        <v>85.43202800000002</v>
      </c>
    </row>
    <row r="45" spans="2:15" ht="21.75" customHeight="1">
      <c r="B45" s="159" t="s">
        <v>62</v>
      </c>
      <c r="C45" s="158">
        <v>335</v>
      </c>
      <c r="D45" s="156">
        <v>352</v>
      </c>
      <c r="E45" s="156">
        <v>385</v>
      </c>
      <c r="F45" s="156">
        <v>410</v>
      </c>
      <c r="G45" s="156">
        <v>424</v>
      </c>
      <c r="H45" s="156">
        <v>456</v>
      </c>
      <c r="I45" s="156">
        <v>453</v>
      </c>
      <c r="J45" s="156">
        <v>445</v>
      </c>
      <c r="K45" s="156">
        <v>463</v>
      </c>
      <c r="L45" s="156">
        <v>493</v>
      </c>
      <c r="M45" s="157">
        <v>527</v>
      </c>
      <c r="N45" s="161">
        <v>549</v>
      </c>
      <c r="O45" s="392">
        <v>571</v>
      </c>
    </row>
    <row r="46" spans="2:15" ht="21.75" customHeight="1">
      <c r="B46" s="159" t="s">
        <v>61</v>
      </c>
      <c r="C46" s="158">
        <v>44.4</v>
      </c>
      <c r="D46" s="156">
        <v>44</v>
      </c>
      <c r="E46" s="156">
        <v>43.6</v>
      </c>
      <c r="F46" s="156">
        <v>43.1</v>
      </c>
      <c r="G46" s="156">
        <v>42.6</v>
      </c>
      <c r="H46" s="156">
        <v>41.7</v>
      </c>
      <c r="I46" s="156">
        <v>42</v>
      </c>
      <c r="J46" s="156">
        <v>41.5</v>
      </c>
      <c r="K46" s="156">
        <v>41.2</v>
      </c>
      <c r="L46" s="156">
        <v>40.5</v>
      </c>
      <c r="M46" s="157">
        <v>39.5</v>
      </c>
      <c r="N46" s="161">
        <v>40</v>
      </c>
      <c r="O46" s="392">
        <v>41</v>
      </c>
    </row>
    <row r="47" spans="2:15" ht="21.75" customHeight="1">
      <c r="B47" s="160" t="s">
        <v>63</v>
      </c>
      <c r="C47" s="393">
        <f aca="true" t="shared" si="0" ref="C47:J47">SUM(C40:C46)</f>
        <v>5291.3731855</v>
      </c>
      <c r="D47" s="162">
        <f t="shared" si="0"/>
        <v>5381.058599999999</v>
      </c>
      <c r="E47" s="162">
        <f t="shared" si="0"/>
        <v>5496.279099999999</v>
      </c>
      <c r="F47" s="162">
        <f t="shared" si="0"/>
        <v>5628.7640191</v>
      </c>
      <c r="G47" s="162">
        <f t="shared" si="0"/>
        <v>5760.942242000001</v>
      </c>
      <c r="H47" s="162">
        <f t="shared" si="0"/>
        <v>5891.254379199999</v>
      </c>
      <c r="I47" s="162">
        <f t="shared" si="0"/>
        <v>5979.486702</v>
      </c>
      <c r="J47" s="162">
        <f t="shared" si="0"/>
        <v>6039.6908896</v>
      </c>
      <c r="K47" s="162">
        <f>SUM(K40:K46)</f>
        <v>6087.870940500001</v>
      </c>
      <c r="L47" s="162">
        <f>SUM(L40:L46)</f>
        <v>6198.164478000001</v>
      </c>
      <c r="M47" s="162">
        <f>SUM(M40:M46)</f>
        <v>6240.000823000001</v>
      </c>
      <c r="N47" s="162">
        <f>SUM(N40:N46)</f>
        <v>6398.500421</v>
      </c>
      <c r="O47" s="163">
        <f>SUM(O40:O46)</f>
        <v>6473.479290000001</v>
      </c>
    </row>
  </sheetData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L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</cols>
  <sheetData>
    <row r="1" spans="2:10" ht="14.25" customHeight="1">
      <c r="B1" s="57"/>
      <c r="C1" s="45"/>
      <c r="D1" s="45"/>
      <c r="E1" s="45"/>
      <c r="F1" s="45"/>
      <c r="G1" s="45"/>
      <c r="H1" s="45"/>
      <c r="I1" s="45"/>
      <c r="J1" s="46" t="s">
        <v>49</v>
      </c>
    </row>
    <row r="2" spans="1:11" s="25" customFormat="1" ht="30" customHeight="1">
      <c r="A2"/>
      <c r="B2" s="413" t="s">
        <v>121</v>
      </c>
      <c r="C2" s="413"/>
      <c r="D2" s="413"/>
      <c r="E2" s="413"/>
      <c r="F2" s="413"/>
      <c r="G2" s="413"/>
      <c r="H2" s="413"/>
      <c r="I2" s="413"/>
      <c r="J2" s="413"/>
      <c r="K2"/>
    </row>
    <row r="3" spans="2:10" ht="15" customHeight="1">
      <c r="B3" s="413" t="s">
        <v>1</v>
      </c>
      <c r="C3" s="413"/>
      <c r="D3" s="413"/>
      <c r="E3" s="413"/>
      <c r="F3" s="413"/>
      <c r="G3" s="413"/>
      <c r="H3" s="413"/>
      <c r="I3" s="413"/>
      <c r="J3" s="413"/>
    </row>
    <row r="4" spans="2:11" s="32" customFormat="1" ht="13.5" customHeight="1">
      <c r="B4" s="414" t="s">
        <v>3</v>
      </c>
      <c r="C4" s="414"/>
      <c r="D4" s="414"/>
      <c r="E4" s="414"/>
      <c r="F4" s="414"/>
      <c r="G4" s="414"/>
      <c r="H4" s="414"/>
      <c r="I4" s="414"/>
      <c r="J4" s="414"/>
      <c r="K4"/>
    </row>
    <row r="5" spans="2:11" s="30" customFormat="1" ht="19.5" customHeight="1">
      <c r="B5" s="44"/>
      <c r="C5" s="434" t="s">
        <v>122</v>
      </c>
      <c r="D5" s="434" t="s">
        <v>12</v>
      </c>
      <c r="E5" s="434" t="s">
        <v>4</v>
      </c>
      <c r="F5" s="434" t="s">
        <v>123</v>
      </c>
      <c r="G5" s="434" t="s">
        <v>2</v>
      </c>
      <c r="H5" s="434" t="s">
        <v>62</v>
      </c>
      <c r="I5" s="434" t="s">
        <v>61</v>
      </c>
      <c r="J5" s="434" t="s">
        <v>63</v>
      </c>
      <c r="K5"/>
    </row>
    <row r="6" spans="2:11" s="30" customFormat="1" ht="19.5" customHeight="1">
      <c r="B6" s="44"/>
      <c r="C6" s="435"/>
      <c r="D6" s="435"/>
      <c r="E6" s="435"/>
      <c r="F6" s="435"/>
      <c r="G6" s="435"/>
      <c r="H6" s="435"/>
      <c r="I6" s="435"/>
      <c r="J6" s="435"/>
      <c r="K6"/>
    </row>
    <row r="7" spans="2:11" s="30" customFormat="1" ht="12.75" customHeight="1">
      <c r="B7" s="444">
        <v>1995</v>
      </c>
      <c r="C7" s="333">
        <v>3863.0184955</v>
      </c>
      <c r="D7" s="334">
        <v>123.316</v>
      </c>
      <c r="E7" s="334">
        <v>503.9745000000001</v>
      </c>
      <c r="F7" s="335">
        <v>350.5187000000001</v>
      </c>
      <c r="G7" s="334">
        <v>71.14549</v>
      </c>
      <c r="H7" s="334">
        <v>335</v>
      </c>
      <c r="I7" s="336">
        <v>44.4</v>
      </c>
      <c r="J7" s="337">
        <f aca="true" t="shared" si="0" ref="J7:J19">SUM(C7:I7)</f>
        <v>5291.3731855</v>
      </c>
      <c r="K7"/>
    </row>
    <row r="8" spans="1:11" s="30" customFormat="1" ht="12.75" customHeight="1">
      <c r="A8" s="32"/>
      <c r="B8" s="96">
        <v>1996</v>
      </c>
      <c r="C8" s="333">
        <v>3930.8209999999995</v>
      </c>
      <c r="D8" s="334">
        <v>124.745</v>
      </c>
      <c r="E8" s="334">
        <v>508.4965000000001</v>
      </c>
      <c r="F8" s="335">
        <v>348.9748000000001</v>
      </c>
      <c r="G8" s="334">
        <v>72.0213</v>
      </c>
      <c r="H8" s="334">
        <v>352</v>
      </c>
      <c r="I8" s="336">
        <v>44</v>
      </c>
      <c r="J8" s="338">
        <f t="shared" si="0"/>
        <v>5381.058599999999</v>
      </c>
      <c r="K8"/>
    </row>
    <row r="9" spans="1:11" s="30" customFormat="1" ht="12.75" customHeight="1">
      <c r="A9" s="32"/>
      <c r="B9" s="96">
        <v>1997</v>
      </c>
      <c r="C9" s="333">
        <v>4009.573999999999</v>
      </c>
      <c r="D9" s="334">
        <v>127.325</v>
      </c>
      <c r="E9" s="334">
        <v>507.6708</v>
      </c>
      <c r="F9" s="335">
        <v>350.5145999999999</v>
      </c>
      <c r="G9" s="334">
        <v>72.5947</v>
      </c>
      <c r="H9" s="334">
        <v>385</v>
      </c>
      <c r="I9" s="336">
        <v>43.6</v>
      </c>
      <c r="J9" s="338">
        <f t="shared" si="0"/>
        <v>5496.279099999999</v>
      </c>
      <c r="K9"/>
    </row>
    <row r="10" spans="1:11" s="30" customFormat="1" ht="12.75" customHeight="1">
      <c r="A10" s="32"/>
      <c r="B10" s="96">
        <v>1998</v>
      </c>
      <c r="C10" s="333">
        <v>4107.5254551</v>
      </c>
      <c r="D10" s="334">
        <v>129.57</v>
      </c>
      <c r="E10" s="334">
        <v>514.5251</v>
      </c>
      <c r="F10" s="335">
        <v>350.58320000000003</v>
      </c>
      <c r="G10" s="334">
        <v>73.46026399999998</v>
      </c>
      <c r="H10" s="334">
        <v>410</v>
      </c>
      <c r="I10" s="336">
        <v>43.1</v>
      </c>
      <c r="J10" s="338">
        <f t="shared" si="0"/>
        <v>5628.7640191</v>
      </c>
      <c r="K10"/>
    </row>
    <row r="11" spans="2:11" s="32" customFormat="1" ht="12.75" customHeight="1">
      <c r="B11" s="96">
        <v>1999</v>
      </c>
      <c r="C11" s="333">
        <v>4212.106000000002</v>
      </c>
      <c r="D11" s="334">
        <v>133.55700000000002</v>
      </c>
      <c r="E11" s="334">
        <v>515.0588</v>
      </c>
      <c r="F11" s="335">
        <v>358.59970000000004</v>
      </c>
      <c r="G11" s="334">
        <v>75.02074200000003</v>
      </c>
      <c r="H11" s="334">
        <v>424</v>
      </c>
      <c r="I11" s="336">
        <v>42.6</v>
      </c>
      <c r="J11" s="338">
        <f t="shared" si="0"/>
        <v>5760.942242000001</v>
      </c>
      <c r="K11"/>
    </row>
    <row r="12" spans="2:11" s="32" customFormat="1" ht="12.75" customHeight="1">
      <c r="B12" s="96">
        <v>2000</v>
      </c>
      <c r="C12" s="333">
        <v>4292.408115699999</v>
      </c>
      <c r="D12" s="334">
        <v>135.67800000000003</v>
      </c>
      <c r="E12" s="334">
        <v>517.6147635</v>
      </c>
      <c r="F12" s="335">
        <v>370.7280999999999</v>
      </c>
      <c r="G12" s="334">
        <v>77.1254</v>
      </c>
      <c r="H12" s="334">
        <v>456</v>
      </c>
      <c r="I12" s="336">
        <v>41.7</v>
      </c>
      <c r="J12" s="338">
        <f t="shared" si="0"/>
        <v>5891.254379199999</v>
      </c>
      <c r="K12"/>
    </row>
    <row r="13" spans="2:11" s="32" customFormat="1" ht="12.75" customHeight="1">
      <c r="B13" s="96">
        <v>2001</v>
      </c>
      <c r="C13" s="333">
        <v>4375.722153</v>
      </c>
      <c r="D13" s="334">
        <v>138.89800000000002</v>
      </c>
      <c r="E13" s="334">
        <v>519.36393722</v>
      </c>
      <c r="F13" s="335">
        <v>372.739349</v>
      </c>
      <c r="G13" s="334">
        <v>77.76326278</v>
      </c>
      <c r="H13" s="334">
        <v>453</v>
      </c>
      <c r="I13" s="336">
        <v>42</v>
      </c>
      <c r="J13" s="338">
        <f t="shared" si="0"/>
        <v>5979.486702</v>
      </c>
      <c r="K13"/>
    </row>
    <row r="14" spans="2:11" s="32" customFormat="1" ht="12.75" customHeight="1">
      <c r="B14" s="96">
        <v>2002</v>
      </c>
      <c r="C14" s="333">
        <v>4451.7796396</v>
      </c>
      <c r="D14" s="334">
        <v>139.27200000000002</v>
      </c>
      <c r="E14" s="334">
        <v>517.89928837</v>
      </c>
      <c r="F14" s="335">
        <v>365.57125</v>
      </c>
      <c r="G14" s="334">
        <v>78.66871163</v>
      </c>
      <c r="H14" s="334">
        <v>445</v>
      </c>
      <c r="I14" s="336">
        <v>41.5</v>
      </c>
      <c r="J14" s="338">
        <f t="shared" si="0"/>
        <v>6039.6908896</v>
      </c>
      <c r="K14"/>
    </row>
    <row r="15" spans="1:11" s="32" customFormat="1" ht="12.75" customHeight="1">
      <c r="A15" s="31"/>
      <c r="B15" s="96">
        <v>2003</v>
      </c>
      <c r="C15" s="333">
        <v>4480.258311500001</v>
      </c>
      <c r="D15" s="334">
        <v>143.57699999999997</v>
      </c>
      <c r="E15" s="334">
        <v>518.6427944</v>
      </c>
      <c r="F15" s="335">
        <v>361.88681399999996</v>
      </c>
      <c r="G15" s="334">
        <v>79.30602059999998</v>
      </c>
      <c r="H15" s="334">
        <v>463</v>
      </c>
      <c r="I15" s="336">
        <v>41.2</v>
      </c>
      <c r="J15" s="338">
        <f t="shared" si="0"/>
        <v>6087.870940500001</v>
      </c>
      <c r="K15"/>
    </row>
    <row r="16" spans="1:11" s="32" customFormat="1" ht="12.75" customHeight="1">
      <c r="A16" s="31"/>
      <c r="B16" s="96">
        <v>2004</v>
      </c>
      <c r="C16" s="333">
        <v>4543.25</v>
      </c>
      <c r="D16" s="334">
        <v>146.63400000000001</v>
      </c>
      <c r="E16" s="334">
        <v>525.00176323</v>
      </c>
      <c r="F16" s="335">
        <v>367.87313299999994</v>
      </c>
      <c r="G16" s="334">
        <v>81.90558177</v>
      </c>
      <c r="H16" s="334">
        <v>493</v>
      </c>
      <c r="I16" s="336">
        <v>40.5</v>
      </c>
      <c r="J16" s="338">
        <f t="shared" si="0"/>
        <v>6198.164478000001</v>
      </c>
      <c r="K16"/>
    </row>
    <row r="17" spans="2:11" s="32" customFormat="1" ht="12.75" customHeight="1">
      <c r="B17" s="96">
        <v>2005</v>
      </c>
      <c r="C17" s="333">
        <v>4536.417000000001</v>
      </c>
      <c r="D17" s="334">
        <v>150.053</v>
      </c>
      <c r="E17" s="334">
        <v>525.9858824600001</v>
      </c>
      <c r="F17" s="335">
        <v>378.5718990000001</v>
      </c>
      <c r="G17" s="335">
        <v>82.47304154000001</v>
      </c>
      <c r="H17" s="334">
        <v>527</v>
      </c>
      <c r="I17" s="336">
        <v>39.5</v>
      </c>
      <c r="J17" s="338">
        <f t="shared" si="0"/>
        <v>6240.000823000001</v>
      </c>
      <c r="K17"/>
    </row>
    <row r="18" spans="1:11" s="31" customFormat="1" ht="12.75" customHeight="1">
      <c r="A18" s="41"/>
      <c r="B18" s="96">
        <v>2006</v>
      </c>
      <c r="C18" s="333">
        <v>4656.059</v>
      </c>
      <c r="D18" s="334">
        <v>153.85</v>
      </c>
      <c r="E18" s="334">
        <v>526.085574</v>
      </c>
      <c r="F18" s="335">
        <v>389.60281100000003</v>
      </c>
      <c r="G18" s="335">
        <v>83.90303600000001</v>
      </c>
      <c r="H18" s="334">
        <v>549</v>
      </c>
      <c r="I18" s="336">
        <v>40</v>
      </c>
      <c r="J18" s="338">
        <f t="shared" si="0"/>
        <v>6398.500421</v>
      </c>
      <c r="K18"/>
    </row>
    <row r="19" spans="1:11" s="31" customFormat="1" ht="12.75" customHeight="1">
      <c r="A19" s="32"/>
      <c r="B19" s="445">
        <v>2007</v>
      </c>
      <c r="C19" s="339">
        <v>4688.035000000001</v>
      </c>
      <c r="D19" s="340">
        <v>153.93800000000002</v>
      </c>
      <c r="E19" s="340">
        <v>538.951962</v>
      </c>
      <c r="F19" s="341">
        <v>395.12230000000005</v>
      </c>
      <c r="G19" s="341">
        <v>85.43202800000002</v>
      </c>
      <c r="H19" s="340">
        <v>571</v>
      </c>
      <c r="I19" s="342">
        <v>41</v>
      </c>
      <c r="J19" s="338">
        <f t="shared" si="0"/>
        <v>6473.479290000001</v>
      </c>
      <c r="K19"/>
    </row>
    <row r="20" spans="1:10" ht="22.5" customHeight="1">
      <c r="A20" s="55"/>
      <c r="B20" s="446" t="s">
        <v>124</v>
      </c>
      <c r="C20" s="343">
        <f aca="true" t="shared" si="1" ref="C20:J20">C19/C7-1</f>
        <v>0.21356783703237658</v>
      </c>
      <c r="D20" s="344">
        <f t="shared" si="1"/>
        <v>0.2483213857082618</v>
      </c>
      <c r="E20" s="344">
        <f t="shared" si="1"/>
        <v>0.06940323766381007</v>
      </c>
      <c r="F20" s="344">
        <f t="shared" si="1"/>
        <v>0.12725027223939822</v>
      </c>
      <c r="G20" s="344">
        <f t="shared" si="1"/>
        <v>0.2008073596794402</v>
      </c>
      <c r="H20" s="344">
        <f t="shared" si="1"/>
        <v>0.7044776119402985</v>
      </c>
      <c r="I20" s="344">
        <f t="shared" si="1"/>
        <v>-0.07657657657657657</v>
      </c>
      <c r="J20" s="345">
        <f t="shared" si="1"/>
        <v>0.2234025201131793</v>
      </c>
    </row>
    <row r="21" spans="1:12" s="41" customFormat="1" ht="22.5" customHeight="1">
      <c r="A21" s="55"/>
      <c r="B21" s="447" t="s">
        <v>66</v>
      </c>
      <c r="C21" s="346">
        <f aca="true" t="shared" si="2" ref="C21:J21">(POWER((C19/C7),1/12)-1)</f>
        <v>0.016261184233803405</v>
      </c>
      <c r="D21" s="347">
        <f t="shared" si="2"/>
        <v>0.018655186846987526</v>
      </c>
      <c r="E21" s="347">
        <f t="shared" si="2"/>
        <v>0.005607393831308594</v>
      </c>
      <c r="F21" s="347">
        <f t="shared" si="2"/>
        <v>0.010031757389634022</v>
      </c>
      <c r="G21" s="347">
        <f t="shared" si="2"/>
        <v>0.015366377948553112</v>
      </c>
      <c r="H21" s="347">
        <f t="shared" si="2"/>
        <v>0.04544039070401151</v>
      </c>
      <c r="I21" s="347">
        <f t="shared" si="2"/>
        <v>-0.006616961086274187</v>
      </c>
      <c r="J21" s="348">
        <f t="shared" si="2"/>
        <v>0.016944958309784264</v>
      </c>
      <c r="K21"/>
      <c r="L21" s="42"/>
    </row>
    <row r="22" spans="2:10" ht="22.5" customHeight="1">
      <c r="B22" s="448" t="s">
        <v>125</v>
      </c>
      <c r="C22" s="349">
        <f aca="true" t="shared" si="3" ref="C22:J22">C19/C18-1</f>
        <v>0.00686761056936791</v>
      </c>
      <c r="D22" s="350">
        <f t="shared" si="3"/>
        <v>0.0005719857003576578</v>
      </c>
      <c r="E22" s="350">
        <f t="shared" si="3"/>
        <v>0.024456834849457376</v>
      </c>
      <c r="F22" s="350">
        <f t="shared" si="3"/>
        <v>0.014166964005811522</v>
      </c>
      <c r="G22" s="350">
        <f t="shared" si="3"/>
        <v>0.01822332150173933</v>
      </c>
      <c r="H22" s="350">
        <f t="shared" si="3"/>
        <v>0.04007285974499086</v>
      </c>
      <c r="I22" s="350">
        <f t="shared" si="3"/>
        <v>0.02499999999999991</v>
      </c>
      <c r="J22" s="351">
        <f t="shared" si="3"/>
        <v>0.011718193962122703</v>
      </c>
    </row>
    <row r="23" spans="1:11" s="55" customFormat="1" ht="12.75">
      <c r="A23" s="30"/>
      <c r="B23"/>
      <c r="C23"/>
      <c r="D23"/>
      <c r="E23"/>
      <c r="F23"/>
      <c r="G23"/>
      <c r="H23"/>
      <c r="I23"/>
      <c r="J23"/>
      <c r="K23"/>
    </row>
    <row r="24" spans="1:11" s="55" customFormat="1" ht="15" customHeight="1">
      <c r="A24" s="30"/>
      <c r="B24"/>
      <c r="C24"/>
      <c r="D24"/>
      <c r="E24"/>
      <c r="F24"/>
      <c r="G24"/>
      <c r="H24"/>
      <c r="I24"/>
      <c r="J24"/>
      <c r="K24"/>
    </row>
    <row r="25" spans="1:10" ht="12" customHeight="1">
      <c r="A25" s="30"/>
      <c r="B25" s="416" t="s">
        <v>67</v>
      </c>
      <c r="C25" s="416"/>
      <c r="D25" s="416"/>
      <c r="E25" s="416"/>
      <c r="F25" s="416"/>
      <c r="G25" s="416"/>
      <c r="H25" s="416"/>
      <c r="I25" s="416"/>
      <c r="J25" s="416"/>
    </row>
    <row r="26" spans="1:11" s="30" customFormat="1" ht="19.5" customHeight="1">
      <c r="A26"/>
      <c r="B26" s="415" t="s">
        <v>46</v>
      </c>
      <c r="C26" s="415"/>
      <c r="D26" s="415"/>
      <c r="E26" s="415"/>
      <c r="F26" s="415"/>
      <c r="G26" s="415"/>
      <c r="H26" s="415"/>
      <c r="I26" s="415"/>
      <c r="J26" s="415"/>
      <c r="K26"/>
    </row>
    <row r="27" spans="1:11" s="30" customFormat="1" ht="19.5" customHeight="1">
      <c r="A27"/>
      <c r="B27" s="44"/>
      <c r="C27" s="434" t="s">
        <v>122</v>
      </c>
      <c r="D27" s="434" t="s">
        <v>12</v>
      </c>
      <c r="E27" s="434" t="s">
        <v>4</v>
      </c>
      <c r="F27" s="434" t="s">
        <v>123</v>
      </c>
      <c r="G27" s="434" t="s">
        <v>2</v>
      </c>
      <c r="H27" s="434" t="s">
        <v>62</v>
      </c>
      <c r="I27" s="434" t="s">
        <v>61</v>
      </c>
      <c r="J27" s="43"/>
      <c r="K27"/>
    </row>
    <row r="28" spans="1:11" s="30" customFormat="1" ht="12.75" customHeight="1">
      <c r="A28"/>
      <c r="B28" s="44"/>
      <c r="C28" s="435"/>
      <c r="D28" s="435"/>
      <c r="E28" s="435"/>
      <c r="F28" s="435"/>
      <c r="G28" s="435"/>
      <c r="H28" s="435"/>
      <c r="I28" s="435"/>
      <c r="J28" s="43"/>
      <c r="K28"/>
    </row>
    <row r="29" spans="1:12" s="30" customFormat="1" ht="12.75" customHeight="1">
      <c r="A29"/>
      <c r="B29" s="444">
        <v>1995</v>
      </c>
      <c r="C29" s="352">
        <f aca="true" t="shared" si="4" ref="C29:I41">C7/$J7*100</f>
        <v>73.00597330927002</v>
      </c>
      <c r="D29" s="353">
        <f t="shared" si="4"/>
        <v>2.330510354815344</v>
      </c>
      <c r="E29" s="353">
        <f t="shared" si="4"/>
        <v>9.52445579497296</v>
      </c>
      <c r="F29" s="353">
        <f t="shared" si="4"/>
        <v>6.624342825800491</v>
      </c>
      <c r="G29" s="353">
        <f t="shared" si="4"/>
        <v>1.3445562712333474</v>
      </c>
      <c r="H29" s="353">
        <f t="shared" si="4"/>
        <v>6.331059788374096</v>
      </c>
      <c r="I29" s="354">
        <f t="shared" si="4"/>
        <v>0.8391016555337608</v>
      </c>
      <c r="J29" s="43"/>
      <c r="K29"/>
      <c r="L29" s="95"/>
    </row>
    <row r="30" spans="1:12" s="30" customFormat="1" ht="12.75" customHeight="1">
      <c r="A30"/>
      <c r="B30" s="96">
        <v>1996</v>
      </c>
      <c r="C30" s="355">
        <f t="shared" si="4"/>
        <v>73.04921377366156</v>
      </c>
      <c r="D30" s="271">
        <f t="shared" si="4"/>
        <v>2.318224150170006</v>
      </c>
      <c r="E30" s="271">
        <f t="shared" si="4"/>
        <v>9.449748419390938</v>
      </c>
      <c r="F30" s="271">
        <f t="shared" si="4"/>
        <v>6.485244371804464</v>
      </c>
      <c r="G30" s="271">
        <f t="shared" si="4"/>
        <v>1.3384225178294844</v>
      </c>
      <c r="H30" s="271">
        <f t="shared" si="4"/>
        <v>6.54146379301649</v>
      </c>
      <c r="I30" s="356">
        <f t="shared" si="4"/>
        <v>0.8176829741270613</v>
      </c>
      <c r="J30" s="31"/>
      <c r="K30"/>
      <c r="L30" s="95"/>
    </row>
    <row r="31" spans="1:12" s="30" customFormat="1" ht="12.75" customHeight="1">
      <c r="A31" s="32"/>
      <c r="B31" s="96">
        <v>1997</v>
      </c>
      <c r="C31" s="355">
        <f t="shared" si="4"/>
        <v>72.95069859170725</v>
      </c>
      <c r="D31" s="271">
        <f t="shared" si="4"/>
        <v>2.316567220904048</v>
      </c>
      <c r="E31" s="271">
        <f t="shared" si="4"/>
        <v>9.236627011899744</v>
      </c>
      <c r="F31" s="271">
        <f t="shared" si="4"/>
        <v>6.377307149485913</v>
      </c>
      <c r="G31" s="271">
        <f t="shared" si="4"/>
        <v>1.3207971916855534</v>
      </c>
      <c r="H31" s="271">
        <f t="shared" si="4"/>
        <v>7.004738896902089</v>
      </c>
      <c r="I31" s="356">
        <f t="shared" si="4"/>
        <v>0.7932639374154055</v>
      </c>
      <c r="J31" s="31"/>
      <c r="K31"/>
      <c r="L31" s="95"/>
    </row>
    <row r="32" spans="1:12" ht="12.75" customHeight="1">
      <c r="A32" s="32"/>
      <c r="B32" s="96">
        <v>1998</v>
      </c>
      <c r="C32" s="355">
        <f t="shared" si="4"/>
        <v>72.97384365665349</v>
      </c>
      <c r="D32" s="271">
        <f t="shared" si="4"/>
        <v>2.3019263120701465</v>
      </c>
      <c r="E32" s="271">
        <f t="shared" si="4"/>
        <v>9.140996109520131</v>
      </c>
      <c r="F32" s="271">
        <f t="shared" si="4"/>
        <v>6.228422417610178</v>
      </c>
      <c r="G32" s="271">
        <f t="shared" si="4"/>
        <v>1.3050869382821588</v>
      </c>
      <c r="H32" s="271">
        <f t="shared" si="4"/>
        <v>7.2840147252354726</v>
      </c>
      <c r="I32" s="356">
        <f t="shared" si="4"/>
        <v>0.7657098406284119</v>
      </c>
      <c r="J32" s="31"/>
      <c r="L32" s="95"/>
    </row>
    <row r="33" spans="1:12" ht="12.75" customHeight="1">
      <c r="A33" s="31"/>
      <c r="B33" s="96">
        <v>1999</v>
      </c>
      <c r="C33" s="355">
        <f t="shared" si="4"/>
        <v>73.1148798766242</v>
      </c>
      <c r="D33" s="271">
        <f t="shared" si="4"/>
        <v>2.31831867756469</v>
      </c>
      <c r="E33" s="271">
        <f t="shared" si="4"/>
        <v>8.94053053066523</v>
      </c>
      <c r="F33" s="271">
        <f t="shared" si="4"/>
        <v>6.224670981521705</v>
      </c>
      <c r="G33" s="271">
        <f t="shared" si="4"/>
        <v>1.3022304138559704</v>
      </c>
      <c r="H33" s="271">
        <f t="shared" si="4"/>
        <v>7.359907150410898</v>
      </c>
      <c r="I33" s="356">
        <f t="shared" si="4"/>
        <v>0.7394623693573213</v>
      </c>
      <c r="J33" s="31"/>
      <c r="L33" s="95"/>
    </row>
    <row r="34" spans="1:12" ht="12.75" customHeight="1">
      <c r="A34" s="31"/>
      <c r="B34" s="96">
        <v>2000</v>
      </c>
      <c r="C34" s="355">
        <f t="shared" si="4"/>
        <v>72.86068194330603</v>
      </c>
      <c r="D34" s="271">
        <f t="shared" si="4"/>
        <v>2.303040936053153</v>
      </c>
      <c r="E34" s="271">
        <f t="shared" si="4"/>
        <v>8.786155378513621</v>
      </c>
      <c r="F34" s="271">
        <f t="shared" si="4"/>
        <v>6.292855071899693</v>
      </c>
      <c r="G34" s="271">
        <f t="shared" si="4"/>
        <v>1.3091507348978746</v>
      </c>
      <c r="H34" s="271">
        <f t="shared" si="4"/>
        <v>7.740287053466573</v>
      </c>
      <c r="I34" s="356">
        <f t="shared" si="4"/>
        <v>0.7078288818630616</v>
      </c>
      <c r="J34" s="31"/>
      <c r="L34" s="95"/>
    </row>
    <row r="35" spans="1:12" ht="12.75" customHeight="1">
      <c r="A35" s="32"/>
      <c r="B35" s="96">
        <v>2001</v>
      </c>
      <c r="C35" s="355">
        <f t="shared" si="4"/>
        <v>73.17889262194399</v>
      </c>
      <c r="D35" s="271">
        <f t="shared" si="4"/>
        <v>2.322908418770157</v>
      </c>
      <c r="E35" s="271">
        <f t="shared" si="4"/>
        <v>8.68576122171632</v>
      </c>
      <c r="F35" s="271">
        <f t="shared" si="4"/>
        <v>6.23363455052634</v>
      </c>
      <c r="G35" s="271">
        <f t="shared" si="4"/>
        <v>1.3005006391934943</v>
      </c>
      <c r="H35" s="271">
        <f t="shared" si="4"/>
        <v>7.575901119547302</v>
      </c>
      <c r="I35" s="356">
        <f t="shared" si="4"/>
        <v>0.7024014283023987</v>
      </c>
      <c r="J35" s="36"/>
      <c r="L35" s="95"/>
    </row>
    <row r="36" spans="1:12" ht="12.75" customHeight="1">
      <c r="A36" s="32"/>
      <c r="B36" s="96">
        <v>2002</v>
      </c>
      <c r="C36" s="355">
        <f t="shared" si="4"/>
        <v>73.70873312847365</v>
      </c>
      <c r="D36" s="271">
        <f t="shared" si="4"/>
        <v>2.305945826463046</v>
      </c>
      <c r="E36" s="271">
        <f t="shared" si="4"/>
        <v>8.574930370390192</v>
      </c>
      <c r="F36" s="271">
        <f t="shared" si="4"/>
        <v>6.052813905252877</v>
      </c>
      <c r="G36" s="271">
        <f t="shared" si="4"/>
        <v>1.3025287728791386</v>
      </c>
      <c r="H36" s="271">
        <f t="shared" si="4"/>
        <v>7.367926738871096</v>
      </c>
      <c r="I36" s="356">
        <f t="shared" si="4"/>
        <v>0.6871212576700011</v>
      </c>
      <c r="J36" s="36"/>
      <c r="L36" s="95"/>
    </row>
    <row r="37" spans="2:12" s="32" customFormat="1" ht="12.75" customHeight="1">
      <c r="B37" s="96">
        <v>2003</v>
      </c>
      <c r="C37" s="355">
        <f t="shared" si="4"/>
        <v>73.59318808312375</v>
      </c>
      <c r="D37" s="271">
        <f t="shared" si="4"/>
        <v>2.3584107055365386</v>
      </c>
      <c r="E37" s="271">
        <f t="shared" si="4"/>
        <v>8.519280376817639</v>
      </c>
      <c r="F37" s="271">
        <f t="shared" si="4"/>
        <v>5.944390371230143</v>
      </c>
      <c r="G37" s="271">
        <f t="shared" si="4"/>
        <v>1.3026889264752797</v>
      </c>
      <c r="H37" s="271">
        <f t="shared" si="4"/>
        <v>7.605286060186642</v>
      </c>
      <c r="I37" s="356">
        <f t="shared" si="4"/>
        <v>0.6767554766299994</v>
      </c>
      <c r="J37" s="52"/>
      <c r="K37"/>
      <c r="L37" s="95"/>
    </row>
    <row r="38" spans="1:12" s="32" customFormat="1" ht="12.75" customHeight="1">
      <c r="A38"/>
      <c r="B38" s="96">
        <v>2004</v>
      </c>
      <c r="C38" s="355">
        <f t="shared" si="4"/>
        <v>73.29992639153065</v>
      </c>
      <c r="D38" s="271">
        <f t="shared" si="4"/>
        <v>2.365764905408178</v>
      </c>
      <c r="E38" s="271">
        <f t="shared" si="4"/>
        <v>8.470278016878403</v>
      </c>
      <c r="F38" s="271">
        <f t="shared" si="4"/>
        <v>5.935194754926926</v>
      </c>
      <c r="G38" s="271">
        <f t="shared" si="4"/>
        <v>1.3214489880144156</v>
      </c>
      <c r="H38" s="271">
        <f t="shared" si="4"/>
        <v>7.95396769075543</v>
      </c>
      <c r="I38" s="356">
        <f t="shared" si="4"/>
        <v>0.6534192524859938</v>
      </c>
      <c r="J38" s="52"/>
      <c r="K38"/>
      <c r="L38" s="95"/>
    </row>
    <row r="39" spans="1:12" s="31" customFormat="1" ht="12.75" customHeight="1">
      <c r="A39"/>
      <c r="B39" s="96">
        <v>2005</v>
      </c>
      <c r="C39" s="355">
        <f t="shared" si="4"/>
        <v>72.69898079627225</v>
      </c>
      <c r="D39" s="271">
        <f t="shared" si="4"/>
        <v>2.4046951956627964</v>
      </c>
      <c r="E39" s="271">
        <f t="shared" si="4"/>
        <v>8.429259825115249</v>
      </c>
      <c r="F39" s="271">
        <f t="shared" si="4"/>
        <v>6.066856555605297</v>
      </c>
      <c r="G39" s="271">
        <f t="shared" si="4"/>
        <v>1.3216831836946699</v>
      </c>
      <c r="H39" s="271">
        <f t="shared" si="4"/>
        <v>8.445511706625618</v>
      </c>
      <c r="I39" s="356">
        <f t="shared" si="4"/>
        <v>0.6330127370241212</v>
      </c>
      <c r="J39" s="34"/>
      <c r="K39"/>
      <c r="L39" s="95"/>
    </row>
    <row r="40" spans="1:12" s="31" customFormat="1" ht="12.75" customHeight="1">
      <c r="A40"/>
      <c r="B40" s="96">
        <v>2006</v>
      </c>
      <c r="C40" s="355">
        <f t="shared" si="4"/>
        <v>72.7679720816885</v>
      </c>
      <c r="D40" s="271">
        <f t="shared" si="4"/>
        <v>2.4044696394027167</v>
      </c>
      <c r="E40" s="271">
        <f t="shared" si="4"/>
        <v>8.2220135873302</v>
      </c>
      <c r="F40" s="271">
        <f t="shared" si="4"/>
        <v>6.088970623824861</v>
      </c>
      <c r="G40" s="271">
        <f t="shared" si="4"/>
        <v>1.3112921853475021</v>
      </c>
      <c r="H40" s="271">
        <f t="shared" si="4"/>
        <v>8.580135404823473</v>
      </c>
      <c r="I40" s="356">
        <f t="shared" si="4"/>
        <v>0.6251464775827668</v>
      </c>
      <c r="J40" s="34"/>
      <c r="K40"/>
      <c r="L40" s="95"/>
    </row>
    <row r="41" spans="2:12" ht="15" customHeight="1">
      <c r="B41" s="445">
        <v>2007</v>
      </c>
      <c r="C41" s="357">
        <f t="shared" si="4"/>
        <v>72.41909319524524</v>
      </c>
      <c r="D41" s="358">
        <f t="shared" si="4"/>
        <v>2.377979338526624</v>
      </c>
      <c r="E41" s="358">
        <f t="shared" si="4"/>
        <v>8.32553774957701</v>
      </c>
      <c r="F41" s="358">
        <f t="shared" si="4"/>
        <v>6.103708412420054</v>
      </c>
      <c r="G41" s="358">
        <f t="shared" si="4"/>
        <v>1.3197235083762815</v>
      </c>
      <c r="H41" s="358">
        <f t="shared" si="4"/>
        <v>8.820604414106342</v>
      </c>
      <c r="I41" s="359">
        <f t="shared" si="4"/>
        <v>0.6333533817484414</v>
      </c>
      <c r="J41" s="360"/>
      <c r="L41" s="31"/>
    </row>
    <row r="42" spans="3:12" ht="12.75" customHeight="1">
      <c r="C42" s="361"/>
      <c r="D42" s="362"/>
      <c r="E42" s="362"/>
      <c r="F42" s="362"/>
      <c r="G42" s="362"/>
      <c r="H42" s="362"/>
      <c r="I42" s="362"/>
      <c r="J42" s="31"/>
      <c r="L42" s="31"/>
    </row>
    <row r="43" spans="2:12" ht="12.75" customHeight="1">
      <c r="B43" s="363" t="s">
        <v>8</v>
      </c>
      <c r="C43" s="362"/>
      <c r="D43" s="360"/>
      <c r="E43" s="360"/>
      <c r="F43" s="360"/>
      <c r="G43" s="360"/>
      <c r="H43" s="360"/>
      <c r="I43" s="360"/>
      <c r="J43" s="31"/>
      <c r="L43" s="31"/>
    </row>
    <row r="44" spans="2:10" ht="12.75">
      <c r="B44" s="363" t="s">
        <v>126</v>
      </c>
      <c r="C44" s="360"/>
      <c r="D44" s="31"/>
      <c r="E44" s="31"/>
      <c r="F44" s="31"/>
      <c r="G44" s="31"/>
      <c r="H44" s="31"/>
      <c r="I44" s="31"/>
      <c r="J44" s="31"/>
    </row>
    <row r="45" spans="2:3" ht="11.25" customHeight="1">
      <c r="B45" s="364" t="s">
        <v>127</v>
      </c>
      <c r="C45" s="31"/>
    </row>
    <row r="46" ht="11.25" customHeight="1">
      <c r="B46" s="365"/>
    </row>
    <row r="47" ht="11.25" customHeight="1">
      <c r="B47" s="366" t="s">
        <v>128</v>
      </c>
    </row>
    <row r="48" ht="11.25" customHeight="1"/>
    <row r="49" ht="11.25" customHeight="1"/>
    <row r="50" ht="11.25" customHeight="1"/>
    <row r="51" ht="11.25" customHeight="1"/>
    <row r="52" ht="11.25" customHeight="1"/>
  </sheetData>
  <mergeCells count="20">
    <mergeCell ref="F5:F6"/>
    <mergeCell ref="B26:J26"/>
    <mergeCell ref="C27:C28"/>
    <mergeCell ref="D27:D28"/>
    <mergeCell ref="E27:E28"/>
    <mergeCell ref="B25:J25"/>
    <mergeCell ref="F27:F28"/>
    <mergeCell ref="G27:G28"/>
    <mergeCell ref="H27:H28"/>
    <mergeCell ref="I27:I28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50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</cols>
  <sheetData>
    <row r="1" spans="2:7" ht="15.75">
      <c r="B1" s="57"/>
      <c r="C1" s="45"/>
      <c r="D1" s="45"/>
      <c r="E1" s="45"/>
      <c r="G1" s="37" t="s">
        <v>51</v>
      </c>
    </row>
    <row r="2" spans="2:7" ht="12.75">
      <c r="B2" s="413" t="s">
        <v>131</v>
      </c>
      <c r="C2" s="413"/>
      <c r="D2" s="413"/>
      <c r="E2" s="413"/>
      <c r="F2" s="413"/>
      <c r="G2" s="413"/>
    </row>
    <row r="3" spans="2:7" ht="19.5" customHeight="1">
      <c r="B3" s="413"/>
      <c r="C3" s="413"/>
      <c r="D3" s="413"/>
      <c r="E3" s="413"/>
      <c r="F3" s="413"/>
      <c r="G3" s="413"/>
    </row>
    <row r="4" spans="2:7" ht="12.75">
      <c r="B4" s="417">
        <v>2007</v>
      </c>
      <c r="C4" s="417"/>
      <c r="D4" s="417"/>
      <c r="E4" s="417"/>
      <c r="F4" s="417"/>
      <c r="G4" s="417"/>
    </row>
    <row r="5" spans="2:6" ht="12.75">
      <c r="B5" s="418" t="s">
        <v>5</v>
      </c>
      <c r="C5" s="418"/>
      <c r="D5" s="418"/>
      <c r="E5" s="418"/>
      <c r="F5" s="418"/>
    </row>
    <row r="6" spans="2:7" ht="28.5" customHeight="1">
      <c r="B6" s="16"/>
      <c r="C6" s="405" t="s">
        <v>57</v>
      </c>
      <c r="D6" s="405" t="s">
        <v>6</v>
      </c>
      <c r="E6" s="405" t="s">
        <v>59</v>
      </c>
      <c r="F6" s="405" t="s">
        <v>2</v>
      </c>
      <c r="G6" s="59"/>
    </row>
    <row r="7" spans="2:7" ht="12.75">
      <c r="B7" s="141" t="s">
        <v>79</v>
      </c>
      <c r="C7" s="449">
        <v>82.14589492999235</v>
      </c>
      <c r="D7" s="449">
        <v>9.443762950311852</v>
      </c>
      <c r="E7" s="449">
        <v>6.914239146702291</v>
      </c>
      <c r="F7" s="450">
        <v>1.4961029729935176</v>
      </c>
      <c r="G7" s="141" t="s">
        <v>79</v>
      </c>
    </row>
    <row r="8" spans="2:7" ht="12.75">
      <c r="B8" s="142" t="s">
        <v>32</v>
      </c>
      <c r="C8" s="451">
        <v>83.05979639053793</v>
      </c>
      <c r="D8" s="451">
        <v>8.717525088373542</v>
      </c>
      <c r="E8" s="451">
        <v>6.955611384972693</v>
      </c>
      <c r="F8" s="452">
        <v>1.2670671361158492</v>
      </c>
      <c r="G8" s="142" t="s">
        <v>32</v>
      </c>
    </row>
    <row r="9" spans="2:7" ht="12.75">
      <c r="B9" s="143" t="s">
        <v>92</v>
      </c>
      <c r="C9" s="453">
        <v>76.09110286543985</v>
      </c>
      <c r="D9" s="453">
        <v>14.255243655044097</v>
      </c>
      <c r="E9" s="453">
        <v>6.640139245578523</v>
      </c>
      <c r="F9" s="454">
        <v>3.013514233937541</v>
      </c>
      <c r="G9" s="143" t="s">
        <v>92</v>
      </c>
    </row>
    <row r="10" spans="2:7" ht="12.75">
      <c r="B10" s="19" t="s">
        <v>33</v>
      </c>
      <c r="C10" s="369">
        <v>79.29857767767041</v>
      </c>
      <c r="D10" s="369">
        <v>13.0130963101705</v>
      </c>
      <c r="E10" s="369">
        <v>7.004279872189153</v>
      </c>
      <c r="F10" s="370">
        <v>0.6840461399699443</v>
      </c>
      <c r="G10" s="19" t="s">
        <v>33</v>
      </c>
    </row>
    <row r="11" spans="2:7" ht="12.75">
      <c r="B11" s="142" t="s">
        <v>15</v>
      </c>
      <c r="C11" s="455">
        <v>70.61853528849748</v>
      </c>
      <c r="D11" s="455">
        <v>23.4121214638807</v>
      </c>
      <c r="E11" s="455">
        <v>4.993145848045528</v>
      </c>
      <c r="F11" s="456">
        <v>0.9761973995762887</v>
      </c>
      <c r="G11" s="142" t="s">
        <v>15</v>
      </c>
    </row>
    <row r="12" spans="2:7" ht="12.75">
      <c r="B12" s="332" t="s">
        <v>17</v>
      </c>
      <c r="C12" s="367">
        <v>69.92528531158489</v>
      </c>
      <c r="D12" s="367">
        <v>15.756940724783306</v>
      </c>
      <c r="E12" s="367">
        <v>6.7423066547289965</v>
      </c>
      <c r="F12" s="368">
        <v>7.575467308902815</v>
      </c>
      <c r="G12" s="332" t="s">
        <v>17</v>
      </c>
    </row>
    <row r="13" spans="2:7" ht="12.75">
      <c r="B13" s="142" t="s">
        <v>28</v>
      </c>
      <c r="C13" s="457">
        <v>80.05126571279617</v>
      </c>
      <c r="D13" s="457">
        <v>10.748421479464753</v>
      </c>
      <c r="E13" s="457">
        <v>8.943984243758328</v>
      </c>
      <c r="F13" s="458">
        <v>0.25632856398076814</v>
      </c>
      <c r="G13" s="142" t="s">
        <v>28</v>
      </c>
    </row>
    <row r="14" spans="2:7" ht="12.75">
      <c r="B14" s="332" t="s">
        <v>34</v>
      </c>
      <c r="C14" s="367">
        <v>84.39462136086449</v>
      </c>
      <c r="D14" s="367">
        <v>6.350823981790116</v>
      </c>
      <c r="E14" s="367">
        <v>7.707919027018521</v>
      </c>
      <c r="F14" s="368">
        <v>1.5466356303268824</v>
      </c>
      <c r="G14" s="332" t="s">
        <v>34</v>
      </c>
    </row>
    <row r="15" spans="2:7" ht="12.75">
      <c r="B15" s="142" t="s">
        <v>18</v>
      </c>
      <c r="C15" s="455">
        <v>76.74479286580406</v>
      </c>
      <c r="D15" s="455">
        <v>20.544581050175744</v>
      </c>
      <c r="E15" s="455">
        <v>2.1028073245230314</v>
      </c>
      <c r="F15" s="456">
        <v>0.607818759497168</v>
      </c>
      <c r="G15" s="142" t="s">
        <v>18</v>
      </c>
    </row>
    <row r="16" spans="2:7" ht="12.75">
      <c r="B16" s="332" t="s">
        <v>37</v>
      </c>
      <c r="C16" s="369">
        <v>81.5819121246261</v>
      </c>
      <c r="D16" s="369">
        <v>14.179713297851679</v>
      </c>
      <c r="E16" s="369">
        <v>3.898449943669633</v>
      </c>
      <c r="F16" s="370">
        <v>0.33992463385260874</v>
      </c>
      <c r="G16" s="332" t="s">
        <v>37</v>
      </c>
    </row>
    <row r="17" spans="2:7" ht="12.75">
      <c r="B17" s="142" t="s">
        <v>29</v>
      </c>
      <c r="C17" s="455">
        <v>78.81658964764836</v>
      </c>
      <c r="D17" s="455">
        <v>18.2522628657712</v>
      </c>
      <c r="E17" s="455">
        <v>1.6037101872516242</v>
      </c>
      <c r="F17" s="456">
        <v>1.3274372993288146</v>
      </c>
      <c r="G17" s="142" t="s">
        <v>29</v>
      </c>
    </row>
    <row r="18" spans="2:7" ht="12.75">
      <c r="B18" s="332" t="s">
        <v>35</v>
      </c>
      <c r="C18" s="369">
        <v>79.7034220002647</v>
      </c>
      <c r="D18" s="369">
        <v>13.73606090366439</v>
      </c>
      <c r="E18" s="369">
        <v>5.074608846261897</v>
      </c>
      <c r="F18" s="370">
        <v>1.4859082498090377</v>
      </c>
      <c r="G18" s="332" t="s">
        <v>35</v>
      </c>
    </row>
    <row r="19" spans="2:7" ht="12.75">
      <c r="B19" s="142" t="s">
        <v>36</v>
      </c>
      <c r="C19" s="457">
        <v>83.86261950275792</v>
      </c>
      <c r="D19" s="457">
        <v>5.4274445277905485</v>
      </c>
      <c r="E19" s="457">
        <v>9.253606831461504</v>
      </c>
      <c r="F19" s="458">
        <v>1.4563291379900378</v>
      </c>
      <c r="G19" s="142" t="s">
        <v>36</v>
      </c>
    </row>
    <row r="20" spans="2:7" ht="12.75">
      <c r="B20" s="332" t="s">
        <v>38</v>
      </c>
      <c r="C20" s="367">
        <v>81.82932690395819</v>
      </c>
      <c r="D20" s="367">
        <v>11.830338121657444</v>
      </c>
      <c r="E20" s="367">
        <v>5.634186884392821</v>
      </c>
      <c r="F20" s="368">
        <v>0.7061480899915581</v>
      </c>
      <c r="G20" s="332" t="s">
        <v>38</v>
      </c>
    </row>
    <row r="21" spans="2:7" ht="12.75">
      <c r="B21" s="142" t="s">
        <v>16</v>
      </c>
      <c r="C21" s="455">
        <v>80.88235294117648</v>
      </c>
      <c r="D21" s="455">
        <v>19.117647058823533</v>
      </c>
      <c r="E21" s="455">
        <v>0</v>
      </c>
      <c r="F21" s="456">
        <v>0</v>
      </c>
      <c r="G21" s="142" t="s">
        <v>16</v>
      </c>
    </row>
    <row r="22" spans="2:7" ht="12.75">
      <c r="B22" s="332" t="s">
        <v>20</v>
      </c>
      <c r="C22" s="369">
        <v>81.75048816720077</v>
      </c>
      <c r="D22" s="369">
        <v>12.351330897947363</v>
      </c>
      <c r="E22" s="369">
        <v>4.592041706763335</v>
      </c>
      <c r="F22" s="370">
        <v>1.3061392280885338</v>
      </c>
      <c r="G22" s="332" t="s">
        <v>20</v>
      </c>
    </row>
    <row r="23" spans="2:7" ht="12.75">
      <c r="B23" s="142" t="s">
        <v>21</v>
      </c>
      <c r="C23" s="457">
        <v>90.66216125391384</v>
      </c>
      <c r="D23" s="457">
        <v>8.389940692637683</v>
      </c>
      <c r="E23" s="457">
        <v>0.9478980534484717</v>
      </c>
      <c r="F23" s="458">
        <v>0</v>
      </c>
      <c r="G23" s="142" t="s">
        <v>21</v>
      </c>
    </row>
    <row r="24" spans="2:7" ht="12.75">
      <c r="B24" s="332" t="s">
        <v>39</v>
      </c>
      <c r="C24" s="369">
        <v>84.87654320987654</v>
      </c>
      <c r="D24" s="369">
        <v>11.059670781893004</v>
      </c>
      <c r="E24" s="369">
        <v>4.063786008230453</v>
      </c>
      <c r="F24" s="370">
        <v>0</v>
      </c>
      <c r="G24" s="332" t="s">
        <v>39</v>
      </c>
    </row>
    <row r="25" spans="2:7" ht="12.75">
      <c r="B25" s="142" t="s">
        <v>19</v>
      </c>
      <c r="C25" s="457">
        <v>59.51347778607966</v>
      </c>
      <c r="D25" s="457">
        <v>24.635036496350367</v>
      </c>
      <c r="E25" s="457">
        <v>12.575435369848845</v>
      </c>
      <c r="F25" s="458">
        <v>3.2760503477211342</v>
      </c>
      <c r="G25" s="142" t="s">
        <v>19</v>
      </c>
    </row>
    <row r="26" spans="2:7" ht="12.75">
      <c r="B26" s="332" t="s">
        <v>22</v>
      </c>
      <c r="C26" s="369">
        <v>80.45977011494251</v>
      </c>
      <c r="D26" s="369">
        <v>19.54022988505747</v>
      </c>
      <c r="E26" s="369">
        <v>0</v>
      </c>
      <c r="F26" s="370">
        <v>0</v>
      </c>
      <c r="G26" s="332" t="s">
        <v>22</v>
      </c>
    </row>
    <row r="27" spans="2:7" ht="12.75">
      <c r="B27" s="142" t="s">
        <v>30</v>
      </c>
      <c r="C27" s="455">
        <v>83.17728276363229</v>
      </c>
      <c r="D27" s="455">
        <v>6.847592163000643</v>
      </c>
      <c r="E27" s="455">
        <v>9.12546465803963</v>
      </c>
      <c r="F27" s="456">
        <v>0.8496604153274266</v>
      </c>
      <c r="G27" s="142" t="s">
        <v>30</v>
      </c>
    </row>
    <row r="28" spans="2:7" ht="12.75">
      <c r="B28" s="332" t="s">
        <v>40</v>
      </c>
      <c r="C28" s="367">
        <v>75.66156464371632</v>
      </c>
      <c r="D28" s="367">
        <v>10.294040402979272</v>
      </c>
      <c r="E28" s="367">
        <v>9.982036116859788</v>
      </c>
      <c r="F28" s="368">
        <v>4.062358836444622</v>
      </c>
      <c r="G28" s="332" t="s">
        <v>40</v>
      </c>
    </row>
    <row r="29" spans="2:7" ht="12.75">
      <c r="B29" s="142" t="s">
        <v>23</v>
      </c>
      <c r="C29" s="455">
        <v>82.33508721820554</v>
      </c>
      <c r="D29" s="455">
        <v>9.41488611219128</v>
      </c>
      <c r="E29" s="455">
        <v>6.718675260587833</v>
      </c>
      <c r="F29" s="456">
        <v>1.5313514090153584</v>
      </c>
      <c r="G29" s="142" t="s">
        <v>23</v>
      </c>
    </row>
    <row r="30" spans="2:7" ht="12.75">
      <c r="B30" s="332" t="s">
        <v>41</v>
      </c>
      <c r="C30" s="369">
        <v>82.3000506367744</v>
      </c>
      <c r="D30" s="369">
        <v>12.098107443605837</v>
      </c>
      <c r="E30" s="369">
        <v>4.434193268767832</v>
      </c>
      <c r="F30" s="370">
        <v>1.1676486508519335</v>
      </c>
      <c r="G30" s="332" t="s">
        <v>41</v>
      </c>
    </row>
    <row r="31" spans="2:7" ht="12.75">
      <c r="B31" s="142" t="s">
        <v>24</v>
      </c>
      <c r="C31" s="455">
        <v>69.33851060879212</v>
      </c>
      <c r="D31" s="455">
        <v>14.047982249341285</v>
      </c>
      <c r="E31" s="455">
        <v>8.639578421855497</v>
      </c>
      <c r="F31" s="456">
        <v>7.973928720011093</v>
      </c>
      <c r="G31" s="142" t="s">
        <v>24</v>
      </c>
    </row>
    <row r="32" spans="2:7" ht="12.75">
      <c r="B32" s="332" t="s">
        <v>26</v>
      </c>
      <c r="C32" s="367">
        <v>85.06972625986866</v>
      </c>
      <c r="D32" s="367">
        <v>11.934627019848003</v>
      </c>
      <c r="E32" s="367">
        <v>2.995646720283332</v>
      </c>
      <c r="F32" s="368">
        <v>0</v>
      </c>
      <c r="G32" s="332" t="s">
        <v>26</v>
      </c>
    </row>
    <row r="33" spans="2:7" ht="12.75">
      <c r="B33" s="142" t="s">
        <v>25</v>
      </c>
      <c r="C33" s="457">
        <v>69.86507552545288</v>
      </c>
      <c r="D33" s="457">
        <v>23.25448046014084</v>
      </c>
      <c r="E33" s="457">
        <v>5.818953932161479</v>
      </c>
      <c r="F33" s="458">
        <v>1.0614900822447992</v>
      </c>
      <c r="G33" s="142" t="s">
        <v>25</v>
      </c>
    </row>
    <row r="34" spans="2:7" ht="12.75">
      <c r="B34" s="332" t="s">
        <v>42</v>
      </c>
      <c r="C34" s="367">
        <v>84.34603229176307</v>
      </c>
      <c r="D34" s="367">
        <v>9.970511616836147</v>
      </c>
      <c r="E34" s="367">
        <v>4.995834600584478</v>
      </c>
      <c r="F34" s="368">
        <v>0.687621490816286</v>
      </c>
      <c r="G34" s="332" t="s">
        <v>42</v>
      </c>
    </row>
    <row r="35" spans="2:7" ht="12.75">
      <c r="B35" s="142" t="s">
        <v>43</v>
      </c>
      <c r="C35" s="457">
        <v>82.58158662775273</v>
      </c>
      <c r="D35" s="457">
        <v>7.047625364818256</v>
      </c>
      <c r="E35" s="457">
        <v>8.515189705492174</v>
      </c>
      <c r="F35" s="458">
        <v>1.8555983019368534</v>
      </c>
      <c r="G35" s="142" t="s">
        <v>43</v>
      </c>
    </row>
    <row r="36" spans="2:7" ht="12.75">
      <c r="B36" s="332" t="s">
        <v>31</v>
      </c>
      <c r="C36" s="367">
        <v>86.10971552549422</v>
      </c>
      <c r="D36" s="367">
        <v>6.43635754653549</v>
      </c>
      <c r="E36" s="367">
        <v>6.262013492605062</v>
      </c>
      <c r="F36" s="368">
        <v>1.1919134353652228</v>
      </c>
      <c r="G36" s="332" t="s">
        <v>31</v>
      </c>
    </row>
    <row r="37" spans="2:7" ht="12.75">
      <c r="B37" s="141" t="s">
        <v>50</v>
      </c>
      <c r="C37" s="459">
        <v>81.04753313129638</v>
      </c>
      <c r="D37" s="459">
        <v>11.870284046665923</v>
      </c>
      <c r="E37" s="459">
        <v>5.021829841327633</v>
      </c>
      <c r="F37" s="460">
        <v>2.0603529807100633</v>
      </c>
      <c r="G37" s="141" t="s">
        <v>50</v>
      </c>
    </row>
    <row r="38" spans="2:7" ht="12.75">
      <c r="B38" s="332" t="s">
        <v>9</v>
      </c>
      <c r="C38" s="369">
        <v>77.57055619739232</v>
      </c>
      <c r="D38" s="369">
        <v>20.63046707377455</v>
      </c>
      <c r="E38" s="369">
        <v>1.7989767288331409</v>
      </c>
      <c r="F38" s="370">
        <v>0</v>
      </c>
      <c r="G38" s="332" t="s">
        <v>9</v>
      </c>
    </row>
    <row r="39" spans="2:7" ht="12.75">
      <c r="B39" s="143" t="s">
        <v>27</v>
      </c>
      <c r="C39" s="461"/>
      <c r="D39" s="461"/>
      <c r="E39" s="461"/>
      <c r="F39" s="462"/>
      <c r="G39" s="143" t="s">
        <v>27</v>
      </c>
    </row>
    <row r="40" spans="2:7" ht="12.75">
      <c r="B40" s="371" t="s">
        <v>13</v>
      </c>
      <c r="C40" s="372">
        <v>88.59986033519553</v>
      </c>
      <c r="D40" s="372">
        <v>11.40013966480447</v>
      </c>
      <c r="E40" s="372">
        <v>0</v>
      </c>
      <c r="F40" s="373">
        <v>0</v>
      </c>
      <c r="G40" s="371" t="s">
        <v>13</v>
      </c>
    </row>
    <row r="41" spans="2:7" ht="12.75">
      <c r="B41" s="142" t="s">
        <v>44</v>
      </c>
      <c r="C41" s="457">
        <v>87.71848389781675</v>
      </c>
      <c r="D41" s="457">
        <v>6.788206671361803</v>
      </c>
      <c r="E41" s="457">
        <v>4.657788590818875</v>
      </c>
      <c r="F41" s="458">
        <v>0.8355208400025611</v>
      </c>
      <c r="G41" s="142" t="s">
        <v>44</v>
      </c>
    </row>
    <row r="42" spans="2:7" ht="12.75">
      <c r="B42" s="374" t="s">
        <v>14</v>
      </c>
      <c r="C42" s="375">
        <v>78.28227716711467</v>
      </c>
      <c r="D42" s="375">
        <v>5.32297128256993</v>
      </c>
      <c r="E42" s="375">
        <v>15.081751967281468</v>
      </c>
      <c r="F42" s="376">
        <v>1.312999583033916</v>
      </c>
      <c r="G42" s="374" t="s">
        <v>14</v>
      </c>
    </row>
    <row r="44" spans="2:7" ht="12.75">
      <c r="B44" s="364" t="s">
        <v>65</v>
      </c>
      <c r="C44" s="377"/>
      <c r="D44" s="378"/>
      <c r="E44" s="378"/>
      <c r="F44" s="378"/>
      <c r="G44" s="198"/>
    </row>
    <row r="45" spans="2:7" ht="39.75" customHeight="1">
      <c r="B45" s="419" t="s">
        <v>129</v>
      </c>
      <c r="C45" s="419"/>
      <c r="D45" s="419"/>
      <c r="E45" s="419"/>
      <c r="F45" s="419"/>
      <c r="G45" s="379"/>
    </row>
    <row r="46" spans="2:7" ht="12.75">
      <c r="B46" s="463" t="s">
        <v>79</v>
      </c>
      <c r="C46" s="380">
        <v>79.98831251171033</v>
      </c>
      <c r="D46" s="380">
        <v>9.195720161060109</v>
      </c>
      <c r="E46" s="380">
        <v>6.732634931038979</v>
      </c>
      <c r="F46" s="380">
        <v>1.4568074552659276</v>
      </c>
      <c r="G46" s="463" t="s">
        <v>79</v>
      </c>
    </row>
    <row r="47" spans="2:7" ht="12.75">
      <c r="B47" s="142" t="s">
        <v>32</v>
      </c>
      <c r="C47" s="381">
        <v>80.78321690216575</v>
      </c>
      <c r="D47" s="381">
        <v>8.478587122377974</v>
      </c>
      <c r="E47" s="381">
        <v>6.7649655744091515</v>
      </c>
      <c r="F47" s="381">
        <v>1.2323381916947862</v>
      </c>
      <c r="G47" s="142" t="s">
        <v>32</v>
      </c>
    </row>
    <row r="48" spans="2:7" ht="12.75">
      <c r="B48" s="143" t="s">
        <v>92</v>
      </c>
      <c r="C48" s="382">
        <v>74.67430931072889</v>
      </c>
      <c r="D48" s="382">
        <v>13.989815286013659</v>
      </c>
      <c r="E48" s="382">
        <v>6.516501840793423</v>
      </c>
      <c r="F48" s="382">
        <v>2.9574035011068878</v>
      </c>
      <c r="G48" s="143" t="s">
        <v>92</v>
      </c>
    </row>
    <row r="50" spans="2:7" ht="12.75">
      <c r="B50" s="364" t="s">
        <v>130</v>
      </c>
      <c r="C50" s="397"/>
      <c r="D50" s="397"/>
      <c r="E50" s="397"/>
      <c r="G50" s="198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48" customWidth="1"/>
    <col min="2" max="2" width="4.00390625" style="3" customWidth="1"/>
    <col min="3" max="22" width="7.7109375" style="3" customWidth="1"/>
    <col min="23" max="23" width="6.28125" style="3" customWidth="1"/>
    <col min="24" max="24" width="4.00390625" style="3" customWidth="1"/>
    <col min="25" max="25" width="2.7109375" style="3" customWidth="1"/>
    <col min="26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52</v>
      </c>
    </row>
    <row r="2" spans="1:24" s="78" customFormat="1" ht="30" customHeight="1">
      <c r="A2" s="140"/>
      <c r="B2" s="420" t="s">
        <v>57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3" ht="12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4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4"/>
    </row>
    <row r="6" spans="2:26" ht="12.75" customHeight="1">
      <c r="B6" s="141" t="s">
        <v>79</v>
      </c>
      <c r="C6" s="293"/>
      <c r="D6" s="293"/>
      <c r="E6" s="294"/>
      <c r="F6" s="295"/>
      <c r="G6" s="295"/>
      <c r="H6" s="295"/>
      <c r="I6" s="295"/>
      <c r="J6" s="295">
        <f>SUM(J9:J35)</f>
        <v>3863.0184955</v>
      </c>
      <c r="K6" s="295">
        <f>SUM(K9:K35)</f>
        <v>3930.8209999999995</v>
      </c>
      <c r="L6" s="295">
        <f aca="true" t="shared" si="0" ref="L6:T6">SUM(L9:L35)</f>
        <v>4009.573999999999</v>
      </c>
      <c r="M6" s="295">
        <f t="shared" si="0"/>
        <v>4107.5254551</v>
      </c>
      <c r="N6" s="295">
        <f t="shared" si="0"/>
        <v>4212.106000000002</v>
      </c>
      <c r="O6" s="295">
        <f t="shared" si="0"/>
        <v>4292.408115699999</v>
      </c>
      <c r="P6" s="295">
        <f t="shared" si="0"/>
        <v>4375.722153</v>
      </c>
      <c r="Q6" s="295">
        <f t="shared" si="0"/>
        <v>4451.7796396</v>
      </c>
      <c r="R6" s="295">
        <f t="shared" si="0"/>
        <v>4480.258311500001</v>
      </c>
      <c r="S6" s="295">
        <f t="shared" si="0"/>
        <v>4543.249999999999</v>
      </c>
      <c r="T6" s="295">
        <f t="shared" si="0"/>
        <v>4536.417000000001</v>
      </c>
      <c r="U6" s="295">
        <f>SUM(U9:U35)</f>
        <v>4656.059</v>
      </c>
      <c r="V6" s="296">
        <f>SUM(V9:V35)</f>
        <v>4688.035000000001</v>
      </c>
      <c r="W6" s="148">
        <f aca="true" t="shared" si="1" ref="W6:W41">100*(V6/U6-1)</f>
        <v>0.686761056936791</v>
      </c>
      <c r="X6" s="141" t="s">
        <v>79</v>
      </c>
      <c r="Z6" s="103"/>
    </row>
    <row r="7" spans="1:26" ht="12.75" customHeight="1">
      <c r="A7" s="18"/>
      <c r="B7" s="142" t="s">
        <v>32</v>
      </c>
      <c r="C7" s="297">
        <f aca="true" t="shared" si="2" ref="C7:J7">SUM(C9,C12:C13,C15:C19,C23,C26:C27,C29,C33:C35)</f>
        <v>1550.841</v>
      </c>
      <c r="D7" s="297">
        <f t="shared" si="2"/>
        <v>2231.296</v>
      </c>
      <c r="E7" s="298">
        <f t="shared" si="2"/>
        <v>3109.594</v>
      </c>
      <c r="F7" s="299">
        <f t="shared" si="2"/>
        <v>3171.3889999999997</v>
      </c>
      <c r="G7" s="299">
        <f t="shared" si="2"/>
        <v>3294.965</v>
      </c>
      <c r="H7" s="299">
        <f t="shared" si="2"/>
        <v>3323.973</v>
      </c>
      <c r="I7" s="299">
        <f t="shared" si="2"/>
        <v>3465.511</v>
      </c>
      <c r="J7" s="299">
        <f t="shared" si="2"/>
        <v>3530.3600000000006</v>
      </c>
      <c r="K7" s="299">
        <f>SUM(K9,K12:K13,K15:K19,K23,K26:K27,K29,K33:K35)</f>
        <v>3576.214</v>
      </c>
      <c r="L7" s="299">
        <f aca="true" t="shared" si="3" ref="L7:T7">SUM(L9,L12:L13,L15:L19,L23,L26:L27,L29,L33:L35)</f>
        <v>3635.2549999999997</v>
      </c>
      <c r="M7" s="299">
        <f t="shared" si="3"/>
        <v>3716.1150000000002</v>
      </c>
      <c r="N7" s="299">
        <f t="shared" si="3"/>
        <v>3804.961</v>
      </c>
      <c r="O7" s="299">
        <f t="shared" si="3"/>
        <v>3870.4519999999993</v>
      </c>
      <c r="P7" s="299">
        <f t="shared" si="3"/>
        <v>3941.906</v>
      </c>
      <c r="Q7" s="299">
        <f t="shared" si="3"/>
        <v>4000.0150000000003</v>
      </c>
      <c r="R7" s="299">
        <f t="shared" si="3"/>
        <v>4013.37</v>
      </c>
      <c r="S7" s="299">
        <f t="shared" si="3"/>
        <v>4059.493</v>
      </c>
      <c r="T7" s="299">
        <f t="shared" si="3"/>
        <v>4024.5220000000004</v>
      </c>
      <c r="U7" s="299">
        <f>SUM(U9,U12:U13,U15:U19,U23,U26:U27,U29,U33:U35)</f>
        <v>4109.522999999999</v>
      </c>
      <c r="V7" s="300">
        <f>SUM(V9,V12:V13,V15:V19,V23,V26:V27,V29,V33:V35)</f>
        <v>4118.544</v>
      </c>
      <c r="W7" s="149">
        <f t="shared" si="1"/>
        <v>0.21951452759847445</v>
      </c>
      <c r="X7" s="142" t="s">
        <v>32</v>
      </c>
      <c r="Z7" s="103"/>
    </row>
    <row r="8" spans="1:26" ht="12.75" customHeight="1">
      <c r="A8" s="18"/>
      <c r="B8" s="143" t="s">
        <v>92</v>
      </c>
      <c r="C8" s="301"/>
      <c r="D8" s="301"/>
      <c r="E8" s="302"/>
      <c r="F8" s="303"/>
      <c r="G8" s="303"/>
      <c r="H8" s="303"/>
      <c r="I8" s="303"/>
      <c r="J8" s="303">
        <f aca="true" t="shared" si="4" ref="J8:U8">SUM(J10,J11,J14,J20,J21,J22,J24,J25,J28,J30,J31,J32)</f>
        <v>332.6584955</v>
      </c>
      <c r="K8" s="303">
        <f t="shared" si="4"/>
        <v>354.60699999999997</v>
      </c>
      <c r="L8" s="303">
        <f t="shared" si="4"/>
        <v>374.319</v>
      </c>
      <c r="M8" s="303">
        <f t="shared" si="4"/>
        <v>391.41045510000004</v>
      </c>
      <c r="N8" s="303">
        <f t="shared" si="4"/>
        <v>407.145</v>
      </c>
      <c r="O8" s="303">
        <f t="shared" si="4"/>
        <v>421.9561157</v>
      </c>
      <c r="P8" s="303">
        <f t="shared" si="4"/>
        <v>433.816153</v>
      </c>
      <c r="Q8" s="303">
        <f t="shared" si="4"/>
        <v>451.7646396</v>
      </c>
      <c r="R8" s="303">
        <f t="shared" si="4"/>
        <v>466.88831150000004</v>
      </c>
      <c r="S8" s="303">
        <f t="shared" si="4"/>
        <v>483.75699999999995</v>
      </c>
      <c r="T8" s="303">
        <f t="shared" si="4"/>
        <v>511.89500000000004</v>
      </c>
      <c r="U8" s="303">
        <f t="shared" si="4"/>
        <v>546.536</v>
      </c>
      <c r="V8" s="304">
        <f>SUM(V10,V11,V14,V20,V21,V22,V24,V25,V28,V30,V31,V32)</f>
        <v>569.491</v>
      </c>
      <c r="W8" s="150">
        <f t="shared" si="1"/>
        <v>4.200089289635089</v>
      </c>
      <c r="X8" s="143" t="s">
        <v>92</v>
      </c>
      <c r="Z8" s="103"/>
    </row>
    <row r="9" spans="1:26" ht="12.75" customHeight="1">
      <c r="A9" s="18"/>
      <c r="B9" s="20" t="s">
        <v>33</v>
      </c>
      <c r="C9" s="242">
        <v>41.107</v>
      </c>
      <c r="D9" s="242">
        <v>64.577</v>
      </c>
      <c r="E9" s="244">
        <v>90.183</v>
      </c>
      <c r="F9" s="244">
        <v>94.008</v>
      </c>
      <c r="G9" s="244">
        <v>95.7</v>
      </c>
      <c r="H9" s="244">
        <v>96.418</v>
      </c>
      <c r="I9" s="244">
        <v>99.123</v>
      </c>
      <c r="J9" s="244">
        <v>98.195</v>
      </c>
      <c r="K9" s="244">
        <v>98.191</v>
      </c>
      <c r="L9" s="244">
        <v>100.372</v>
      </c>
      <c r="M9" s="244">
        <v>102.953</v>
      </c>
      <c r="N9" s="244">
        <v>105.276</v>
      </c>
      <c r="O9" s="244">
        <v>105.527</v>
      </c>
      <c r="P9" s="244">
        <v>106.89</v>
      </c>
      <c r="Q9" s="244">
        <v>108.07</v>
      </c>
      <c r="R9" s="244">
        <v>106.968</v>
      </c>
      <c r="S9" s="244">
        <v>108.635</v>
      </c>
      <c r="T9" s="244">
        <v>108.876</v>
      </c>
      <c r="U9" s="244">
        <v>109.798</v>
      </c>
      <c r="V9" s="244">
        <v>112.448</v>
      </c>
      <c r="W9" s="165">
        <f t="shared" si="1"/>
        <v>2.413523014991159</v>
      </c>
      <c r="X9" s="20" t="s">
        <v>33</v>
      </c>
      <c r="Z9" s="103"/>
    </row>
    <row r="10" spans="1:26" ht="12.75" customHeight="1">
      <c r="A10" s="18"/>
      <c r="B10" s="142" t="s">
        <v>15</v>
      </c>
      <c r="C10" s="272" t="s">
        <v>45</v>
      </c>
      <c r="D10" s="272" t="s">
        <v>45</v>
      </c>
      <c r="E10" s="274"/>
      <c r="F10" s="274"/>
      <c r="G10" s="274"/>
      <c r="H10" s="274"/>
      <c r="I10" s="274"/>
      <c r="J10" s="275">
        <v>18</v>
      </c>
      <c r="K10" s="275">
        <v>19</v>
      </c>
      <c r="L10" s="275">
        <v>19.5</v>
      </c>
      <c r="M10" s="275">
        <v>20.5</v>
      </c>
      <c r="N10" s="275">
        <v>22</v>
      </c>
      <c r="O10" s="275">
        <v>23</v>
      </c>
      <c r="P10" s="275">
        <v>24</v>
      </c>
      <c r="Q10" s="275">
        <v>25</v>
      </c>
      <c r="R10" s="275">
        <v>26.5</v>
      </c>
      <c r="S10" s="275">
        <v>28</v>
      </c>
      <c r="T10" s="275">
        <v>29</v>
      </c>
      <c r="U10" s="275">
        <v>31</v>
      </c>
      <c r="V10" s="275">
        <v>34</v>
      </c>
      <c r="W10" s="154">
        <f t="shared" si="1"/>
        <v>9.677419354838701</v>
      </c>
      <c r="X10" s="142" t="s">
        <v>15</v>
      </c>
      <c r="Z10" s="103"/>
    </row>
    <row r="11" spans="1:26" ht="12.75" customHeight="1">
      <c r="A11" s="18"/>
      <c r="B11" s="20" t="s">
        <v>17</v>
      </c>
      <c r="C11" s="233"/>
      <c r="D11" s="233"/>
      <c r="E11" s="234"/>
      <c r="F11" s="235"/>
      <c r="G11" s="235"/>
      <c r="H11" s="235">
        <v>49</v>
      </c>
      <c r="I11" s="235">
        <v>51.7</v>
      </c>
      <c r="J11" s="235">
        <v>54.5</v>
      </c>
      <c r="K11" s="235">
        <v>57.9</v>
      </c>
      <c r="L11" s="235">
        <v>59</v>
      </c>
      <c r="M11" s="236">
        <v>59.726</v>
      </c>
      <c r="N11" s="235">
        <v>62.38</v>
      </c>
      <c r="O11" s="235">
        <v>63.94</v>
      </c>
      <c r="P11" s="235">
        <v>63.47</v>
      </c>
      <c r="Q11" s="235">
        <v>65.29</v>
      </c>
      <c r="R11" s="235">
        <v>67.36</v>
      </c>
      <c r="S11" s="235">
        <v>67.57</v>
      </c>
      <c r="T11" s="235">
        <v>68.64</v>
      </c>
      <c r="U11" s="235">
        <v>69.63</v>
      </c>
      <c r="V11" s="235">
        <v>71.54</v>
      </c>
      <c r="W11" s="165">
        <f t="shared" si="1"/>
        <v>2.74307051558238</v>
      </c>
      <c r="X11" s="20" t="s">
        <v>17</v>
      </c>
      <c r="Z11" s="103"/>
    </row>
    <row r="12" spans="1:26" ht="12.75" customHeight="1">
      <c r="A12" s="18"/>
      <c r="B12" s="142" t="s">
        <v>28</v>
      </c>
      <c r="C12" s="272">
        <v>33.3</v>
      </c>
      <c r="D12" s="272">
        <f>38.027+0.458</f>
        <v>38.485</v>
      </c>
      <c r="E12" s="276">
        <f>47.248+0.4</f>
        <v>47.647999999999996</v>
      </c>
      <c r="F12" s="276">
        <f>47.985+0.394</f>
        <v>48.379</v>
      </c>
      <c r="G12" s="276">
        <f>48.307+0.387</f>
        <v>48.694</v>
      </c>
      <c r="H12" s="276">
        <f>47.717+0.381</f>
        <v>48.098</v>
      </c>
      <c r="I12" s="276">
        <f>47.775+0.383</f>
        <v>48.158</v>
      </c>
      <c r="J12" s="276">
        <f>48.298+0.391</f>
        <v>48.689</v>
      </c>
      <c r="K12" s="276">
        <f>49+0.399</f>
        <v>49.399</v>
      </c>
      <c r="L12" s="276">
        <f>49.921+0.407</f>
        <v>50.327999999999996</v>
      </c>
      <c r="M12" s="276">
        <f>50.392+0.413</f>
        <v>50.805</v>
      </c>
      <c r="N12" s="276">
        <f>51.43+0.42</f>
        <v>51.85</v>
      </c>
      <c r="O12" s="276">
        <f>50.78+0.429</f>
        <v>51.209</v>
      </c>
      <c r="P12" s="276">
        <f>49.822+0.437</f>
        <v>50.259</v>
      </c>
      <c r="Q12" s="276">
        <f>49.991+0.424</f>
        <v>50.415</v>
      </c>
      <c r="R12" s="276">
        <f>50.577+0.415</f>
        <v>50.992</v>
      </c>
      <c r="S12" s="276">
        <f>51.809+0.408</f>
        <v>52.217</v>
      </c>
      <c r="T12" s="276">
        <f>52.327+0.408</f>
        <v>52.735</v>
      </c>
      <c r="U12" s="276">
        <f>53.583+0.408</f>
        <v>53.991</v>
      </c>
      <c r="V12" s="276">
        <f>54.869+0.408</f>
        <v>55.277</v>
      </c>
      <c r="W12" s="154">
        <f t="shared" si="1"/>
        <v>2.3818784612250177</v>
      </c>
      <c r="X12" s="142" t="s">
        <v>28</v>
      </c>
      <c r="Z12" s="103"/>
    </row>
    <row r="13" spans="1:26" ht="12.75" customHeight="1">
      <c r="A13" s="18"/>
      <c r="B13" s="20" t="s">
        <v>34</v>
      </c>
      <c r="C13" s="237">
        <v>394.6</v>
      </c>
      <c r="D13" s="237">
        <v>513.7</v>
      </c>
      <c r="E13" s="235">
        <v>683.1</v>
      </c>
      <c r="F13" s="235">
        <v>700</v>
      </c>
      <c r="G13" s="235">
        <v>719.5</v>
      </c>
      <c r="H13" s="238">
        <v>729.8</v>
      </c>
      <c r="I13" s="235">
        <v>807.022</v>
      </c>
      <c r="J13" s="235">
        <v>815.298</v>
      </c>
      <c r="K13" s="235">
        <v>816.072</v>
      </c>
      <c r="L13" s="235">
        <v>817.071</v>
      </c>
      <c r="M13" s="235">
        <v>828.069</v>
      </c>
      <c r="N13" s="235">
        <v>848.42</v>
      </c>
      <c r="O13" s="235">
        <v>831.267</v>
      </c>
      <c r="P13" s="235">
        <v>852.629</v>
      </c>
      <c r="Q13" s="235">
        <v>862.986</v>
      </c>
      <c r="R13" s="235">
        <v>857.786</v>
      </c>
      <c r="S13" s="235">
        <v>868.7</v>
      </c>
      <c r="T13" s="235">
        <v>856.9</v>
      </c>
      <c r="U13" s="235">
        <v>863.3</v>
      </c>
      <c r="V13" s="235">
        <v>868.7</v>
      </c>
      <c r="W13" s="165">
        <f t="shared" si="1"/>
        <v>0.6255067763234257</v>
      </c>
      <c r="X13" s="20" t="s">
        <v>34</v>
      </c>
      <c r="Z13" s="103"/>
    </row>
    <row r="14" spans="1:26" ht="12.75" customHeight="1">
      <c r="A14" s="18"/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3.956535*1.3</f>
        <v>5.1434955</v>
      </c>
      <c r="K14" s="275">
        <v>5.5</v>
      </c>
      <c r="L14" s="275">
        <v>5.8</v>
      </c>
      <c r="M14" s="275">
        <f>4.763427*1.3</f>
        <v>6.1924551</v>
      </c>
      <c r="N14" s="275">
        <v>6.4</v>
      </c>
      <c r="O14" s="275">
        <f>5.140089*1.3</f>
        <v>6.6821157</v>
      </c>
      <c r="P14" s="275">
        <f>5.23781*1.3</f>
        <v>6.809152999999999</v>
      </c>
      <c r="Q14" s="275">
        <f>5.430492*1.3</f>
        <v>7.059639600000001</v>
      </c>
      <c r="R14" s="275">
        <f>5.894855*1.3</f>
        <v>7.6633115</v>
      </c>
      <c r="S14" s="274">
        <v>7.813</v>
      </c>
      <c r="T14" s="274">
        <v>9.929</v>
      </c>
      <c r="U14" s="274">
        <v>9.946</v>
      </c>
      <c r="V14" s="275">
        <v>10</v>
      </c>
      <c r="W14" s="154">
        <f t="shared" si="1"/>
        <v>0.5429318318922238</v>
      </c>
      <c r="X14" s="142" t="s">
        <v>18</v>
      </c>
      <c r="Z14" s="103"/>
    </row>
    <row r="15" spans="1:26" ht="12.75" customHeight="1">
      <c r="A15" s="18"/>
      <c r="B15" s="20" t="s">
        <v>37</v>
      </c>
      <c r="C15" s="239">
        <v>10</v>
      </c>
      <c r="D15" s="239">
        <v>19</v>
      </c>
      <c r="E15" s="240">
        <v>21</v>
      </c>
      <c r="F15" s="240">
        <v>21.5</v>
      </c>
      <c r="G15" s="240">
        <v>22</v>
      </c>
      <c r="H15" s="240">
        <v>22.5</v>
      </c>
      <c r="I15" s="240">
        <v>23.5</v>
      </c>
      <c r="J15" s="240">
        <v>25</v>
      </c>
      <c r="K15" s="240">
        <v>26</v>
      </c>
      <c r="L15" s="240">
        <v>28</v>
      </c>
      <c r="M15" s="240">
        <v>29.5</v>
      </c>
      <c r="N15" s="240">
        <v>31</v>
      </c>
      <c r="O15" s="240">
        <v>32</v>
      </c>
      <c r="P15" s="240">
        <v>33</v>
      </c>
      <c r="Q15" s="240">
        <v>34.5</v>
      </c>
      <c r="R15" s="240">
        <v>35.5</v>
      </c>
      <c r="S15" s="241">
        <v>36.5</v>
      </c>
      <c r="T15" s="241">
        <v>38</v>
      </c>
      <c r="U15" s="241">
        <v>40</v>
      </c>
      <c r="V15" s="241">
        <v>42</v>
      </c>
      <c r="W15" s="165">
        <f t="shared" si="1"/>
        <v>5.000000000000004</v>
      </c>
      <c r="X15" s="20" t="s">
        <v>37</v>
      </c>
      <c r="Z15" s="103"/>
    </row>
    <row r="16" spans="1:26" ht="12.75" customHeight="1">
      <c r="A16" s="18"/>
      <c r="B16" s="142" t="s">
        <v>29</v>
      </c>
      <c r="C16" s="277">
        <v>4.5</v>
      </c>
      <c r="D16" s="277">
        <v>17.5</v>
      </c>
      <c r="E16" s="275">
        <v>35</v>
      </c>
      <c r="F16" s="275">
        <v>36</v>
      </c>
      <c r="G16" s="275">
        <v>37</v>
      </c>
      <c r="H16" s="275">
        <v>39</v>
      </c>
      <c r="I16" s="275">
        <v>42</v>
      </c>
      <c r="J16" s="275">
        <v>44</v>
      </c>
      <c r="K16" s="275">
        <v>47</v>
      </c>
      <c r="L16" s="275">
        <v>50</v>
      </c>
      <c r="M16" s="275">
        <v>53</v>
      </c>
      <c r="N16" s="275">
        <v>58</v>
      </c>
      <c r="O16" s="275">
        <v>63</v>
      </c>
      <c r="P16" s="275">
        <v>68</v>
      </c>
      <c r="Q16" s="275">
        <v>72</v>
      </c>
      <c r="R16" s="275">
        <v>76</v>
      </c>
      <c r="S16" s="275">
        <v>80</v>
      </c>
      <c r="T16" s="275">
        <v>85</v>
      </c>
      <c r="U16" s="275">
        <v>90</v>
      </c>
      <c r="V16" s="275">
        <v>95</v>
      </c>
      <c r="W16" s="154">
        <f t="shared" si="1"/>
        <v>5.555555555555558</v>
      </c>
      <c r="X16" s="142" t="s">
        <v>29</v>
      </c>
      <c r="Z16" s="103"/>
    </row>
    <row r="17" spans="1:26" ht="12.75" customHeight="1">
      <c r="A17" s="18"/>
      <c r="B17" s="20" t="s">
        <v>35</v>
      </c>
      <c r="C17" s="242">
        <v>64.3</v>
      </c>
      <c r="D17" s="242">
        <v>130.9</v>
      </c>
      <c r="E17" s="243">
        <v>174.4</v>
      </c>
      <c r="F17" s="244">
        <v>207.542</v>
      </c>
      <c r="G17" s="241">
        <v>218.27</v>
      </c>
      <c r="H17" s="241">
        <v>229</v>
      </c>
      <c r="I17" s="241">
        <v>239.7</v>
      </c>
      <c r="J17" s="244">
        <v>250.374</v>
      </c>
      <c r="K17" s="241">
        <v>259</v>
      </c>
      <c r="L17" s="241">
        <v>267.6</v>
      </c>
      <c r="M17" s="244">
        <v>276.173</v>
      </c>
      <c r="N17" s="244">
        <v>293.54</v>
      </c>
      <c r="O17" s="244">
        <v>302.611</v>
      </c>
      <c r="P17" s="244">
        <v>307.955</v>
      </c>
      <c r="Q17" s="241">
        <v>315</v>
      </c>
      <c r="R17" s="244">
        <v>321.928</v>
      </c>
      <c r="S17" s="244">
        <v>330.192</v>
      </c>
      <c r="T17" s="244">
        <v>337.797</v>
      </c>
      <c r="U17" s="244">
        <v>340.937</v>
      </c>
      <c r="V17" s="244">
        <v>343.293</v>
      </c>
      <c r="W17" s="165">
        <f t="shared" si="1"/>
        <v>0.6910367604572087</v>
      </c>
      <c r="X17" s="20" t="s">
        <v>35</v>
      </c>
      <c r="Z17" s="103"/>
    </row>
    <row r="18" spans="1:26" ht="12.75" customHeight="1">
      <c r="A18" s="18"/>
      <c r="B18" s="142" t="s">
        <v>36</v>
      </c>
      <c r="C18" s="272">
        <v>304.7</v>
      </c>
      <c r="D18" s="272">
        <v>452.5</v>
      </c>
      <c r="E18" s="274">
        <v>585.592</v>
      </c>
      <c r="F18" s="274">
        <v>591.448</v>
      </c>
      <c r="G18" s="274">
        <v>606.234</v>
      </c>
      <c r="H18" s="274">
        <v>611.084</v>
      </c>
      <c r="I18" s="274">
        <v>623.305</v>
      </c>
      <c r="J18" s="274">
        <v>640.134</v>
      </c>
      <c r="K18" s="274">
        <v>649.096</v>
      </c>
      <c r="L18" s="274">
        <v>659.482</v>
      </c>
      <c r="M18" s="274">
        <v>678.607</v>
      </c>
      <c r="N18" s="274">
        <v>699.644</v>
      </c>
      <c r="O18" s="274">
        <v>699.644</v>
      </c>
      <c r="P18" s="274">
        <v>727.59</v>
      </c>
      <c r="Q18" s="274">
        <v>733.454</v>
      </c>
      <c r="R18" s="274">
        <v>738.578</v>
      </c>
      <c r="S18" s="274">
        <v>736.945</v>
      </c>
      <c r="T18" s="274">
        <v>727.364</v>
      </c>
      <c r="U18" s="274">
        <v>723.794</v>
      </c>
      <c r="V18" s="274">
        <v>727.816</v>
      </c>
      <c r="W18" s="154">
        <f t="shared" si="1"/>
        <v>0.5556829705689825</v>
      </c>
      <c r="X18" s="142" t="s">
        <v>36</v>
      </c>
      <c r="Z18" s="103"/>
    </row>
    <row r="19" spans="1:26" ht="12.75" customHeight="1">
      <c r="A19" s="18"/>
      <c r="B19" s="20" t="s">
        <v>38</v>
      </c>
      <c r="C19" s="237">
        <v>211.934</v>
      </c>
      <c r="D19" s="237">
        <v>324.034</v>
      </c>
      <c r="E19" s="238">
        <v>522.593</v>
      </c>
      <c r="F19" s="236">
        <v>538.27</v>
      </c>
      <c r="G19" s="236">
        <v>602.21</v>
      </c>
      <c r="H19" s="236">
        <v>603.09</v>
      </c>
      <c r="I19" s="235">
        <v>600.3</v>
      </c>
      <c r="J19" s="235">
        <v>614.713</v>
      </c>
      <c r="K19" s="235">
        <v>627.383</v>
      </c>
      <c r="L19" s="235">
        <v>638.837</v>
      </c>
      <c r="M19" s="235">
        <v>662.545</v>
      </c>
      <c r="N19" s="238">
        <v>663.319</v>
      </c>
      <c r="O19" s="235">
        <v>726.529</v>
      </c>
      <c r="P19" s="235">
        <v>717.683</v>
      </c>
      <c r="Q19" s="235">
        <v>711.733</v>
      </c>
      <c r="R19" s="235">
        <v>710.988</v>
      </c>
      <c r="S19" s="235">
        <v>716.06</v>
      </c>
      <c r="T19" s="235">
        <v>688.986</v>
      </c>
      <c r="U19" s="235">
        <v>744.86</v>
      </c>
      <c r="V19" s="235">
        <v>720.202</v>
      </c>
      <c r="W19" s="165">
        <f t="shared" si="1"/>
        <v>-3.3104207502080985</v>
      </c>
      <c r="X19" s="20" t="s">
        <v>38</v>
      </c>
      <c r="Z19" s="103"/>
    </row>
    <row r="20" spans="1:26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8">
        <v>3.4</v>
      </c>
      <c r="K20" s="278">
        <v>3.5</v>
      </c>
      <c r="L20" s="278">
        <v>3.6</v>
      </c>
      <c r="M20" s="278">
        <v>3.7</v>
      </c>
      <c r="N20" s="278">
        <v>3.8</v>
      </c>
      <c r="O20" s="278">
        <v>3.9</v>
      </c>
      <c r="P20" s="278">
        <v>4</v>
      </c>
      <c r="Q20" s="278">
        <v>4.1</v>
      </c>
      <c r="R20" s="278">
        <v>4.15</v>
      </c>
      <c r="S20" s="275">
        <v>4.6</v>
      </c>
      <c r="T20" s="275">
        <v>4.8</v>
      </c>
      <c r="U20" s="275">
        <v>5</v>
      </c>
      <c r="V20" s="275">
        <v>5.5</v>
      </c>
      <c r="W20" s="154">
        <f t="shared" si="1"/>
        <v>10.000000000000009</v>
      </c>
      <c r="X20" s="142" t="s">
        <v>16</v>
      </c>
      <c r="Z20" s="103"/>
    </row>
    <row r="21" spans="1:26" ht="12.75" customHeight="1">
      <c r="A21" s="18"/>
      <c r="B21" s="20" t="s">
        <v>20</v>
      </c>
      <c r="C21" s="237" t="s">
        <v>45</v>
      </c>
      <c r="D21" s="237" t="s">
        <v>45</v>
      </c>
      <c r="E21" s="235" t="s">
        <v>45</v>
      </c>
      <c r="F21" s="235" t="s">
        <v>45</v>
      </c>
      <c r="G21" s="235" t="s">
        <v>45</v>
      </c>
      <c r="H21" s="235" t="s">
        <v>45</v>
      </c>
      <c r="I21" s="235" t="s">
        <v>45</v>
      </c>
      <c r="J21" s="240">
        <v>7.5</v>
      </c>
      <c r="K21" s="240">
        <v>8</v>
      </c>
      <c r="L21" s="240">
        <v>9</v>
      </c>
      <c r="M21" s="240">
        <v>10</v>
      </c>
      <c r="N21" s="240">
        <v>11</v>
      </c>
      <c r="O21" s="240">
        <v>11.5</v>
      </c>
      <c r="P21" s="240">
        <v>12</v>
      </c>
      <c r="Q21" s="240">
        <v>12.5</v>
      </c>
      <c r="R21" s="240">
        <v>13</v>
      </c>
      <c r="S21" s="241">
        <v>13.5</v>
      </c>
      <c r="T21" s="241">
        <v>14.5</v>
      </c>
      <c r="U21" s="241">
        <v>16</v>
      </c>
      <c r="V21" s="241">
        <v>17.5</v>
      </c>
      <c r="W21" s="165">
        <f t="shared" si="1"/>
        <v>9.375</v>
      </c>
      <c r="X21" s="20" t="s">
        <v>20</v>
      </c>
      <c r="Z21" s="103"/>
    </row>
    <row r="22" spans="1:26" ht="12.75" customHeight="1">
      <c r="A22" s="18"/>
      <c r="B22" s="142" t="s">
        <v>21</v>
      </c>
      <c r="C22" s="272" t="s">
        <v>45</v>
      </c>
      <c r="D22" s="272" t="s">
        <v>45</v>
      </c>
      <c r="E22" s="274" t="s">
        <v>45</v>
      </c>
      <c r="F22" s="274" t="s">
        <v>45</v>
      </c>
      <c r="G22" s="274" t="s">
        <v>45</v>
      </c>
      <c r="H22" s="274" t="s">
        <v>45</v>
      </c>
      <c r="I22" s="274" t="s">
        <v>45</v>
      </c>
      <c r="J22" s="275">
        <v>16</v>
      </c>
      <c r="K22" s="275">
        <v>18</v>
      </c>
      <c r="L22" s="275">
        <v>20</v>
      </c>
      <c r="M22" s="275">
        <v>22</v>
      </c>
      <c r="N22" s="275">
        <v>25</v>
      </c>
      <c r="O22" s="275">
        <v>26</v>
      </c>
      <c r="P22" s="275">
        <v>26</v>
      </c>
      <c r="Q22" s="275">
        <v>26</v>
      </c>
      <c r="R22" s="275">
        <v>29</v>
      </c>
      <c r="S22" s="275">
        <v>31</v>
      </c>
      <c r="T22" s="274">
        <v>34.793</v>
      </c>
      <c r="U22" s="274">
        <v>39.472</v>
      </c>
      <c r="V22" s="274">
        <v>39.119</v>
      </c>
      <c r="W22" s="154">
        <f t="shared" si="1"/>
        <v>-0.894304823672476</v>
      </c>
      <c r="X22" s="142" t="s">
        <v>21</v>
      </c>
      <c r="Z22" s="103"/>
    </row>
    <row r="23" spans="1:26" ht="12.75" customHeight="1">
      <c r="A23" s="18"/>
      <c r="B23" s="20" t="s">
        <v>39</v>
      </c>
      <c r="C23" s="245">
        <v>2.1</v>
      </c>
      <c r="D23" s="245">
        <v>2.7</v>
      </c>
      <c r="E23" s="236">
        <v>4</v>
      </c>
      <c r="F23" s="236">
        <v>4.15</v>
      </c>
      <c r="G23" s="236">
        <v>4.3</v>
      </c>
      <c r="H23" s="236">
        <v>4.5</v>
      </c>
      <c r="I23" s="236">
        <v>4.6</v>
      </c>
      <c r="J23" s="236">
        <v>4.7</v>
      </c>
      <c r="K23" s="236">
        <v>4.8</v>
      </c>
      <c r="L23" s="236">
        <v>4.9</v>
      </c>
      <c r="M23" s="236">
        <v>5</v>
      </c>
      <c r="N23" s="236">
        <v>5</v>
      </c>
      <c r="O23" s="236">
        <v>5.6</v>
      </c>
      <c r="P23" s="236">
        <v>5.8</v>
      </c>
      <c r="Q23" s="236">
        <v>5.9</v>
      </c>
      <c r="R23" s="236">
        <v>6</v>
      </c>
      <c r="S23" s="236">
        <v>6.1</v>
      </c>
      <c r="T23" s="236">
        <v>6.3</v>
      </c>
      <c r="U23" s="236">
        <v>6.5</v>
      </c>
      <c r="V23" s="236">
        <v>6.6</v>
      </c>
      <c r="W23" s="165">
        <f t="shared" si="1"/>
        <v>1.538461538461533</v>
      </c>
      <c r="X23" s="20" t="s">
        <v>39</v>
      </c>
      <c r="Z23" s="103"/>
    </row>
    <row r="24" spans="1:26" ht="12.75" customHeight="1">
      <c r="A24" s="18"/>
      <c r="B24" s="142" t="s">
        <v>19</v>
      </c>
      <c r="C24" s="272" t="s">
        <v>45</v>
      </c>
      <c r="D24" s="272" t="s">
        <v>45</v>
      </c>
      <c r="E24" s="274">
        <v>47</v>
      </c>
      <c r="F24" s="274">
        <v>46.8</v>
      </c>
      <c r="G24" s="274">
        <v>44.6</v>
      </c>
      <c r="H24" s="274">
        <v>44</v>
      </c>
      <c r="I24" s="274">
        <v>44.9</v>
      </c>
      <c r="J24" s="274">
        <v>45.4</v>
      </c>
      <c r="K24" s="274">
        <v>45.6</v>
      </c>
      <c r="L24" s="274">
        <v>46.1</v>
      </c>
      <c r="M24" s="274">
        <v>46.15</v>
      </c>
      <c r="N24" s="274">
        <v>46.17</v>
      </c>
      <c r="O24" s="274">
        <v>46.18</v>
      </c>
      <c r="P24" s="274">
        <v>46.18</v>
      </c>
      <c r="Q24" s="274">
        <v>46.3</v>
      </c>
      <c r="R24" s="274">
        <v>46.36</v>
      </c>
      <c r="S24" s="274">
        <v>46.45</v>
      </c>
      <c r="T24" s="274">
        <v>46.6</v>
      </c>
      <c r="U24" s="274">
        <v>46.85</v>
      </c>
      <c r="V24" s="274">
        <v>41.419</v>
      </c>
      <c r="W24" s="154">
        <f t="shared" si="1"/>
        <v>-11.59231590181431</v>
      </c>
      <c r="X24" s="142" t="s">
        <v>19</v>
      </c>
      <c r="Z24" s="103"/>
    </row>
    <row r="25" spans="1:26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1.7</v>
      </c>
      <c r="K25" s="236">
        <v>1.72</v>
      </c>
      <c r="L25" s="236">
        <v>1.74</v>
      </c>
      <c r="M25" s="236">
        <v>1.76</v>
      </c>
      <c r="N25" s="236">
        <v>1.78</v>
      </c>
      <c r="O25" s="236">
        <v>1.8</v>
      </c>
      <c r="P25" s="236">
        <v>1.8</v>
      </c>
      <c r="Q25" s="236">
        <v>1.85</v>
      </c>
      <c r="R25" s="236">
        <v>1.9</v>
      </c>
      <c r="S25" s="236">
        <v>1.95</v>
      </c>
      <c r="T25" s="236">
        <v>2</v>
      </c>
      <c r="U25" s="236">
        <v>2.05</v>
      </c>
      <c r="V25" s="236">
        <v>2.1</v>
      </c>
      <c r="W25" s="165">
        <f t="shared" si="1"/>
        <v>2.4390243902439046</v>
      </c>
      <c r="X25" s="20" t="s">
        <v>22</v>
      </c>
      <c r="Z25" s="103"/>
    </row>
    <row r="26" spans="1:26" ht="12.75" customHeight="1">
      <c r="A26" s="18"/>
      <c r="B26" s="96" t="s">
        <v>30</v>
      </c>
      <c r="C26" s="272">
        <v>67.1</v>
      </c>
      <c r="D26" s="273">
        <v>108.1</v>
      </c>
      <c r="E26" s="274">
        <v>137.3</v>
      </c>
      <c r="F26" s="274">
        <v>124.5</v>
      </c>
      <c r="G26" s="274">
        <v>129.1</v>
      </c>
      <c r="H26" s="274">
        <v>126.1</v>
      </c>
      <c r="I26" s="274">
        <v>128.8</v>
      </c>
      <c r="J26" s="274">
        <v>131.4</v>
      </c>
      <c r="K26" s="274">
        <v>132.7</v>
      </c>
      <c r="L26" s="274">
        <v>136.5</v>
      </c>
      <c r="M26" s="274">
        <v>137.1</v>
      </c>
      <c r="N26" s="274">
        <v>141.3</v>
      </c>
      <c r="O26" s="274">
        <v>141.1</v>
      </c>
      <c r="P26" s="274">
        <v>141.6</v>
      </c>
      <c r="Q26" s="274">
        <v>144.2</v>
      </c>
      <c r="R26" s="274">
        <v>146.1</v>
      </c>
      <c r="S26" s="274">
        <v>151.6</v>
      </c>
      <c r="T26" s="274">
        <v>148.8</v>
      </c>
      <c r="U26" s="274">
        <v>148</v>
      </c>
      <c r="V26" s="274">
        <v>148.8</v>
      </c>
      <c r="W26" s="154">
        <f t="shared" si="1"/>
        <v>0.5405405405405572</v>
      </c>
      <c r="X26" s="96" t="s">
        <v>30</v>
      </c>
      <c r="Z26" s="103"/>
    </row>
    <row r="27" spans="1:26" ht="12.75" customHeight="1">
      <c r="A27" s="18"/>
      <c r="B27" s="20" t="s">
        <v>40</v>
      </c>
      <c r="C27" s="237">
        <v>32.9</v>
      </c>
      <c r="D27" s="237">
        <v>47.8</v>
      </c>
      <c r="E27" s="235">
        <v>55.678</v>
      </c>
      <c r="F27" s="235">
        <v>57.392</v>
      </c>
      <c r="G27" s="235">
        <v>58.957</v>
      </c>
      <c r="H27" s="235">
        <v>59.783</v>
      </c>
      <c r="I27" s="235">
        <v>61.803</v>
      </c>
      <c r="J27" s="235">
        <v>62.157</v>
      </c>
      <c r="K27" s="235">
        <v>63.073</v>
      </c>
      <c r="L27" s="235">
        <v>63.865</v>
      </c>
      <c r="M27" s="235">
        <v>64.863</v>
      </c>
      <c r="N27" s="235">
        <v>66.112</v>
      </c>
      <c r="O27" s="235">
        <v>66.665</v>
      </c>
      <c r="P27" s="235">
        <v>67.1</v>
      </c>
      <c r="Q27" s="235">
        <v>67.957</v>
      </c>
      <c r="R27" s="235">
        <v>68.94</v>
      </c>
      <c r="S27" s="235">
        <v>69.604</v>
      </c>
      <c r="T27" s="235">
        <v>70.554</v>
      </c>
      <c r="U27" s="235">
        <v>70.888</v>
      </c>
      <c r="V27" s="235">
        <v>72.023</v>
      </c>
      <c r="W27" s="165">
        <f t="shared" si="1"/>
        <v>1.601117255388762</v>
      </c>
      <c r="X27" s="20" t="s">
        <v>40</v>
      </c>
      <c r="Z27" s="103"/>
    </row>
    <row r="28" spans="1:26" ht="12.75" customHeight="1">
      <c r="A28" s="18"/>
      <c r="B28" s="142" t="s">
        <v>23</v>
      </c>
      <c r="C28" s="272" t="s">
        <v>45</v>
      </c>
      <c r="D28" s="272" t="s">
        <v>45</v>
      </c>
      <c r="E28" s="274" t="s">
        <v>45</v>
      </c>
      <c r="F28" s="274"/>
      <c r="G28" s="274"/>
      <c r="H28" s="274"/>
      <c r="I28" s="274"/>
      <c r="J28" s="274">
        <v>110.7</v>
      </c>
      <c r="K28" s="274">
        <v>121.6</v>
      </c>
      <c r="L28" s="274">
        <v>132</v>
      </c>
      <c r="M28" s="274">
        <v>141.1</v>
      </c>
      <c r="N28" s="274">
        <v>143</v>
      </c>
      <c r="O28" s="274">
        <v>149.7</v>
      </c>
      <c r="P28" s="274">
        <v>157.7</v>
      </c>
      <c r="Q28" s="274">
        <v>167.4</v>
      </c>
      <c r="R28" s="274">
        <v>172.4</v>
      </c>
      <c r="S28" s="274">
        <v>181.5</v>
      </c>
      <c r="T28" s="274">
        <v>197.3</v>
      </c>
      <c r="U28" s="274">
        <v>219.24</v>
      </c>
      <c r="V28" s="274">
        <v>239.26</v>
      </c>
      <c r="W28" s="154">
        <f t="shared" si="1"/>
        <v>9.131545338441871</v>
      </c>
      <c r="X28" s="142" t="s">
        <v>23</v>
      </c>
      <c r="Z28" s="103"/>
    </row>
    <row r="29" spans="1:26" ht="12.75" customHeight="1">
      <c r="A29" s="18"/>
      <c r="B29" s="20" t="s">
        <v>41</v>
      </c>
      <c r="C29" s="245">
        <v>7.5</v>
      </c>
      <c r="D29" s="245">
        <v>22.5</v>
      </c>
      <c r="E29" s="236">
        <v>27.5</v>
      </c>
      <c r="F29" s="236">
        <v>29</v>
      </c>
      <c r="G29" s="236">
        <v>32.3</v>
      </c>
      <c r="H29" s="236">
        <v>35.3</v>
      </c>
      <c r="I29" s="236">
        <v>38.4</v>
      </c>
      <c r="J29" s="236">
        <v>40.9</v>
      </c>
      <c r="K29" s="236">
        <v>44</v>
      </c>
      <c r="L29" s="236">
        <v>47.2</v>
      </c>
      <c r="M29" s="236">
        <v>50.4</v>
      </c>
      <c r="N29" s="236">
        <v>54.4</v>
      </c>
      <c r="O29" s="236">
        <v>57.7</v>
      </c>
      <c r="P29" s="236">
        <v>59.6</v>
      </c>
      <c r="Q29" s="236">
        <v>63.1</v>
      </c>
      <c r="R29" s="236">
        <v>64.7</v>
      </c>
      <c r="S29" s="236">
        <v>67</v>
      </c>
      <c r="T29" s="236">
        <v>70</v>
      </c>
      <c r="U29" s="236">
        <v>72</v>
      </c>
      <c r="V29" s="236">
        <v>74</v>
      </c>
      <c r="W29" s="165">
        <f t="shared" si="1"/>
        <v>2.777777777777768</v>
      </c>
      <c r="X29" s="20" t="s">
        <v>41</v>
      </c>
      <c r="Z29" s="103"/>
    </row>
    <row r="30" spans="1:26" ht="12.75" customHeight="1">
      <c r="A30" s="18"/>
      <c r="B30" s="142" t="s">
        <v>24</v>
      </c>
      <c r="C30" s="277"/>
      <c r="D30" s="277"/>
      <c r="E30" s="275"/>
      <c r="F30" s="275"/>
      <c r="G30" s="275"/>
      <c r="H30" s="275"/>
      <c r="I30" s="275"/>
      <c r="J30" s="275">
        <v>36</v>
      </c>
      <c r="K30" s="275">
        <v>38</v>
      </c>
      <c r="L30" s="275">
        <v>40</v>
      </c>
      <c r="M30" s="275">
        <v>42</v>
      </c>
      <c r="N30" s="275">
        <v>44</v>
      </c>
      <c r="O30" s="275">
        <v>45</v>
      </c>
      <c r="P30" s="275">
        <v>47</v>
      </c>
      <c r="Q30" s="275">
        <v>50</v>
      </c>
      <c r="R30" s="275">
        <v>52</v>
      </c>
      <c r="S30" s="275">
        <v>54</v>
      </c>
      <c r="T30" s="275">
        <v>56</v>
      </c>
      <c r="U30" s="275">
        <v>58</v>
      </c>
      <c r="V30" s="275">
        <v>60</v>
      </c>
      <c r="W30" s="154">
        <f t="shared" si="1"/>
        <v>3.4482758620689724</v>
      </c>
      <c r="X30" s="142" t="s">
        <v>24</v>
      </c>
      <c r="Z30" s="103"/>
    </row>
    <row r="31" spans="1:26" ht="12.75" customHeight="1">
      <c r="A31" s="18"/>
      <c r="B31" s="20" t="s">
        <v>26</v>
      </c>
      <c r="C31" s="242" t="s">
        <v>45</v>
      </c>
      <c r="D31" s="242" t="s">
        <v>45</v>
      </c>
      <c r="E31" s="246">
        <v>13.32</v>
      </c>
      <c r="F31" s="246">
        <v>12.606</v>
      </c>
      <c r="G31" s="246">
        <v>13.386</v>
      </c>
      <c r="H31" s="246">
        <v>13.979</v>
      </c>
      <c r="I31" s="246">
        <v>15.178</v>
      </c>
      <c r="J31" s="246">
        <v>16.338</v>
      </c>
      <c r="K31" s="246">
        <v>17.794</v>
      </c>
      <c r="L31" s="246">
        <v>19.011</v>
      </c>
      <c r="M31" s="246">
        <v>18.98</v>
      </c>
      <c r="N31" s="246">
        <v>20.074</v>
      </c>
      <c r="O31" s="246">
        <v>20.325</v>
      </c>
      <c r="P31" s="246">
        <v>20.801</v>
      </c>
      <c r="Q31" s="246">
        <v>21.287</v>
      </c>
      <c r="R31" s="246">
        <v>21.331</v>
      </c>
      <c r="S31" s="244">
        <v>22.042</v>
      </c>
      <c r="T31" s="244">
        <v>22.509</v>
      </c>
      <c r="U31" s="244">
        <v>23.006</v>
      </c>
      <c r="V31" s="244">
        <v>23.059</v>
      </c>
      <c r="W31" s="165">
        <f t="shared" si="1"/>
        <v>0.23037468486482027</v>
      </c>
      <c r="X31" s="20" t="s">
        <v>26</v>
      </c>
      <c r="Z31" s="103"/>
    </row>
    <row r="32" spans="1:26" ht="12.75" customHeight="1">
      <c r="A32" s="18"/>
      <c r="B32" s="142" t="s">
        <v>25</v>
      </c>
      <c r="C32" s="279"/>
      <c r="D32" s="279"/>
      <c r="E32" s="280"/>
      <c r="F32" s="274"/>
      <c r="G32" s="274"/>
      <c r="H32" s="274">
        <v>17.554</v>
      </c>
      <c r="I32" s="274">
        <v>17.293</v>
      </c>
      <c r="J32" s="274">
        <v>17.977</v>
      </c>
      <c r="K32" s="274">
        <v>17.993</v>
      </c>
      <c r="L32" s="274">
        <v>18.568</v>
      </c>
      <c r="M32" s="274">
        <v>19.302</v>
      </c>
      <c r="N32" s="274">
        <v>21.541</v>
      </c>
      <c r="O32" s="274">
        <v>23.929</v>
      </c>
      <c r="P32" s="274">
        <v>24.056</v>
      </c>
      <c r="Q32" s="274">
        <v>24.978</v>
      </c>
      <c r="R32" s="274">
        <v>25.224</v>
      </c>
      <c r="S32" s="274">
        <v>25.332</v>
      </c>
      <c r="T32" s="274">
        <v>25.824</v>
      </c>
      <c r="U32" s="274">
        <v>26.342</v>
      </c>
      <c r="V32" s="274">
        <v>25.994</v>
      </c>
      <c r="W32" s="154">
        <f t="shared" si="1"/>
        <v>-1.3210842001366574</v>
      </c>
      <c r="X32" s="142" t="s">
        <v>25</v>
      </c>
      <c r="Z32" s="103"/>
    </row>
    <row r="33" spans="1:26" ht="12.75" customHeight="1">
      <c r="A33" s="18"/>
      <c r="B33" s="20" t="s">
        <v>42</v>
      </c>
      <c r="C33" s="242">
        <v>23.7</v>
      </c>
      <c r="D33" s="242">
        <v>34.8</v>
      </c>
      <c r="E33" s="244">
        <v>51.2</v>
      </c>
      <c r="F33" s="244">
        <v>50.6</v>
      </c>
      <c r="G33" s="244">
        <v>50.5</v>
      </c>
      <c r="H33" s="244">
        <v>49.7</v>
      </c>
      <c r="I33" s="244">
        <v>49.6</v>
      </c>
      <c r="J33" s="244">
        <v>50</v>
      </c>
      <c r="K33" s="244">
        <v>50.4</v>
      </c>
      <c r="L33" s="244">
        <v>51.9</v>
      </c>
      <c r="M33" s="244">
        <v>53.3</v>
      </c>
      <c r="N33" s="244">
        <v>54.9</v>
      </c>
      <c r="O33" s="244">
        <v>55.7</v>
      </c>
      <c r="P33" s="244">
        <v>57</v>
      </c>
      <c r="Q33" s="244">
        <v>58.3</v>
      </c>
      <c r="R33" s="244">
        <v>59.59</v>
      </c>
      <c r="S33" s="244">
        <v>60.94</v>
      </c>
      <c r="T33" s="244">
        <v>61.91</v>
      </c>
      <c r="U33" s="244">
        <v>62.455</v>
      </c>
      <c r="V33" s="244">
        <v>63.785</v>
      </c>
      <c r="W33" s="165">
        <f t="shared" si="1"/>
        <v>2.1295332639500453</v>
      </c>
      <c r="X33" s="20" t="s">
        <v>42</v>
      </c>
      <c r="Z33" s="103"/>
    </row>
    <row r="34" spans="1:26" ht="12.75" customHeight="1">
      <c r="A34" s="18"/>
      <c r="B34" s="142" t="s">
        <v>43</v>
      </c>
      <c r="C34" s="272">
        <v>56.1</v>
      </c>
      <c r="D34" s="273">
        <v>66.7</v>
      </c>
      <c r="E34" s="274">
        <v>86.4</v>
      </c>
      <c r="F34" s="274">
        <v>86.6</v>
      </c>
      <c r="G34" s="274">
        <v>87.2</v>
      </c>
      <c r="H34" s="274">
        <v>85.6</v>
      </c>
      <c r="I34" s="274">
        <v>85.2</v>
      </c>
      <c r="J34" s="274">
        <v>86.8</v>
      </c>
      <c r="K34" s="274">
        <v>87.1</v>
      </c>
      <c r="L34" s="274">
        <v>87.2</v>
      </c>
      <c r="M34" s="274">
        <v>87.8</v>
      </c>
      <c r="N34" s="274">
        <v>90.2</v>
      </c>
      <c r="O34" s="274">
        <v>91.9</v>
      </c>
      <c r="P34" s="274">
        <v>92.8</v>
      </c>
      <c r="Q34" s="274">
        <v>95.4</v>
      </c>
      <c r="R34" s="274">
        <v>96.3</v>
      </c>
      <c r="S34" s="274">
        <v>97</v>
      </c>
      <c r="T34" s="274">
        <v>97.3</v>
      </c>
      <c r="U34" s="274">
        <v>97</v>
      </c>
      <c r="V34" s="274">
        <v>99.6</v>
      </c>
      <c r="W34" s="154">
        <f t="shared" si="1"/>
        <v>2.680412371134011</v>
      </c>
      <c r="X34" s="142" t="s">
        <v>43</v>
      </c>
      <c r="Z34" s="103"/>
    </row>
    <row r="35" spans="1:26" ht="12.75" customHeight="1">
      <c r="A35" s="18"/>
      <c r="B35" s="21" t="s">
        <v>31</v>
      </c>
      <c r="C35" s="242">
        <v>297</v>
      </c>
      <c r="D35" s="242">
        <v>388</v>
      </c>
      <c r="E35" s="244">
        <v>588</v>
      </c>
      <c r="F35" s="244">
        <v>582</v>
      </c>
      <c r="G35" s="244">
        <v>583</v>
      </c>
      <c r="H35" s="243">
        <v>584</v>
      </c>
      <c r="I35" s="244">
        <v>614</v>
      </c>
      <c r="J35" s="243">
        <v>618</v>
      </c>
      <c r="K35" s="244">
        <v>622</v>
      </c>
      <c r="L35" s="244">
        <v>632</v>
      </c>
      <c r="M35" s="244">
        <v>636</v>
      </c>
      <c r="N35" s="244">
        <v>642</v>
      </c>
      <c r="O35" s="244">
        <v>640</v>
      </c>
      <c r="P35" s="244">
        <v>654</v>
      </c>
      <c r="Q35" s="244">
        <v>677</v>
      </c>
      <c r="R35" s="244">
        <v>673</v>
      </c>
      <c r="S35" s="244">
        <v>678</v>
      </c>
      <c r="T35" s="244">
        <v>674</v>
      </c>
      <c r="U35" s="241">
        <v>686</v>
      </c>
      <c r="V35" s="241">
        <v>689</v>
      </c>
      <c r="W35" s="166">
        <f t="shared" si="1"/>
        <v>0.4373177842565523</v>
      </c>
      <c r="X35" s="21" t="s">
        <v>31</v>
      </c>
      <c r="Z35" s="103"/>
    </row>
    <row r="36" spans="1:26" ht="12.75" customHeight="1">
      <c r="A36" s="18"/>
      <c r="B36" s="142" t="s">
        <v>50</v>
      </c>
      <c r="C36" s="283"/>
      <c r="D36" s="283"/>
      <c r="E36" s="284"/>
      <c r="F36" s="284"/>
      <c r="G36" s="284"/>
      <c r="H36" s="284"/>
      <c r="I36" s="284"/>
      <c r="J36" s="285">
        <v>12.5</v>
      </c>
      <c r="K36" s="285">
        <v>14.75</v>
      </c>
      <c r="L36" s="285">
        <v>16.5</v>
      </c>
      <c r="M36" s="285">
        <v>17.5</v>
      </c>
      <c r="N36" s="285">
        <v>19</v>
      </c>
      <c r="O36" s="285">
        <v>20</v>
      </c>
      <c r="P36" s="285">
        <v>21</v>
      </c>
      <c r="Q36" s="285">
        <v>22</v>
      </c>
      <c r="R36" s="285">
        <v>22.5</v>
      </c>
      <c r="S36" s="285">
        <v>23.5</v>
      </c>
      <c r="T36" s="285">
        <v>24</v>
      </c>
      <c r="U36" s="285">
        <v>25</v>
      </c>
      <c r="V36" s="287">
        <v>26</v>
      </c>
      <c r="W36" s="154">
        <f t="shared" si="1"/>
        <v>4.0000000000000036</v>
      </c>
      <c r="X36" s="142" t="s">
        <v>50</v>
      </c>
      <c r="Z36" s="103"/>
    </row>
    <row r="37" spans="1:26" ht="12.75" customHeight="1">
      <c r="A37" s="18"/>
      <c r="B37" s="20" t="s">
        <v>9</v>
      </c>
      <c r="C37" s="237"/>
      <c r="D37" s="237"/>
      <c r="E37" s="235"/>
      <c r="F37" s="235"/>
      <c r="G37" s="235"/>
      <c r="H37" s="288"/>
      <c r="I37" s="288"/>
      <c r="J37" s="236">
        <v>3.7</v>
      </c>
      <c r="K37" s="236">
        <v>3.8</v>
      </c>
      <c r="L37" s="236">
        <v>3.9</v>
      </c>
      <c r="M37" s="236">
        <v>4</v>
      </c>
      <c r="N37" s="236">
        <v>4.1</v>
      </c>
      <c r="O37" s="236">
        <v>4.2</v>
      </c>
      <c r="P37" s="236">
        <v>4</v>
      </c>
      <c r="Q37" s="236">
        <v>4.1</v>
      </c>
      <c r="R37" s="236">
        <v>4.25</v>
      </c>
      <c r="S37" s="236">
        <v>4.4</v>
      </c>
      <c r="T37" s="236">
        <v>4.5</v>
      </c>
      <c r="U37" s="236">
        <v>4.6</v>
      </c>
      <c r="V37" s="289">
        <v>4.7</v>
      </c>
      <c r="W37" s="165">
        <f t="shared" si="1"/>
        <v>2.1739130434782705</v>
      </c>
      <c r="X37" s="20" t="s">
        <v>9</v>
      </c>
      <c r="Z37" s="103"/>
    </row>
    <row r="38" spans="1:26" ht="12.75" customHeight="1">
      <c r="A38" s="18"/>
      <c r="B38" s="143" t="s">
        <v>27</v>
      </c>
      <c r="C38" s="281" t="s">
        <v>45</v>
      </c>
      <c r="D38" s="281" t="s">
        <v>45</v>
      </c>
      <c r="E38" s="282">
        <v>34.325</v>
      </c>
      <c r="F38" s="282">
        <v>33.58</v>
      </c>
      <c r="G38" s="282">
        <v>36.889</v>
      </c>
      <c r="H38" s="282">
        <v>41.848</v>
      </c>
      <c r="I38" s="282">
        <v>45.736</v>
      </c>
      <c r="J38" s="282">
        <v>52.652</v>
      </c>
      <c r="K38" s="282">
        <v>57.486</v>
      </c>
      <c r="L38" s="286">
        <v>62.5</v>
      </c>
      <c r="M38" s="286">
        <v>67.5</v>
      </c>
      <c r="N38" s="286">
        <v>72.5</v>
      </c>
      <c r="O38" s="286">
        <v>79</v>
      </c>
      <c r="P38" s="286">
        <v>81</v>
      </c>
      <c r="Q38" s="286">
        <v>82</v>
      </c>
      <c r="R38" s="286">
        <v>84</v>
      </c>
      <c r="S38" s="286">
        <v>95</v>
      </c>
      <c r="T38" s="286">
        <v>100</v>
      </c>
      <c r="U38" s="286">
        <v>108</v>
      </c>
      <c r="V38" s="290">
        <v>114</v>
      </c>
      <c r="W38" s="155">
        <f t="shared" si="1"/>
        <v>5.555555555555558</v>
      </c>
      <c r="X38" s="143" t="s">
        <v>27</v>
      </c>
      <c r="Z38" s="103"/>
    </row>
    <row r="39" spans="1:26" ht="12.75" customHeight="1">
      <c r="A39" s="18"/>
      <c r="B39" s="20" t="s">
        <v>13</v>
      </c>
      <c r="C39" s="247" t="s">
        <v>45</v>
      </c>
      <c r="D39" s="247" t="s">
        <v>45</v>
      </c>
      <c r="E39" s="248" t="s">
        <v>45</v>
      </c>
      <c r="F39" s="248"/>
      <c r="G39" s="248"/>
      <c r="H39" s="248"/>
      <c r="I39" s="248"/>
      <c r="J39" s="248">
        <v>3.026</v>
      </c>
      <c r="K39" s="248">
        <v>3.168</v>
      </c>
      <c r="L39" s="248">
        <v>3.36</v>
      </c>
      <c r="M39" s="248">
        <v>3.561</v>
      </c>
      <c r="N39" s="248">
        <v>3.712</v>
      </c>
      <c r="O39" s="248">
        <v>3.765</v>
      </c>
      <c r="P39" s="248">
        <v>3.95</v>
      </c>
      <c r="Q39" s="248">
        <v>4.06</v>
      </c>
      <c r="R39" s="248">
        <v>4.174</v>
      </c>
      <c r="S39" s="248">
        <v>4.301</v>
      </c>
      <c r="T39" s="248">
        <v>4.558</v>
      </c>
      <c r="U39" s="244">
        <v>4.866</v>
      </c>
      <c r="V39" s="248">
        <v>5.075</v>
      </c>
      <c r="W39" s="165">
        <f t="shared" si="1"/>
        <v>4.295108919030022</v>
      </c>
      <c r="X39" s="20" t="s">
        <v>13</v>
      </c>
      <c r="Z39" s="103"/>
    </row>
    <row r="40" spans="1:26" ht="12.75" customHeight="1">
      <c r="A40" s="18"/>
      <c r="B40" s="142" t="s">
        <v>44</v>
      </c>
      <c r="C40" s="272">
        <f>17.781+0.429</f>
        <v>18.209999999999997</v>
      </c>
      <c r="D40" s="272">
        <f>30.436+0.625</f>
        <v>31.061</v>
      </c>
      <c r="E40" s="274">
        <f>42.696+0.523+0.278</f>
        <v>43.497</v>
      </c>
      <c r="F40" s="274">
        <f>42.252+0.513+0.247</f>
        <v>43.012</v>
      </c>
      <c r="G40" s="274">
        <f>42.39+0.545+0.237</f>
        <v>43.172000000000004</v>
      </c>
      <c r="H40" s="274">
        <f>43.128+0.553+0.262</f>
        <v>43.943</v>
      </c>
      <c r="I40" s="274">
        <f>43.605+0.561+0.367</f>
        <v>44.532999999999994</v>
      </c>
      <c r="J40" s="274">
        <f>43.659+0.566+0.505</f>
        <v>44.730000000000004</v>
      </c>
      <c r="K40" s="274">
        <f>45.217+0.57+0.642</f>
        <v>46.429</v>
      </c>
      <c r="L40" s="274">
        <f>44.934+0.6+0.98</f>
        <v>46.513999999999996</v>
      </c>
      <c r="M40" s="274">
        <f>45.78+0.613+1.359</f>
        <v>47.752</v>
      </c>
      <c r="N40" s="274">
        <f>46.121+0.601+1.497</f>
        <v>48.219</v>
      </c>
      <c r="O40" s="274">
        <f>46.832+0.583+1.535</f>
        <v>48.949999999999996</v>
      </c>
      <c r="P40" s="274">
        <f>47.925+0.609+1.522</f>
        <v>50.056</v>
      </c>
      <c r="Q40" s="274">
        <f>49.383+0.58+1.429</f>
        <v>51.392</v>
      </c>
      <c r="R40" s="274">
        <f>50.464+0.575+1.3</f>
        <v>52.339</v>
      </c>
      <c r="S40" s="274">
        <f>50.686+0.571+1.165</f>
        <v>52.422</v>
      </c>
      <c r="T40" s="274">
        <f>51.388+0.556+1.071</f>
        <v>53.01499999999999</v>
      </c>
      <c r="U40" s="274">
        <f>51.767+0.552+1.084</f>
        <v>53.403000000000006</v>
      </c>
      <c r="V40" s="274">
        <f>53.108+0.552+1.143</f>
        <v>54.803</v>
      </c>
      <c r="W40" s="154">
        <f t="shared" si="1"/>
        <v>2.6215755669156904</v>
      </c>
      <c r="X40" s="142" t="s">
        <v>44</v>
      </c>
      <c r="Z40" s="103"/>
    </row>
    <row r="41" spans="1:26" ht="12.75" customHeight="1">
      <c r="A41" s="18"/>
      <c r="B41" s="21" t="s">
        <v>14</v>
      </c>
      <c r="C41" s="249">
        <v>41.836</v>
      </c>
      <c r="D41" s="249">
        <v>61.817</v>
      </c>
      <c r="E41" s="250">
        <v>73.271</v>
      </c>
      <c r="F41" s="250">
        <v>74.744</v>
      </c>
      <c r="G41" s="250">
        <v>73.372</v>
      </c>
      <c r="H41" s="250">
        <v>71.417</v>
      </c>
      <c r="I41" s="250">
        <v>73.44</v>
      </c>
      <c r="J41" s="250">
        <v>75.532</v>
      </c>
      <c r="K41" s="250">
        <v>76.848</v>
      </c>
      <c r="L41" s="250">
        <v>77.063</v>
      </c>
      <c r="M41" s="250">
        <v>77.946</v>
      </c>
      <c r="N41" s="250">
        <v>79.006</v>
      </c>
      <c r="O41" s="250">
        <v>80.559</v>
      </c>
      <c r="P41" s="250">
        <v>80.691</v>
      </c>
      <c r="Q41" s="250">
        <v>81.974</v>
      </c>
      <c r="R41" s="250">
        <v>83.144</v>
      </c>
      <c r="S41" s="250">
        <v>84.484</v>
      </c>
      <c r="T41" s="250">
        <v>85.729</v>
      </c>
      <c r="U41" s="250">
        <v>86.728</v>
      </c>
      <c r="V41" s="250">
        <v>88.239</v>
      </c>
      <c r="W41" s="166">
        <f t="shared" si="1"/>
        <v>1.742228576699567</v>
      </c>
      <c r="X41" s="21" t="s">
        <v>14</v>
      </c>
      <c r="Z41" s="103"/>
    </row>
    <row r="42" spans="1:24" ht="15" customHeight="1">
      <c r="A42" s="18"/>
      <c r="B42" s="35" t="s">
        <v>108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94"/>
      <c r="U42" s="94"/>
      <c r="V42" s="94"/>
      <c r="X42" s="94"/>
    </row>
    <row r="43" spans="2:23" ht="12.75" customHeight="1">
      <c r="B43" s="146" t="s">
        <v>8</v>
      </c>
      <c r="C43" s="62"/>
      <c r="D43" s="63"/>
      <c r="E43" s="64"/>
      <c r="F43" s="64"/>
      <c r="G43" s="64"/>
      <c r="H43" s="38"/>
      <c r="I43" s="64"/>
      <c r="J43" s="63"/>
      <c r="K43" s="38"/>
      <c r="L43" s="64"/>
      <c r="M43" s="64"/>
      <c r="N43" s="63"/>
      <c r="O43" s="63"/>
      <c r="P43" s="64"/>
      <c r="Q43" s="64"/>
      <c r="R43" s="65"/>
      <c r="S43" s="65"/>
      <c r="T43" s="65"/>
      <c r="U43" s="65"/>
      <c r="V43" s="65"/>
      <c r="W43" s="39"/>
    </row>
    <row r="44" ht="12.75" customHeight="1">
      <c r="B44" s="78" t="s">
        <v>93</v>
      </c>
    </row>
    <row r="45" spans="2:10" ht="12.75" customHeight="1">
      <c r="B45" s="58" t="s">
        <v>94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16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80" t="s">
        <v>96</v>
      </c>
      <c r="C47" s="12"/>
      <c r="D47" s="12"/>
      <c r="E47" s="12"/>
      <c r="F47" s="12"/>
      <c r="G47" s="12"/>
      <c r="H47" s="12"/>
      <c r="I47" s="12"/>
      <c r="J47" s="12"/>
    </row>
    <row r="48" spans="2:10" ht="12.75" customHeight="1">
      <c r="B48" s="80" t="s">
        <v>97</v>
      </c>
      <c r="C48" s="12"/>
      <c r="D48" s="12"/>
      <c r="E48" s="12"/>
      <c r="F48" s="12"/>
      <c r="G48" s="12"/>
      <c r="H48" s="12"/>
      <c r="I48" s="12"/>
      <c r="J48" s="12"/>
    </row>
    <row r="49" spans="2:10" ht="11.25">
      <c r="B49" s="12"/>
      <c r="C49" s="12"/>
      <c r="D49" s="12"/>
      <c r="E49" s="12"/>
      <c r="F49" s="12"/>
      <c r="G49" s="12"/>
      <c r="H49" s="12"/>
      <c r="I49" s="12"/>
      <c r="J49" s="12"/>
    </row>
    <row r="50" spans="3:23" ht="11.25">
      <c r="C50" s="12"/>
      <c r="D50" s="12"/>
      <c r="E50" s="12"/>
      <c r="F50" s="12"/>
      <c r="G50" s="12"/>
      <c r="H50" s="12"/>
      <c r="I50" s="12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</row>
  </sheetData>
  <mergeCells count="1">
    <mergeCell ref="B2:X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Z5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25" width="9.140625" style="3" customWidth="1"/>
    <col min="26" max="26" width="9.140625" style="193" customWidth="1"/>
    <col min="27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6"/>
      <c r="T1" s="46"/>
      <c r="U1" s="46"/>
      <c r="V1" s="46"/>
      <c r="X1" s="46" t="s">
        <v>53</v>
      </c>
    </row>
    <row r="2" spans="2:26" s="78" customFormat="1" ht="30" customHeight="1">
      <c r="B2" s="420" t="s">
        <v>58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Z2" s="194"/>
    </row>
    <row r="3" spans="3:24" ht="10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7"/>
      <c r="F6" s="308"/>
      <c r="G6" s="308"/>
      <c r="H6" s="308"/>
      <c r="I6" s="308"/>
      <c r="J6" s="308">
        <f>SUM(J9:J35)</f>
        <v>503.9745000000001</v>
      </c>
      <c r="K6" s="308">
        <f>SUM(K9:K35)</f>
        <v>508.4965000000001</v>
      </c>
      <c r="L6" s="308">
        <f aca="true" t="shared" si="0" ref="L6:T6">SUM(L9:L35)</f>
        <v>507.6708</v>
      </c>
      <c r="M6" s="308">
        <f t="shared" si="0"/>
        <v>514.5251</v>
      </c>
      <c r="N6" s="308">
        <f t="shared" si="0"/>
        <v>515.0588</v>
      </c>
      <c r="O6" s="308">
        <f t="shared" si="0"/>
        <v>517.6147635</v>
      </c>
      <c r="P6" s="308">
        <f t="shared" si="0"/>
        <v>519.36393722</v>
      </c>
      <c r="Q6" s="308">
        <f t="shared" si="0"/>
        <v>517.89928837</v>
      </c>
      <c r="R6" s="308">
        <f t="shared" si="0"/>
        <v>518.6427944</v>
      </c>
      <c r="S6" s="308">
        <f t="shared" si="0"/>
        <v>525.00176323</v>
      </c>
      <c r="T6" s="308">
        <f t="shared" si="0"/>
        <v>525.9858824600001</v>
      </c>
      <c r="U6" s="308">
        <f>SUM(U9:U35)</f>
        <v>526.085574</v>
      </c>
      <c r="V6" s="309">
        <f>SUM(V9:V35)</f>
        <v>538.951962</v>
      </c>
      <c r="W6" s="148">
        <f aca="true" t="shared" si="1" ref="W6:W41">100*(V6/U6-1)</f>
        <v>2.4456834849457376</v>
      </c>
      <c r="X6" s="141" t="s">
        <v>79</v>
      </c>
    </row>
    <row r="7" spans="1:24" ht="12.75" customHeight="1">
      <c r="A7" s="18"/>
      <c r="B7" s="142" t="s">
        <v>32</v>
      </c>
      <c r="C7" s="310">
        <f aca="true" t="shared" si="2" ref="C7:J7">SUM(C9,C12:C13,C15:C19,C23,C26:C27,C29,C33:C35)</f>
        <v>273.351</v>
      </c>
      <c r="D7" s="310">
        <f t="shared" si="2"/>
        <v>351.629</v>
      </c>
      <c r="E7" s="311">
        <f t="shared" si="2"/>
        <v>368.701</v>
      </c>
      <c r="F7" s="312">
        <f t="shared" si="2"/>
        <v>369.614</v>
      </c>
      <c r="G7" s="312">
        <f t="shared" si="2"/>
        <v>369.92799999999994</v>
      </c>
      <c r="H7" s="312">
        <f t="shared" si="2"/>
        <v>369.957</v>
      </c>
      <c r="I7" s="312">
        <f t="shared" si="2"/>
        <v>369.916</v>
      </c>
      <c r="J7" s="312">
        <f t="shared" si="2"/>
        <v>378.6860000000001</v>
      </c>
      <c r="K7" s="312">
        <f>SUM(K9,K12:K13,K15:K19,K23,K26:K27,K29,K33:K35)</f>
        <v>385.665</v>
      </c>
      <c r="L7" s="312">
        <f aca="true" t="shared" si="3" ref="L7:T7">SUM(L9,L12:L13,L15:L19,L23,L26:L27,L29,L33:L35)</f>
        <v>387.282</v>
      </c>
      <c r="M7" s="312">
        <f t="shared" si="3"/>
        <v>395.16700000000003</v>
      </c>
      <c r="N7" s="312">
        <f t="shared" si="3"/>
        <v>397.16400000000004</v>
      </c>
      <c r="O7" s="312">
        <f t="shared" si="3"/>
        <v>402.96500000000003</v>
      </c>
      <c r="P7" s="312">
        <f t="shared" si="3"/>
        <v>404.354</v>
      </c>
      <c r="Q7" s="312">
        <f t="shared" si="3"/>
        <v>403.738</v>
      </c>
      <c r="R7" s="312">
        <f t="shared" si="3"/>
        <v>407.237</v>
      </c>
      <c r="S7" s="312">
        <f t="shared" si="3"/>
        <v>416.36899999999997</v>
      </c>
      <c r="T7" s="312">
        <f t="shared" si="3"/>
        <v>417.4040000000001</v>
      </c>
      <c r="U7" s="312">
        <f>SUM(U9,U12:U13,U15:U19,U23,U26:U27,U29,U33:U35)</f>
        <v>418.168</v>
      </c>
      <c r="V7" s="313">
        <f>SUM(V9,V12:V13,V15:V19,V23,V26:V27,V29,V33:V35)</f>
        <v>432.261</v>
      </c>
      <c r="W7" s="149">
        <f t="shared" si="1"/>
        <v>3.3701765797478522</v>
      </c>
      <c r="X7" s="142" t="s">
        <v>32</v>
      </c>
    </row>
    <row r="8" spans="1:24" ht="12.75" customHeight="1">
      <c r="A8" s="18"/>
      <c r="B8" s="143" t="s">
        <v>92</v>
      </c>
      <c r="C8" s="314"/>
      <c r="D8" s="314"/>
      <c r="E8" s="315"/>
      <c r="F8" s="316"/>
      <c r="G8" s="316"/>
      <c r="H8" s="316"/>
      <c r="I8" s="316"/>
      <c r="J8" s="316">
        <f aca="true" t="shared" si="4" ref="J8:U8">SUM(J10,J11,J14,J20,J21,J22,J24,J25,J28,J30,J31,J32)</f>
        <v>125.28850000000001</v>
      </c>
      <c r="K8" s="316">
        <f t="shared" si="4"/>
        <v>122.8315</v>
      </c>
      <c r="L8" s="316">
        <f t="shared" si="4"/>
        <v>120.3888</v>
      </c>
      <c r="M8" s="316">
        <f t="shared" si="4"/>
        <v>119.35810000000001</v>
      </c>
      <c r="N8" s="316">
        <f t="shared" si="4"/>
        <v>117.89479999999999</v>
      </c>
      <c r="O8" s="316">
        <f t="shared" si="4"/>
        <v>114.64976349999999</v>
      </c>
      <c r="P8" s="316">
        <f t="shared" si="4"/>
        <v>115.00993722</v>
      </c>
      <c r="Q8" s="316">
        <f t="shared" si="4"/>
        <v>114.16128837</v>
      </c>
      <c r="R8" s="316">
        <f t="shared" si="4"/>
        <v>111.40579439999999</v>
      </c>
      <c r="S8" s="316">
        <f t="shared" si="4"/>
        <v>108.63276323</v>
      </c>
      <c r="T8" s="316">
        <f t="shared" si="4"/>
        <v>108.58188246</v>
      </c>
      <c r="U8" s="316">
        <f t="shared" si="4"/>
        <v>107.917574</v>
      </c>
      <c r="V8" s="317">
        <f>SUM(V10,V11,V14,V20,V21,V22,V24,V25,V28,V30,V31,V32)</f>
        <v>106.69096200000001</v>
      </c>
      <c r="W8" s="150">
        <f t="shared" si="1"/>
        <v>-1.1366193239295663</v>
      </c>
      <c r="X8" s="143" t="s">
        <v>92</v>
      </c>
    </row>
    <row r="9" spans="1:24" ht="12.75" customHeight="1">
      <c r="A9" s="18"/>
      <c r="B9" s="20" t="s">
        <v>33</v>
      </c>
      <c r="C9" s="242">
        <v>12.153</v>
      </c>
      <c r="D9" s="242">
        <v>14.422</v>
      </c>
      <c r="E9" s="235">
        <v>11.371</v>
      </c>
      <c r="F9" s="235">
        <v>11.929</v>
      </c>
      <c r="G9" s="235">
        <v>12.209</v>
      </c>
      <c r="H9" s="235">
        <v>12.449</v>
      </c>
      <c r="I9" s="235">
        <v>12.921</v>
      </c>
      <c r="J9" s="235">
        <v>13.116</v>
      </c>
      <c r="K9" s="235">
        <v>13.048</v>
      </c>
      <c r="L9" s="244">
        <v>13.062</v>
      </c>
      <c r="M9" s="244">
        <v>13.264</v>
      </c>
      <c r="N9" s="241">
        <v>13.442</v>
      </c>
      <c r="O9" s="244">
        <v>13.298</v>
      </c>
      <c r="P9" s="244">
        <v>13.785</v>
      </c>
      <c r="Q9" s="244">
        <v>14.959</v>
      </c>
      <c r="R9" s="244">
        <v>16.484</v>
      </c>
      <c r="S9" s="244">
        <v>17.143</v>
      </c>
      <c r="T9" s="244">
        <v>17.515</v>
      </c>
      <c r="U9" s="244">
        <v>18.078</v>
      </c>
      <c r="V9" s="244">
        <v>18.453</v>
      </c>
      <c r="W9" s="182">
        <f t="shared" si="1"/>
        <v>2.0743445071357502</v>
      </c>
      <c r="X9" s="20" t="s">
        <v>33</v>
      </c>
    </row>
    <row r="10" spans="1:24" ht="12.75" customHeight="1">
      <c r="A10" s="18"/>
      <c r="B10" s="142" t="s">
        <v>15</v>
      </c>
      <c r="C10" s="272">
        <v>12.235</v>
      </c>
      <c r="D10" s="272">
        <v>21.614</v>
      </c>
      <c r="E10" s="274">
        <v>25.881</v>
      </c>
      <c r="F10" s="274">
        <v>18.888</v>
      </c>
      <c r="G10" s="274">
        <v>16.8</v>
      </c>
      <c r="H10" s="275">
        <v>16.4</v>
      </c>
      <c r="I10" s="275">
        <v>16</v>
      </c>
      <c r="J10" s="278">
        <v>15.7</v>
      </c>
      <c r="K10" s="278">
        <v>15.3</v>
      </c>
      <c r="L10" s="278">
        <v>15</v>
      </c>
      <c r="M10" s="278">
        <v>14.8</v>
      </c>
      <c r="N10" s="276">
        <v>14.623</v>
      </c>
      <c r="O10" s="276">
        <v>13.879</v>
      </c>
      <c r="P10" s="276">
        <v>14.51</v>
      </c>
      <c r="Q10" s="276">
        <v>15.966</v>
      </c>
      <c r="R10" s="276">
        <v>12.954</v>
      </c>
      <c r="S10" s="276">
        <v>11.093</v>
      </c>
      <c r="T10" s="274">
        <v>11.355</v>
      </c>
      <c r="U10" s="274">
        <v>11.136</v>
      </c>
      <c r="V10" s="274">
        <v>11.272</v>
      </c>
      <c r="W10" s="181">
        <f t="shared" si="1"/>
        <v>1.2212643678161106</v>
      </c>
      <c r="X10" s="142" t="s">
        <v>15</v>
      </c>
    </row>
    <row r="11" spans="1:24" ht="12.75" customHeight="1">
      <c r="A11" s="18"/>
      <c r="B11" s="20" t="s">
        <v>17</v>
      </c>
      <c r="C11" s="233"/>
      <c r="D11" s="233"/>
      <c r="E11" s="234"/>
      <c r="F11" s="235" t="s">
        <v>45</v>
      </c>
      <c r="G11" s="235" t="s">
        <v>45</v>
      </c>
      <c r="H11" s="235">
        <v>13.617</v>
      </c>
      <c r="I11" s="238">
        <v>11.523</v>
      </c>
      <c r="J11" s="235">
        <f>11.7632+1.1693+5.668</f>
        <v>18.6005</v>
      </c>
      <c r="K11" s="235">
        <f>9.7292+1.2833+5.59</f>
        <v>16.6025</v>
      </c>
      <c r="L11" s="235">
        <f>8.804+1.2948+5.512</f>
        <v>15.610800000000001</v>
      </c>
      <c r="M11" s="235">
        <f>8.6809+1.234+5.4582</f>
        <v>15.373099999999999</v>
      </c>
      <c r="N11" s="238">
        <f>8.649+1.2615+5.5333</f>
        <v>15.4438</v>
      </c>
      <c r="O11" s="235">
        <f>9.3513+1.221+5.599</f>
        <v>16.171300000000002</v>
      </c>
      <c r="P11" s="235">
        <f>10.6081+1.2103+5.7009</f>
        <v>17.5193</v>
      </c>
      <c r="Q11" s="235">
        <f>9.6675+1.1339+5.7291</f>
        <v>16.5305</v>
      </c>
      <c r="R11" s="235">
        <f>9.4486+1.1103+5.8659</f>
        <v>16.4248</v>
      </c>
      <c r="S11" s="235">
        <f>8.5162+1.1043+5.5975</f>
        <v>15.218</v>
      </c>
      <c r="T11" s="235">
        <f>8.6076+0.9554+6.0451</f>
        <v>15.608099999999999</v>
      </c>
      <c r="U11" s="235">
        <f>9.5011+1.0116+5.5023</f>
        <v>16.015</v>
      </c>
      <c r="V11" s="235">
        <f>9.5188+1.0569+5.5451</f>
        <v>16.120800000000003</v>
      </c>
      <c r="W11" s="182">
        <f t="shared" si="1"/>
        <v>0.6606306587574329</v>
      </c>
      <c r="X11" s="20" t="s">
        <v>17</v>
      </c>
    </row>
    <row r="12" spans="1:24" ht="12.75" customHeight="1">
      <c r="A12" s="18"/>
      <c r="B12" s="142" t="s">
        <v>28</v>
      </c>
      <c r="C12" s="272">
        <v>4.6</v>
      </c>
      <c r="D12" s="272">
        <v>4.611</v>
      </c>
      <c r="E12" s="274">
        <v>6.443</v>
      </c>
      <c r="F12" s="274">
        <v>6.394</v>
      </c>
      <c r="G12" s="274">
        <v>6.421</v>
      </c>
      <c r="H12" s="274">
        <v>6.601</v>
      </c>
      <c r="I12" s="274">
        <v>6.745</v>
      </c>
      <c r="J12" s="274">
        <v>7.284</v>
      </c>
      <c r="K12" s="274">
        <v>7.717</v>
      </c>
      <c r="L12" s="274">
        <v>7.596</v>
      </c>
      <c r="M12" s="274">
        <v>7.543</v>
      </c>
      <c r="N12" s="274">
        <v>7.397</v>
      </c>
      <c r="O12" s="274">
        <v>7.418</v>
      </c>
      <c r="P12" s="274">
        <v>7.332</v>
      </c>
      <c r="Q12" s="274">
        <v>7.295</v>
      </c>
      <c r="R12" s="274">
        <v>7.272</v>
      </c>
      <c r="S12" s="274">
        <v>7.3</v>
      </c>
      <c r="T12" s="274">
        <v>7.339</v>
      </c>
      <c r="U12" s="274">
        <v>7.449</v>
      </c>
      <c r="V12" s="274">
        <v>7.422</v>
      </c>
      <c r="W12" s="181">
        <f t="shared" si="1"/>
        <v>-0.3624647603705178</v>
      </c>
      <c r="X12" s="142" t="s">
        <v>28</v>
      </c>
    </row>
    <row r="13" spans="1:24" ht="12.75" customHeight="1">
      <c r="A13" s="18"/>
      <c r="B13" s="20" t="s">
        <v>34</v>
      </c>
      <c r="C13" s="237">
        <v>67.7</v>
      </c>
      <c r="D13" s="238">
        <v>90</v>
      </c>
      <c r="E13" s="238">
        <v>73.1</v>
      </c>
      <c r="F13" s="235">
        <v>70.3</v>
      </c>
      <c r="G13" s="235">
        <v>69.9</v>
      </c>
      <c r="H13" s="235">
        <v>70.2</v>
      </c>
      <c r="I13" s="235">
        <v>68.6</v>
      </c>
      <c r="J13" s="235">
        <v>68.5</v>
      </c>
      <c r="K13" s="235">
        <v>68.3</v>
      </c>
      <c r="L13" s="235">
        <v>68</v>
      </c>
      <c r="M13" s="235">
        <v>68.2</v>
      </c>
      <c r="N13" s="235">
        <v>68</v>
      </c>
      <c r="O13" s="235">
        <v>69</v>
      </c>
      <c r="P13" s="235">
        <v>68.7</v>
      </c>
      <c r="Q13" s="235">
        <v>67.5</v>
      </c>
      <c r="R13" s="235">
        <v>67.5</v>
      </c>
      <c r="S13" s="235">
        <f>38.038+2.322+27.447</f>
        <v>67.807</v>
      </c>
      <c r="T13" s="235">
        <f>38.494+1.871+26.697</f>
        <v>67.062</v>
      </c>
      <c r="U13" s="235">
        <f>38.542+1.495+26.147</f>
        <v>66.184</v>
      </c>
      <c r="V13" s="235">
        <f>38.753+1.395+25.223</f>
        <v>65.37100000000001</v>
      </c>
      <c r="W13" s="182">
        <f t="shared" si="1"/>
        <v>-1.2283935694427428</v>
      </c>
      <c r="X13" s="20" t="s">
        <v>34</v>
      </c>
    </row>
    <row r="14" spans="1:24" ht="12.75" customHeight="1">
      <c r="A14" s="18"/>
      <c r="B14" s="142" t="s">
        <v>18</v>
      </c>
      <c r="C14" s="272">
        <v>2.61</v>
      </c>
      <c r="D14" s="272">
        <v>3.66</v>
      </c>
      <c r="E14" s="274">
        <v>4.45</v>
      </c>
      <c r="F14" s="274">
        <v>3.83</v>
      </c>
      <c r="G14" s="274">
        <v>2.97</v>
      </c>
      <c r="H14" s="274">
        <v>2.54</v>
      </c>
      <c r="I14" s="274">
        <v>2.35</v>
      </c>
      <c r="J14" s="274">
        <v>2.048</v>
      </c>
      <c r="K14" s="274">
        <v>2.091</v>
      </c>
      <c r="L14" s="274">
        <v>2.238</v>
      </c>
      <c r="M14" s="274">
        <v>2.265</v>
      </c>
      <c r="N14" s="274">
        <v>2.223</v>
      </c>
      <c r="O14" s="274">
        <v>2.63</v>
      </c>
      <c r="P14" s="274">
        <v>2.461</v>
      </c>
      <c r="Q14" s="274">
        <v>2.33</v>
      </c>
      <c r="R14" s="274">
        <v>2.297</v>
      </c>
      <c r="S14" s="274">
        <v>2.469</v>
      </c>
      <c r="T14" s="274">
        <v>2.716</v>
      </c>
      <c r="U14" s="274">
        <v>2.881</v>
      </c>
      <c r="V14" s="274">
        <v>2.677</v>
      </c>
      <c r="W14" s="181">
        <f t="shared" si="1"/>
        <v>-7.080874696285999</v>
      </c>
      <c r="X14" s="142" t="s">
        <v>18</v>
      </c>
    </row>
    <row r="15" spans="1:24" ht="12.75" customHeight="1">
      <c r="A15" s="18"/>
      <c r="B15" s="20" t="s">
        <v>37</v>
      </c>
      <c r="C15" s="242">
        <v>3.3</v>
      </c>
      <c r="D15" s="242">
        <v>4.5</v>
      </c>
      <c r="E15" s="244">
        <v>3.86</v>
      </c>
      <c r="F15" s="244">
        <v>4.1</v>
      </c>
      <c r="G15" s="244">
        <v>4.3</v>
      </c>
      <c r="H15" s="244">
        <v>4.49</v>
      </c>
      <c r="I15" s="244">
        <v>5</v>
      </c>
      <c r="J15" s="244">
        <v>5.15</v>
      </c>
      <c r="K15" s="244">
        <v>5.3</v>
      </c>
      <c r="L15" s="241">
        <v>5.5</v>
      </c>
      <c r="M15" s="241">
        <v>5.7</v>
      </c>
      <c r="N15" s="241">
        <v>5.9</v>
      </c>
      <c r="O15" s="241">
        <v>6.11</v>
      </c>
      <c r="P15" s="241">
        <v>6.26</v>
      </c>
      <c r="Q15" s="241">
        <v>6.35</v>
      </c>
      <c r="R15" s="241">
        <v>6.5</v>
      </c>
      <c r="S15" s="241">
        <v>6.55</v>
      </c>
      <c r="T15" s="241">
        <v>6.7</v>
      </c>
      <c r="U15" s="241">
        <v>6.9</v>
      </c>
      <c r="V15" s="241">
        <v>7.3</v>
      </c>
      <c r="W15" s="182">
        <f t="shared" si="1"/>
        <v>5.797101449275344</v>
      </c>
      <c r="X15" s="20" t="s">
        <v>37</v>
      </c>
    </row>
    <row r="16" spans="1:24" ht="12.75" customHeight="1">
      <c r="A16" s="18"/>
      <c r="B16" s="142" t="s">
        <v>29</v>
      </c>
      <c r="C16" s="272">
        <v>9.425</v>
      </c>
      <c r="D16" s="272">
        <v>15.621</v>
      </c>
      <c r="E16" s="274">
        <v>17.718</v>
      </c>
      <c r="F16" s="274">
        <v>17.968</v>
      </c>
      <c r="G16" s="274">
        <v>18.549</v>
      </c>
      <c r="H16" s="274">
        <v>18.922</v>
      </c>
      <c r="I16" s="274">
        <v>19.578</v>
      </c>
      <c r="J16" s="274">
        <v>20.221</v>
      </c>
      <c r="K16" s="274">
        <v>20.449</v>
      </c>
      <c r="L16" s="274">
        <v>20.695</v>
      </c>
      <c r="M16" s="274">
        <v>21.2</v>
      </c>
      <c r="N16" s="274">
        <v>21.5</v>
      </c>
      <c r="O16" s="274">
        <v>21.7</v>
      </c>
      <c r="P16" s="275">
        <v>21.8</v>
      </c>
      <c r="Q16" s="275">
        <v>22</v>
      </c>
      <c r="R16" s="275">
        <v>21.95</v>
      </c>
      <c r="S16" s="275">
        <v>21.6</v>
      </c>
      <c r="T16" s="275">
        <v>21.7</v>
      </c>
      <c r="U16" s="275">
        <v>21.8</v>
      </c>
      <c r="V16" s="275">
        <v>22</v>
      </c>
      <c r="W16" s="181">
        <f t="shared" si="1"/>
        <v>0.917431192660545</v>
      </c>
      <c r="X16" s="142" t="s">
        <v>29</v>
      </c>
    </row>
    <row r="17" spans="1:24" ht="12.75" customHeight="1">
      <c r="A17" s="18"/>
      <c r="B17" s="20" t="s">
        <v>35</v>
      </c>
      <c r="C17" s="242">
        <v>20.911</v>
      </c>
      <c r="D17" s="242">
        <v>28.099</v>
      </c>
      <c r="E17" s="244">
        <v>33.36</v>
      </c>
      <c r="F17" s="244">
        <v>35.45</v>
      </c>
      <c r="G17" s="244">
        <v>35.52</v>
      </c>
      <c r="H17" s="244">
        <v>37.09</v>
      </c>
      <c r="I17" s="244">
        <v>38.13</v>
      </c>
      <c r="J17" s="244">
        <v>39.6</v>
      </c>
      <c r="K17" s="241">
        <v>44</v>
      </c>
      <c r="L17" s="244">
        <v>43.97</v>
      </c>
      <c r="M17" s="244">
        <v>49.4</v>
      </c>
      <c r="N17" s="244">
        <v>50</v>
      </c>
      <c r="O17" s="244">
        <v>50.278</v>
      </c>
      <c r="P17" s="244">
        <v>51.712</v>
      </c>
      <c r="Q17" s="244">
        <v>50.053</v>
      </c>
      <c r="R17" s="244">
        <v>49.209</v>
      </c>
      <c r="S17" s="244">
        <v>53.458</v>
      </c>
      <c r="T17" s="244">
        <v>53.176</v>
      </c>
      <c r="U17" s="244">
        <v>49.369</v>
      </c>
      <c r="V17" s="244">
        <v>59.163</v>
      </c>
      <c r="W17" s="182">
        <f t="shared" si="1"/>
        <v>19.838360104519026</v>
      </c>
      <c r="X17" s="20" t="s">
        <v>35</v>
      </c>
    </row>
    <row r="18" spans="1:24" ht="12.75" customHeight="1">
      <c r="A18" s="18"/>
      <c r="B18" s="142" t="s">
        <v>36</v>
      </c>
      <c r="C18" s="272">
        <v>25.2</v>
      </c>
      <c r="D18" s="272">
        <v>38</v>
      </c>
      <c r="E18" s="274">
        <v>41.275</v>
      </c>
      <c r="F18" s="274">
        <v>42.897</v>
      </c>
      <c r="G18" s="274">
        <v>41.761</v>
      </c>
      <c r="H18" s="274">
        <v>41.985</v>
      </c>
      <c r="I18" s="274">
        <v>42.686</v>
      </c>
      <c r="J18" s="274">
        <v>41.591</v>
      </c>
      <c r="K18" s="274">
        <v>42.374</v>
      </c>
      <c r="L18" s="274">
        <v>41.976</v>
      </c>
      <c r="M18" s="274">
        <v>42.439</v>
      </c>
      <c r="N18" s="274">
        <v>41.641</v>
      </c>
      <c r="O18" s="274">
        <v>42.971</v>
      </c>
      <c r="P18" s="274">
        <v>41.35</v>
      </c>
      <c r="Q18" s="274">
        <v>42.169</v>
      </c>
      <c r="R18" s="274">
        <v>42.725</v>
      </c>
      <c r="S18" s="274">
        <v>44.015</v>
      </c>
      <c r="T18" s="274">
        <v>43.86</v>
      </c>
      <c r="U18" s="274">
        <v>44.909</v>
      </c>
      <c r="V18" s="274">
        <v>47.103</v>
      </c>
      <c r="W18" s="181">
        <f t="shared" si="1"/>
        <v>4.8854349907590855</v>
      </c>
      <c r="X18" s="142" t="s">
        <v>36</v>
      </c>
    </row>
    <row r="19" spans="1:24" ht="12.75" customHeight="1">
      <c r="A19" s="18"/>
      <c r="B19" s="20" t="s">
        <v>38</v>
      </c>
      <c r="C19" s="237">
        <v>32.004</v>
      </c>
      <c r="D19" s="237">
        <v>57.836</v>
      </c>
      <c r="E19" s="235">
        <v>83.955</v>
      </c>
      <c r="F19" s="235">
        <v>84.69</v>
      </c>
      <c r="G19" s="235">
        <v>84.7</v>
      </c>
      <c r="H19" s="235">
        <v>81.45</v>
      </c>
      <c r="I19" s="235">
        <v>79.28</v>
      </c>
      <c r="J19" s="235">
        <v>87.147</v>
      </c>
      <c r="K19" s="235">
        <v>88.736</v>
      </c>
      <c r="L19" s="235">
        <v>90</v>
      </c>
      <c r="M19" s="235">
        <v>90.6</v>
      </c>
      <c r="N19" s="235">
        <v>92.153</v>
      </c>
      <c r="O19" s="235">
        <f>82.392+11.158</f>
        <v>93.55</v>
      </c>
      <c r="P19" s="235">
        <v>95.594</v>
      </c>
      <c r="Q19" s="235">
        <f>85.512+11.634</f>
        <v>97.146</v>
      </c>
      <c r="R19" s="235">
        <f>86.816+11.503</f>
        <v>98.319</v>
      </c>
      <c r="S19" s="235">
        <f>88.196+11.564</f>
        <v>99.75999999999999</v>
      </c>
      <c r="T19" s="235">
        <f>89.598+11.625</f>
        <v>101.223</v>
      </c>
      <c r="U19" s="236">
        <f>91.374+11.754</f>
        <v>103.128</v>
      </c>
      <c r="V19" s="236">
        <f>92.315+11.807</f>
        <v>104.122</v>
      </c>
      <c r="W19" s="182">
        <f t="shared" si="1"/>
        <v>0.963850748584294</v>
      </c>
      <c r="X19" s="20" t="s">
        <v>38</v>
      </c>
    </row>
    <row r="20" spans="1:24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5">
        <v>1</v>
      </c>
      <c r="K20" s="275">
        <v>1.04</v>
      </c>
      <c r="L20" s="275">
        <v>1.05</v>
      </c>
      <c r="M20" s="275">
        <v>1.06</v>
      </c>
      <c r="N20" s="275">
        <v>1.08</v>
      </c>
      <c r="O20" s="275">
        <v>1.12</v>
      </c>
      <c r="P20" s="275">
        <v>1.16</v>
      </c>
      <c r="Q20" s="275">
        <v>1.2</v>
      </c>
      <c r="R20" s="275">
        <v>1.28</v>
      </c>
      <c r="S20" s="275">
        <v>1.24</v>
      </c>
      <c r="T20" s="275">
        <v>1.26</v>
      </c>
      <c r="U20" s="275">
        <v>1.28</v>
      </c>
      <c r="V20" s="275">
        <v>1.3</v>
      </c>
      <c r="W20" s="181">
        <f t="shared" si="1"/>
        <v>1.5625</v>
      </c>
      <c r="X20" s="142" t="s">
        <v>16</v>
      </c>
    </row>
    <row r="21" spans="1:24" ht="12.75" customHeight="1">
      <c r="A21" s="18"/>
      <c r="B21" s="20" t="s">
        <v>20</v>
      </c>
      <c r="C21" s="237">
        <v>3.28</v>
      </c>
      <c r="D21" s="237">
        <v>4.55</v>
      </c>
      <c r="E21" s="235">
        <v>5.862</v>
      </c>
      <c r="F21" s="238">
        <v>5.331</v>
      </c>
      <c r="G21" s="235">
        <v>2.583</v>
      </c>
      <c r="H21" s="235">
        <v>1.722</v>
      </c>
      <c r="I21" s="235">
        <v>1.795</v>
      </c>
      <c r="J21" s="235">
        <v>1.835</v>
      </c>
      <c r="K21" s="235">
        <v>1.606</v>
      </c>
      <c r="L21" s="235">
        <v>1.72</v>
      </c>
      <c r="M21" s="235">
        <v>1.903</v>
      </c>
      <c r="N21" s="235">
        <v>2.368</v>
      </c>
      <c r="O21" s="235">
        <v>2.348</v>
      </c>
      <c r="P21" s="235">
        <v>2.305</v>
      </c>
      <c r="Q21" s="235">
        <v>2.361</v>
      </c>
      <c r="R21" s="235">
        <v>2.55</v>
      </c>
      <c r="S21" s="235">
        <v>2.655</v>
      </c>
      <c r="T21" s="235">
        <v>2.891</v>
      </c>
      <c r="U21" s="235">
        <v>2.78</v>
      </c>
      <c r="V21" s="235">
        <v>2.644</v>
      </c>
      <c r="W21" s="182">
        <f t="shared" si="1"/>
        <v>-4.892086330935241</v>
      </c>
      <c r="X21" s="20" t="s">
        <v>20</v>
      </c>
    </row>
    <row r="22" spans="1:24" ht="12.75" customHeight="1">
      <c r="A22" s="18"/>
      <c r="B22" s="142" t="s">
        <v>21</v>
      </c>
      <c r="C22" s="272" t="s">
        <v>45</v>
      </c>
      <c r="D22" s="272" t="s">
        <v>45</v>
      </c>
      <c r="E22" s="274">
        <v>7.889</v>
      </c>
      <c r="F22" s="274">
        <v>7.798</v>
      </c>
      <c r="G22" s="274">
        <v>6.392</v>
      </c>
      <c r="H22" s="274">
        <v>4.522</v>
      </c>
      <c r="I22" s="274">
        <v>4.627</v>
      </c>
      <c r="J22" s="274">
        <f>3.334+0.835</f>
        <v>4.1690000000000005</v>
      </c>
      <c r="K22" s="274">
        <f>2.879+0.722</f>
        <v>3.601</v>
      </c>
      <c r="L22" s="274">
        <f>2.603+0.588</f>
        <v>3.1910000000000003</v>
      </c>
      <c r="M22" s="274">
        <f>2.39+0.574</f>
        <v>2.964</v>
      </c>
      <c r="N22" s="274">
        <f>2.096+0.569</f>
        <v>2.665</v>
      </c>
      <c r="O22" s="274">
        <f>2.266+0.489</f>
        <v>2.755</v>
      </c>
      <c r="P22" s="274">
        <v>2.833</v>
      </c>
      <c r="Q22" s="274">
        <f>2.508+0.505</f>
        <v>3.013</v>
      </c>
      <c r="R22" s="274">
        <f>2.583+0.404</f>
        <v>2.987</v>
      </c>
      <c r="S22" s="274">
        <f>3.14+0.409</f>
        <v>3.549</v>
      </c>
      <c r="T22" s="274">
        <f>3.267+0.424</f>
        <v>3.691</v>
      </c>
      <c r="U22" s="274">
        <f>3.283+0.413</f>
        <v>3.6959999999999997</v>
      </c>
      <c r="V22" s="274">
        <f>3.1703+0.4498</f>
        <v>3.6201</v>
      </c>
      <c r="W22" s="181">
        <f t="shared" si="1"/>
        <v>-2.0535714285714213</v>
      </c>
      <c r="X22" s="142" t="s">
        <v>21</v>
      </c>
    </row>
    <row r="23" spans="1:24" ht="12.75" customHeight="1">
      <c r="A23" s="18"/>
      <c r="B23" s="20" t="s">
        <v>39</v>
      </c>
      <c r="C23" s="245">
        <v>0.4</v>
      </c>
      <c r="D23" s="245">
        <v>0.44</v>
      </c>
      <c r="E23" s="236">
        <v>0.48</v>
      </c>
      <c r="F23" s="236">
        <v>0.49</v>
      </c>
      <c r="G23" s="236">
        <v>0.51</v>
      </c>
      <c r="H23" s="236">
        <v>0.52</v>
      </c>
      <c r="I23" s="236">
        <v>0.53</v>
      </c>
      <c r="J23" s="236">
        <v>0.54</v>
      </c>
      <c r="K23" s="236">
        <v>0.55</v>
      </c>
      <c r="L23" s="236">
        <v>0.56</v>
      </c>
      <c r="M23" s="236">
        <v>0.57</v>
      </c>
      <c r="N23" s="236">
        <v>0.58</v>
      </c>
      <c r="O23" s="236">
        <v>0.62</v>
      </c>
      <c r="P23" s="236">
        <v>0.66</v>
      </c>
      <c r="Q23" s="236">
        <v>0.72</v>
      </c>
      <c r="R23" s="236">
        <v>0.74</v>
      </c>
      <c r="S23" s="236">
        <v>0.77</v>
      </c>
      <c r="T23" s="236">
        <v>0.8</v>
      </c>
      <c r="U23" s="236">
        <v>0.82</v>
      </c>
      <c r="V23" s="236">
        <v>0.86</v>
      </c>
      <c r="W23" s="182">
        <f t="shared" si="1"/>
        <v>4.878048780487809</v>
      </c>
      <c r="X23" s="20" t="s">
        <v>39</v>
      </c>
    </row>
    <row r="24" spans="1:24" ht="12.75" customHeight="1">
      <c r="A24" s="18"/>
      <c r="B24" s="142" t="s">
        <v>19</v>
      </c>
      <c r="C24" s="272" t="s">
        <v>45</v>
      </c>
      <c r="D24" s="272" t="s">
        <v>45</v>
      </c>
      <c r="E24" s="274">
        <v>19.261</v>
      </c>
      <c r="F24" s="274">
        <v>17.332</v>
      </c>
      <c r="G24" s="274">
        <v>15.971</v>
      </c>
      <c r="H24" s="274">
        <v>15.8</v>
      </c>
      <c r="I24" s="274">
        <v>16.392</v>
      </c>
      <c r="J24" s="274">
        <v>16.605</v>
      </c>
      <c r="K24" s="274">
        <v>16.564</v>
      </c>
      <c r="L24" s="274">
        <v>16.632</v>
      </c>
      <c r="M24" s="274">
        <v>17.172</v>
      </c>
      <c r="N24" s="274">
        <v>17.796</v>
      </c>
      <c r="O24" s="274">
        <v>18.732</v>
      </c>
      <c r="P24" s="274">
        <v>18.617</v>
      </c>
      <c r="Q24" s="274">
        <v>18.898</v>
      </c>
      <c r="R24" s="274">
        <v>18.707</v>
      </c>
      <c r="S24" s="274">
        <f>11.612+6.312+0.299</f>
        <v>18.223</v>
      </c>
      <c r="T24" s="274">
        <f>11.53+6.029+0.286</f>
        <v>17.845</v>
      </c>
      <c r="U24" s="274">
        <f>11.784+5.863+0.283</f>
        <v>17.930000000000003</v>
      </c>
      <c r="V24" s="274">
        <f>11.254+5.613+0.278</f>
        <v>17.145</v>
      </c>
      <c r="W24" s="181">
        <f t="shared" si="1"/>
        <v>-4.378137200223109</v>
      </c>
      <c r="X24" s="142" t="s">
        <v>19</v>
      </c>
    </row>
    <row r="25" spans="1:24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0.41</v>
      </c>
      <c r="K25" s="236">
        <v>0.42</v>
      </c>
      <c r="L25" s="236">
        <v>0.44</v>
      </c>
      <c r="M25" s="236">
        <v>0.45</v>
      </c>
      <c r="N25" s="236">
        <v>0.455</v>
      </c>
      <c r="O25" s="236">
        <v>0.46</v>
      </c>
      <c r="P25" s="236">
        <v>0.47</v>
      </c>
      <c r="Q25" s="236">
        <v>0.48</v>
      </c>
      <c r="R25" s="236">
        <v>0.49</v>
      </c>
      <c r="S25" s="236">
        <v>0.5</v>
      </c>
      <c r="T25" s="236">
        <v>0.49</v>
      </c>
      <c r="U25" s="236">
        <v>0.5</v>
      </c>
      <c r="V25" s="236">
        <v>0.51</v>
      </c>
      <c r="W25" s="182">
        <f t="shared" si="1"/>
        <v>2.0000000000000018</v>
      </c>
      <c r="X25" s="20" t="s">
        <v>22</v>
      </c>
    </row>
    <row r="26" spans="1:24" ht="12.75" customHeight="1">
      <c r="A26" s="18"/>
      <c r="B26" s="96" t="s">
        <v>30</v>
      </c>
      <c r="C26" s="272">
        <v>9.5</v>
      </c>
      <c r="D26" s="273">
        <v>11.2</v>
      </c>
      <c r="E26" s="273">
        <v>13</v>
      </c>
      <c r="F26" s="278">
        <v>12.3</v>
      </c>
      <c r="G26" s="278">
        <v>13.2</v>
      </c>
      <c r="H26" s="278">
        <v>13.05</v>
      </c>
      <c r="I26" s="278">
        <v>12.15</v>
      </c>
      <c r="J26" s="278">
        <v>12</v>
      </c>
      <c r="K26" s="278">
        <v>11.85</v>
      </c>
      <c r="L26" s="278">
        <v>12</v>
      </c>
      <c r="M26" s="278">
        <v>11.7</v>
      </c>
      <c r="N26" s="278">
        <v>11.25</v>
      </c>
      <c r="O26" s="278">
        <v>11.25</v>
      </c>
      <c r="P26" s="275">
        <v>11.4</v>
      </c>
      <c r="Q26" s="278">
        <v>10.8</v>
      </c>
      <c r="R26" s="278">
        <v>11.25</v>
      </c>
      <c r="S26" s="278">
        <v>11.55</v>
      </c>
      <c r="T26" s="275">
        <v>11.75</v>
      </c>
      <c r="U26" s="275">
        <v>12</v>
      </c>
      <c r="V26" s="275">
        <v>12.25</v>
      </c>
      <c r="W26" s="181">
        <f t="shared" si="1"/>
        <v>2.083333333333326</v>
      </c>
      <c r="X26" s="96" t="s">
        <v>30</v>
      </c>
    </row>
    <row r="27" spans="1:24" ht="12.75" customHeight="1">
      <c r="A27" s="18"/>
      <c r="B27" s="20" t="s">
        <v>40</v>
      </c>
      <c r="C27" s="237">
        <v>9.1</v>
      </c>
      <c r="D27" s="237">
        <v>9.8</v>
      </c>
      <c r="E27" s="235">
        <v>7.939</v>
      </c>
      <c r="F27" s="235">
        <v>7.896</v>
      </c>
      <c r="G27" s="235">
        <v>8.058</v>
      </c>
      <c r="H27" s="235">
        <v>8.3</v>
      </c>
      <c r="I27" s="235">
        <v>8.446</v>
      </c>
      <c r="J27" s="235">
        <v>8.737</v>
      </c>
      <c r="K27" s="235">
        <v>8.741</v>
      </c>
      <c r="L27" s="235">
        <v>8.823</v>
      </c>
      <c r="M27" s="235">
        <v>8.901</v>
      </c>
      <c r="N27" s="235">
        <v>8.921</v>
      </c>
      <c r="O27" s="235">
        <v>9.249</v>
      </c>
      <c r="P27" s="235">
        <v>9.202</v>
      </c>
      <c r="Q27" s="235">
        <v>9.31</v>
      </c>
      <c r="R27" s="235">
        <v>9.481</v>
      </c>
      <c r="S27" s="235">
        <v>9.602</v>
      </c>
      <c r="T27" s="235">
        <v>9.339</v>
      </c>
      <c r="U27" s="235">
        <v>9.234</v>
      </c>
      <c r="V27" s="235">
        <v>9.799</v>
      </c>
      <c r="W27" s="182">
        <f t="shared" si="1"/>
        <v>6.11869179120641</v>
      </c>
      <c r="X27" s="20" t="s">
        <v>40</v>
      </c>
    </row>
    <row r="28" spans="1:24" ht="12.75" customHeight="1">
      <c r="A28" s="18"/>
      <c r="B28" s="142" t="s">
        <v>23</v>
      </c>
      <c r="C28" s="272">
        <v>29.14</v>
      </c>
      <c r="D28" s="272">
        <v>49.223</v>
      </c>
      <c r="E28" s="274">
        <v>46.3</v>
      </c>
      <c r="F28" s="274">
        <v>41.72</v>
      </c>
      <c r="G28" s="274">
        <v>39.008</v>
      </c>
      <c r="H28" s="274">
        <v>37.811</v>
      </c>
      <c r="I28" s="274">
        <v>34.262</v>
      </c>
      <c r="J28" s="274">
        <v>34.024</v>
      </c>
      <c r="K28" s="274">
        <v>33.984</v>
      </c>
      <c r="L28" s="274">
        <v>33.128</v>
      </c>
      <c r="M28" s="274">
        <v>34.035</v>
      </c>
      <c r="N28" s="274">
        <v>33.25</v>
      </c>
      <c r="O28" s="274">
        <v>31.735</v>
      </c>
      <c r="P28" s="274">
        <v>30.996</v>
      </c>
      <c r="Q28" s="274">
        <v>29.295</v>
      </c>
      <c r="R28" s="274">
        <v>29.996</v>
      </c>
      <c r="S28" s="274">
        <v>30.118</v>
      </c>
      <c r="T28" s="274">
        <v>29.314</v>
      </c>
      <c r="U28" s="274">
        <v>28.148</v>
      </c>
      <c r="V28" s="274">
        <v>27.359</v>
      </c>
      <c r="W28" s="181">
        <f t="shared" si="1"/>
        <v>-2.803041068637191</v>
      </c>
      <c r="X28" s="142" t="s">
        <v>23</v>
      </c>
    </row>
    <row r="29" spans="1:24" ht="12.75" customHeight="1">
      <c r="A29" s="18"/>
      <c r="B29" s="20" t="s">
        <v>41</v>
      </c>
      <c r="C29" s="237">
        <v>4.358</v>
      </c>
      <c r="D29" s="237">
        <v>7.6</v>
      </c>
      <c r="E29" s="238">
        <v>10.3</v>
      </c>
      <c r="F29" s="235">
        <v>10.7</v>
      </c>
      <c r="G29" s="235">
        <v>11.4</v>
      </c>
      <c r="H29" s="235">
        <v>11.8</v>
      </c>
      <c r="I29" s="235">
        <v>12.55</v>
      </c>
      <c r="J29" s="235">
        <v>11.3</v>
      </c>
      <c r="K29" s="235">
        <v>11.1</v>
      </c>
      <c r="L29" s="235">
        <v>11.6</v>
      </c>
      <c r="M29" s="235">
        <v>11.55</v>
      </c>
      <c r="N29" s="235">
        <v>11.48</v>
      </c>
      <c r="O29" s="235">
        <v>11.821</v>
      </c>
      <c r="P29" s="235">
        <v>11.159</v>
      </c>
      <c r="Q29" s="235">
        <v>9.936</v>
      </c>
      <c r="R29" s="235">
        <v>10.537</v>
      </c>
      <c r="S29" s="235">
        <v>10.809</v>
      </c>
      <c r="T29" s="236">
        <v>11.1</v>
      </c>
      <c r="U29" s="236">
        <v>10.557</v>
      </c>
      <c r="V29" s="236">
        <v>10.878</v>
      </c>
      <c r="W29" s="182">
        <f t="shared" si="1"/>
        <v>3.0406365444728634</v>
      </c>
      <c r="X29" s="20" t="s">
        <v>41</v>
      </c>
    </row>
    <row r="30" spans="1:24" ht="12.75" customHeight="1">
      <c r="A30" s="18"/>
      <c r="B30" s="142" t="s">
        <v>24</v>
      </c>
      <c r="C30" s="272">
        <v>7.858</v>
      </c>
      <c r="D30" s="272">
        <v>24.016</v>
      </c>
      <c r="E30" s="274">
        <v>24.007</v>
      </c>
      <c r="F30" s="274">
        <v>20.835</v>
      </c>
      <c r="G30" s="274">
        <v>25.649</v>
      </c>
      <c r="H30" s="273">
        <v>20.512</v>
      </c>
      <c r="I30" s="274">
        <v>14.058</v>
      </c>
      <c r="J30" s="274">
        <v>12.343</v>
      </c>
      <c r="K30" s="274">
        <v>12.842</v>
      </c>
      <c r="L30" s="274">
        <v>13.531</v>
      </c>
      <c r="M30" s="275">
        <v>13</v>
      </c>
      <c r="N30" s="275">
        <v>12.5</v>
      </c>
      <c r="O30" s="275">
        <v>12</v>
      </c>
      <c r="P30" s="275">
        <v>11.5</v>
      </c>
      <c r="Q30" s="275">
        <v>11.5</v>
      </c>
      <c r="R30" s="275">
        <v>11.5</v>
      </c>
      <c r="S30" s="275">
        <v>11.5</v>
      </c>
      <c r="T30" s="274">
        <v>11.812</v>
      </c>
      <c r="U30" s="274">
        <v>11.735</v>
      </c>
      <c r="V30" s="274">
        <v>12.156</v>
      </c>
      <c r="W30" s="181">
        <f t="shared" si="1"/>
        <v>3.5875585854282077</v>
      </c>
      <c r="X30" s="142" t="s">
        <v>24</v>
      </c>
    </row>
    <row r="31" spans="1:24" ht="12.75" customHeight="1">
      <c r="A31" s="18"/>
      <c r="B31" s="20" t="s">
        <v>26</v>
      </c>
      <c r="C31" s="237">
        <v>2.642</v>
      </c>
      <c r="D31" s="237">
        <v>4.925</v>
      </c>
      <c r="E31" s="235">
        <v>6.508</v>
      </c>
      <c r="F31" s="235">
        <v>5.554</v>
      </c>
      <c r="G31" s="235">
        <v>4.17</v>
      </c>
      <c r="H31" s="235">
        <v>3.894</v>
      </c>
      <c r="I31" s="235">
        <v>4.053</v>
      </c>
      <c r="J31" s="235">
        <v>4.113</v>
      </c>
      <c r="K31" s="235">
        <v>4.301</v>
      </c>
      <c r="L31" s="235">
        <v>4.379</v>
      </c>
      <c r="M31" s="235">
        <v>3.876</v>
      </c>
      <c r="N31" s="235">
        <v>4.138</v>
      </c>
      <c r="O31" s="235">
        <v>3.502</v>
      </c>
      <c r="P31" s="235">
        <v>3.393</v>
      </c>
      <c r="Q31" s="235">
        <v>3.339</v>
      </c>
      <c r="R31" s="235">
        <v>3.446</v>
      </c>
      <c r="S31" s="235">
        <v>3.218</v>
      </c>
      <c r="T31" s="235">
        <v>3.062</v>
      </c>
      <c r="U31" s="235">
        <v>3.133</v>
      </c>
      <c r="V31" s="235">
        <v>3.235</v>
      </c>
      <c r="W31" s="182">
        <f t="shared" si="1"/>
        <v>3.255665496329385</v>
      </c>
      <c r="X31" s="20" t="s">
        <v>26</v>
      </c>
    </row>
    <row r="32" spans="1:24" ht="12.75" customHeight="1">
      <c r="A32" s="18"/>
      <c r="B32" s="142" t="s">
        <v>25</v>
      </c>
      <c r="C32" s="279"/>
      <c r="D32" s="279"/>
      <c r="E32" s="280"/>
      <c r="F32" s="274"/>
      <c r="G32" s="274"/>
      <c r="H32" s="274"/>
      <c r="I32" s="274"/>
      <c r="J32" s="274">
        <f>11.191+3.25</f>
        <v>14.441</v>
      </c>
      <c r="K32" s="274">
        <f>11.1+3.38</f>
        <v>14.48</v>
      </c>
      <c r="L32" s="274">
        <f>9.969+3.5</f>
        <v>13.469</v>
      </c>
      <c r="M32" s="274">
        <f>8.84+3.62</f>
        <v>12.46</v>
      </c>
      <c r="N32" s="274">
        <f>7.833+3.52</f>
        <v>11.353</v>
      </c>
      <c r="O32" s="274">
        <v>9.3174635</v>
      </c>
      <c r="P32" s="274">
        <v>9.24563722</v>
      </c>
      <c r="Q32" s="274">
        <v>9.24878837</v>
      </c>
      <c r="R32" s="274">
        <v>8.7739944</v>
      </c>
      <c r="S32" s="274">
        <v>8.84976323</v>
      </c>
      <c r="T32" s="274">
        <v>8.53778246</v>
      </c>
      <c r="U32" s="274">
        <v>8.683574</v>
      </c>
      <c r="V32" s="274">
        <v>8.652062</v>
      </c>
      <c r="W32" s="181">
        <f t="shared" si="1"/>
        <v>-0.36289205343329467</v>
      </c>
      <c r="X32" s="142" t="s">
        <v>25</v>
      </c>
    </row>
    <row r="33" spans="1:24" ht="12.75" customHeight="1">
      <c r="A33" s="18"/>
      <c r="B33" s="20" t="s">
        <v>42</v>
      </c>
      <c r="C33" s="242">
        <v>7.5</v>
      </c>
      <c r="D33" s="242">
        <v>8.5</v>
      </c>
      <c r="E33" s="244">
        <v>8.5</v>
      </c>
      <c r="F33" s="244">
        <v>8.1</v>
      </c>
      <c r="G33" s="244">
        <v>8</v>
      </c>
      <c r="H33" s="244">
        <v>8</v>
      </c>
      <c r="I33" s="244">
        <v>8</v>
      </c>
      <c r="J33" s="244">
        <v>8</v>
      </c>
      <c r="K33" s="244">
        <v>8</v>
      </c>
      <c r="L33" s="244">
        <v>8</v>
      </c>
      <c r="M33" s="244">
        <v>7.8</v>
      </c>
      <c r="N33" s="244">
        <v>7.6</v>
      </c>
      <c r="O33" s="244">
        <v>7.7</v>
      </c>
      <c r="P33" s="244">
        <v>7.7</v>
      </c>
      <c r="Q33" s="244">
        <v>7.7</v>
      </c>
      <c r="R33" s="244">
        <v>7.67</v>
      </c>
      <c r="S33" s="244">
        <v>7.605</v>
      </c>
      <c r="T33" s="244">
        <v>7.54</v>
      </c>
      <c r="U33" s="244">
        <v>7.54</v>
      </c>
      <c r="V33" s="244">
        <v>7.54</v>
      </c>
      <c r="W33" s="182">
        <f t="shared" si="1"/>
        <v>0</v>
      </c>
      <c r="X33" s="20" t="s">
        <v>42</v>
      </c>
    </row>
    <row r="34" spans="1:24" ht="12.75" customHeight="1">
      <c r="A34" s="18"/>
      <c r="B34" s="142" t="s">
        <v>43</v>
      </c>
      <c r="C34" s="272">
        <v>5.5</v>
      </c>
      <c r="D34" s="273">
        <v>7.3</v>
      </c>
      <c r="E34" s="274">
        <v>9.7</v>
      </c>
      <c r="F34" s="274">
        <v>9.7</v>
      </c>
      <c r="G34" s="274">
        <v>9.7</v>
      </c>
      <c r="H34" s="274">
        <v>9.4</v>
      </c>
      <c r="I34" s="274">
        <v>9.5</v>
      </c>
      <c r="J34" s="274">
        <v>9.7</v>
      </c>
      <c r="K34" s="274">
        <v>9.8</v>
      </c>
      <c r="L34" s="274">
        <v>9.8</v>
      </c>
      <c r="M34" s="274">
        <v>9.8</v>
      </c>
      <c r="N34" s="274">
        <v>9.8</v>
      </c>
      <c r="O34" s="274">
        <v>9.5</v>
      </c>
      <c r="P34" s="274">
        <v>9.2</v>
      </c>
      <c r="Q34" s="274">
        <v>9.3</v>
      </c>
      <c r="R34" s="274">
        <v>9.1</v>
      </c>
      <c r="S34" s="274">
        <v>8.9</v>
      </c>
      <c r="T34" s="274">
        <v>8.8</v>
      </c>
      <c r="U34" s="274">
        <v>8.7</v>
      </c>
      <c r="V34" s="274">
        <v>8.5</v>
      </c>
      <c r="W34" s="181">
        <f t="shared" si="1"/>
        <v>-2.298850574712641</v>
      </c>
      <c r="X34" s="142" t="s">
        <v>43</v>
      </c>
    </row>
    <row r="35" spans="1:24" ht="12.75" customHeight="1">
      <c r="A35" s="18"/>
      <c r="B35" s="21" t="s">
        <v>31</v>
      </c>
      <c r="C35" s="242">
        <f>60.2+1.5</f>
        <v>61.7</v>
      </c>
      <c r="D35" s="242">
        <f>52.2+1.5</f>
        <v>53.7</v>
      </c>
      <c r="E35" s="244">
        <f>46.2+1.5</f>
        <v>47.7</v>
      </c>
      <c r="F35" s="244">
        <f>45.2+1.5</f>
        <v>46.7</v>
      </c>
      <c r="G35" s="244">
        <f>44.2+1.5</f>
        <v>45.7</v>
      </c>
      <c r="H35" s="244">
        <f>44.2+1.5</f>
        <v>45.7</v>
      </c>
      <c r="I35" s="244">
        <f>44.3+1.5</f>
        <v>45.8</v>
      </c>
      <c r="J35" s="244">
        <f>44.3+1.5</f>
        <v>45.8</v>
      </c>
      <c r="K35" s="244">
        <f>44.2+1.5</f>
        <v>45.7</v>
      </c>
      <c r="L35" s="244">
        <f>44.2+1.5</f>
        <v>45.7</v>
      </c>
      <c r="M35" s="244">
        <f>45+1.5</f>
        <v>46.5</v>
      </c>
      <c r="N35" s="244">
        <f>46+1.5</f>
        <v>47.5</v>
      </c>
      <c r="O35" s="244">
        <f>47+1.5</f>
        <v>48.5</v>
      </c>
      <c r="P35" s="244">
        <f>47+1.5</f>
        <v>48.5</v>
      </c>
      <c r="Q35" s="244">
        <f>47+1.5</f>
        <v>48.5</v>
      </c>
      <c r="R35" s="244">
        <f>47+1.5</f>
        <v>48.5</v>
      </c>
      <c r="S35" s="244">
        <f>48+1.5</f>
        <v>49.5</v>
      </c>
      <c r="T35" s="244">
        <f>48+1.5</f>
        <v>49.5</v>
      </c>
      <c r="U35" s="244">
        <f>50+1.5</f>
        <v>51.5</v>
      </c>
      <c r="V35" s="244">
        <f>50+1.5</f>
        <v>51.5</v>
      </c>
      <c r="W35" s="257">
        <f t="shared" si="1"/>
        <v>0</v>
      </c>
      <c r="X35" s="21" t="s">
        <v>31</v>
      </c>
    </row>
    <row r="36" spans="1:24" ht="12.75" customHeight="1">
      <c r="A36" s="18"/>
      <c r="B36" s="142" t="s">
        <v>50</v>
      </c>
      <c r="C36" s="283">
        <v>3.3</v>
      </c>
      <c r="D36" s="283">
        <v>7.1</v>
      </c>
      <c r="E36" s="284">
        <v>7</v>
      </c>
      <c r="F36" s="284" t="s">
        <v>45</v>
      </c>
      <c r="G36" s="284" t="s">
        <v>45</v>
      </c>
      <c r="H36" s="284" t="s">
        <v>45</v>
      </c>
      <c r="I36" s="284" t="s">
        <v>45</v>
      </c>
      <c r="J36" s="284">
        <v>4.051915</v>
      </c>
      <c r="K36" s="284">
        <v>4.266118</v>
      </c>
      <c r="L36" s="284">
        <v>4.459067</v>
      </c>
      <c r="M36" s="284">
        <v>3.963847</v>
      </c>
      <c r="N36" s="284">
        <v>3.354983</v>
      </c>
      <c r="O36" s="284">
        <v>3.331147</v>
      </c>
      <c r="P36" s="284">
        <v>3.477757</v>
      </c>
      <c r="Q36" s="284">
        <v>3.557693</v>
      </c>
      <c r="R36" s="284">
        <v>3.71685</v>
      </c>
      <c r="S36" s="284">
        <v>3.390253</v>
      </c>
      <c r="T36" s="284">
        <v>3.403469</v>
      </c>
      <c r="U36" s="284">
        <v>3.537056</v>
      </c>
      <c r="V36" s="305">
        <v>3.80798</v>
      </c>
      <c r="W36" s="181">
        <f t="shared" si="1"/>
        <v>7.659590348583678</v>
      </c>
      <c r="X36" s="142" t="s">
        <v>50</v>
      </c>
    </row>
    <row r="37" spans="1:24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1.5</v>
      </c>
      <c r="K37" s="236">
        <v>1.4</v>
      </c>
      <c r="L37" s="236">
        <v>1.4</v>
      </c>
      <c r="M37" s="236">
        <v>1.4</v>
      </c>
      <c r="N37" s="236">
        <v>1.4</v>
      </c>
      <c r="O37" s="236">
        <v>1.4</v>
      </c>
      <c r="P37" s="236">
        <v>1.5</v>
      </c>
      <c r="Q37" s="236">
        <v>1.4</v>
      </c>
      <c r="R37" s="236">
        <v>1.4</v>
      </c>
      <c r="S37" s="236">
        <v>1.35</v>
      </c>
      <c r="T37" s="236">
        <v>1.3</v>
      </c>
      <c r="U37" s="236">
        <v>1.25</v>
      </c>
      <c r="V37" s="289">
        <v>1.25</v>
      </c>
      <c r="W37" s="182">
        <f t="shared" si="1"/>
        <v>0</v>
      </c>
      <c r="X37" s="20" t="s">
        <v>9</v>
      </c>
    </row>
    <row r="38" spans="1:24" ht="12.75" customHeight="1">
      <c r="A38" s="18"/>
      <c r="B38" s="143" t="s">
        <v>27</v>
      </c>
      <c r="C38" s="281" t="s">
        <v>45</v>
      </c>
      <c r="D38" s="281" t="s">
        <v>45</v>
      </c>
      <c r="E38" s="282" t="s">
        <v>45</v>
      </c>
      <c r="F38" s="282" t="s">
        <v>45</v>
      </c>
      <c r="G38" s="282" t="s">
        <v>45</v>
      </c>
      <c r="H38" s="282">
        <v>86.914</v>
      </c>
      <c r="I38" s="282">
        <v>79.17</v>
      </c>
      <c r="J38" s="282">
        <v>85.674</v>
      </c>
      <c r="K38" s="282">
        <v>91.658</v>
      </c>
      <c r="L38" s="282">
        <v>95.36</v>
      </c>
      <c r="M38" s="282">
        <v>94.914</v>
      </c>
      <c r="N38" s="282">
        <v>91.263</v>
      </c>
      <c r="O38" s="282">
        <v>87.391</v>
      </c>
      <c r="P38" s="282">
        <v>76.8</v>
      </c>
      <c r="Q38" s="286">
        <v>80</v>
      </c>
      <c r="R38" s="286">
        <v>81</v>
      </c>
      <c r="S38" s="286">
        <v>85</v>
      </c>
      <c r="T38" s="286">
        <v>90</v>
      </c>
      <c r="U38" s="286">
        <v>95</v>
      </c>
      <c r="V38" s="290">
        <v>100</v>
      </c>
      <c r="W38" s="258">
        <f t="shared" si="1"/>
        <v>5.263157894736836</v>
      </c>
      <c r="X38" s="143" t="s">
        <v>27</v>
      </c>
    </row>
    <row r="39" spans="1:24" ht="12.75" customHeight="1">
      <c r="A39" s="18"/>
      <c r="B39" s="20" t="s">
        <v>13</v>
      </c>
      <c r="C39" s="251" t="s">
        <v>45</v>
      </c>
      <c r="D39" s="251" t="s">
        <v>45</v>
      </c>
      <c r="E39" s="252" t="s">
        <v>45</v>
      </c>
      <c r="F39" s="252" t="s">
        <v>45</v>
      </c>
      <c r="G39" s="252" t="s">
        <v>45</v>
      </c>
      <c r="H39" s="252" t="s">
        <v>45</v>
      </c>
      <c r="I39" s="252" t="s">
        <v>45</v>
      </c>
      <c r="J39" s="252">
        <v>0.389</v>
      </c>
      <c r="K39" s="252">
        <v>0.408</v>
      </c>
      <c r="L39" s="252">
        <v>0.433</v>
      </c>
      <c r="M39" s="252">
        <v>0.458</v>
      </c>
      <c r="N39" s="252">
        <v>0.468</v>
      </c>
      <c r="O39" s="252">
        <v>0.485</v>
      </c>
      <c r="P39" s="252">
        <v>0.508</v>
      </c>
      <c r="Q39" s="252">
        <v>0.523</v>
      </c>
      <c r="R39" s="252">
        <v>0.537</v>
      </c>
      <c r="S39" s="252">
        <v>0.554</v>
      </c>
      <c r="T39" s="252">
        <v>0.587</v>
      </c>
      <c r="U39" s="252">
        <v>0.622</v>
      </c>
      <c r="V39" s="252">
        <v>0.653</v>
      </c>
      <c r="W39" s="182">
        <f t="shared" si="1"/>
        <v>4.983922829581999</v>
      </c>
      <c r="X39" s="20" t="s">
        <v>13</v>
      </c>
    </row>
    <row r="40" spans="1:24" ht="12.75" customHeight="1">
      <c r="A40" s="18"/>
      <c r="B40" s="142" t="s">
        <v>44</v>
      </c>
      <c r="C40" s="272">
        <v>3.726</v>
      </c>
      <c r="D40" s="272">
        <v>4.257</v>
      </c>
      <c r="E40" s="274">
        <v>3.89</v>
      </c>
      <c r="F40" s="274">
        <v>3.935</v>
      </c>
      <c r="G40" s="274">
        <v>3.935</v>
      </c>
      <c r="H40" s="274">
        <v>3.935</v>
      </c>
      <c r="I40" s="274">
        <v>4</v>
      </c>
      <c r="J40" s="274">
        <v>3.752</v>
      </c>
      <c r="K40" s="274">
        <v>4.117</v>
      </c>
      <c r="L40" s="274">
        <v>4.248</v>
      </c>
      <c r="M40" s="274">
        <v>4.212</v>
      </c>
      <c r="N40" s="274">
        <v>4.177</v>
      </c>
      <c r="O40" s="274">
        <v>4.141</v>
      </c>
      <c r="P40" s="274">
        <v>4.105</v>
      </c>
      <c r="Q40" s="274">
        <v>4.125</v>
      </c>
      <c r="R40" s="274">
        <v>4.005</v>
      </c>
      <c r="S40" s="274">
        <v>4.231</v>
      </c>
      <c r="T40" s="274">
        <v>4.312</v>
      </c>
      <c r="U40" s="274">
        <v>4.258</v>
      </c>
      <c r="V40" s="274">
        <v>4.241</v>
      </c>
      <c r="W40" s="181">
        <f t="shared" si="1"/>
        <v>-0.3992484734617219</v>
      </c>
      <c r="X40" s="142" t="s">
        <v>44</v>
      </c>
    </row>
    <row r="41" spans="1:24" ht="12.75" customHeight="1">
      <c r="A41" s="18"/>
      <c r="B41" s="21" t="s">
        <v>14</v>
      </c>
      <c r="C41" s="253">
        <v>1.885</v>
      </c>
      <c r="D41" s="253">
        <v>2.486</v>
      </c>
      <c r="E41" s="254">
        <v>3.318</v>
      </c>
      <c r="F41" s="254">
        <v>3.627</v>
      </c>
      <c r="G41" s="254">
        <v>3.583</v>
      </c>
      <c r="H41" s="254">
        <v>3.539</v>
      </c>
      <c r="I41" s="255">
        <v>3.531</v>
      </c>
      <c r="J41" s="254">
        <f>2.3881+0.8137+2.327</f>
        <v>5.5288</v>
      </c>
      <c r="K41" s="254">
        <f>2.2944+0.8259+2.304</f>
        <v>5.4243</v>
      </c>
      <c r="L41" s="254">
        <f>2.2758+0.8245+2.287</f>
        <v>5.3873</v>
      </c>
      <c r="M41" s="254">
        <f>2.2736+0.8144+2.129</f>
        <v>5.2170000000000005</v>
      </c>
      <c r="N41" s="254">
        <f>2.3265+0.7835+2.069</f>
        <v>5.179</v>
      </c>
      <c r="O41" s="254">
        <f>2.4042+0.7645+2.087</f>
        <v>5.2557</v>
      </c>
      <c r="P41" s="254">
        <f>2.5197+0.7512+2.01</f>
        <v>5.280899999999999</v>
      </c>
      <c r="Q41" s="254">
        <f>2.5839+0.7445+1.968</f>
        <v>5.2964</v>
      </c>
      <c r="R41" s="254">
        <f>2.6798+0.72+2.017</f>
        <v>5.4168</v>
      </c>
      <c r="S41" s="254">
        <f>2.6511+0.7346+2.066</f>
        <v>5.4517</v>
      </c>
      <c r="T41" s="254">
        <f>2.737+0.7221+2.235</f>
        <v>5.694100000000001</v>
      </c>
      <c r="U41" s="256">
        <f>2.7441+0.7466+2.5</f>
        <v>5.9907</v>
      </c>
      <c r="V41" s="256">
        <v>6</v>
      </c>
      <c r="W41" s="257">
        <f t="shared" si="1"/>
        <v>0.15524062296559116</v>
      </c>
      <c r="X41" s="21" t="s">
        <v>14</v>
      </c>
    </row>
    <row r="42" spans="2:24" ht="29.25" customHeight="1">
      <c r="B42" s="422" t="s">
        <v>109</v>
      </c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176"/>
    </row>
    <row r="43" spans="2:18" ht="12.75" customHeight="1">
      <c r="B43" s="2" t="s">
        <v>8</v>
      </c>
      <c r="C43" s="67"/>
      <c r="D43" s="68"/>
      <c r="E43" s="68"/>
      <c r="F43" s="68"/>
      <c r="G43" s="68"/>
      <c r="H43" s="69"/>
      <c r="I43" s="68"/>
      <c r="J43" s="68"/>
      <c r="K43" s="62"/>
      <c r="L43" s="68"/>
      <c r="M43" s="34"/>
      <c r="N43" s="34"/>
      <c r="O43" s="68"/>
      <c r="P43" s="34"/>
      <c r="Q43" s="34"/>
      <c r="R43" s="33"/>
    </row>
    <row r="44" spans="2:18" ht="12.75" customHeight="1">
      <c r="B44" s="78" t="s">
        <v>93</v>
      </c>
      <c r="C44" s="78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2:23" ht="12.75" customHeight="1">
      <c r="B45" s="178" t="s">
        <v>134</v>
      </c>
      <c r="C45" s="78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</row>
    <row r="46" spans="2:23" ht="12.75" customHeight="1">
      <c r="B46" s="177" t="s">
        <v>133</v>
      </c>
      <c r="C46" s="78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</row>
    <row r="47" spans="2:23" ht="12.75" customHeight="1">
      <c r="B47" s="421" t="s">
        <v>100</v>
      </c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170"/>
      <c r="S47" s="170"/>
      <c r="T47" s="170"/>
      <c r="U47" s="170"/>
      <c r="V47" s="170"/>
      <c r="W47" s="170"/>
    </row>
    <row r="48" spans="2:23" ht="12.75" customHeight="1">
      <c r="B48" s="421" t="s">
        <v>101</v>
      </c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170"/>
      <c r="S48" s="170"/>
      <c r="T48" s="170"/>
      <c r="U48" s="170"/>
      <c r="V48" s="170"/>
      <c r="W48" s="170"/>
    </row>
    <row r="49" spans="4:23" ht="11.25"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3:23" ht="12.75" customHeight="1"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</row>
    <row r="52" spans="2:18" ht="12.75" customHeight="1">
      <c r="B52" s="58"/>
      <c r="C52" s="78"/>
      <c r="D52" s="79"/>
      <c r="E52" s="79"/>
      <c r="F52" s="29"/>
      <c r="G52" s="79"/>
      <c r="H52" s="79"/>
      <c r="I52" s="80"/>
      <c r="J52" s="29"/>
      <c r="K52" s="29"/>
      <c r="L52" s="78"/>
      <c r="M52" s="29"/>
      <c r="N52" s="81"/>
      <c r="O52" s="79"/>
      <c r="P52" s="79"/>
      <c r="Q52" s="79"/>
      <c r="R52" s="82"/>
    </row>
    <row r="53" spans="2:18" ht="12.75" customHeight="1">
      <c r="B53" s="58"/>
      <c r="C53" s="78"/>
      <c r="D53" s="83"/>
      <c r="E53" s="83"/>
      <c r="F53" s="29"/>
      <c r="G53" s="29"/>
      <c r="H53" s="29"/>
      <c r="I53" s="29"/>
      <c r="J53" s="29"/>
      <c r="K53" s="29"/>
      <c r="L53" s="78"/>
      <c r="M53" s="29"/>
      <c r="N53" s="29"/>
      <c r="O53" s="29"/>
      <c r="P53" s="29"/>
      <c r="Q53" s="29"/>
      <c r="R53" s="25"/>
    </row>
  </sheetData>
  <mergeCells count="4">
    <mergeCell ref="B47:Q47"/>
    <mergeCell ref="B48:Q48"/>
    <mergeCell ref="B2:X2"/>
    <mergeCell ref="B42:W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Y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54</v>
      </c>
    </row>
    <row r="2" spans="1:24" s="78" customFormat="1" ht="30" customHeight="1">
      <c r="A2" s="139"/>
      <c r="B2" s="420" t="s">
        <v>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4" ht="1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8"/>
      <c r="F6" s="308"/>
      <c r="G6" s="308"/>
      <c r="H6" s="308"/>
      <c r="I6" s="308"/>
      <c r="J6" s="308">
        <f>SUM(J9:J35)</f>
        <v>71.14549</v>
      </c>
      <c r="K6" s="308">
        <f>SUM(K9:K35)</f>
        <v>72.0213</v>
      </c>
      <c r="L6" s="308">
        <f>SUM(L9:L35)</f>
        <v>72.5947</v>
      </c>
      <c r="M6" s="308">
        <f>SUM(M9:M35)</f>
        <v>73.46026399999998</v>
      </c>
      <c r="N6" s="308">
        <f aca="true" t="shared" si="0" ref="N6:T6">SUM(N9:N35)</f>
        <v>75.02074200000003</v>
      </c>
      <c r="O6" s="308">
        <f t="shared" si="0"/>
        <v>77.1254</v>
      </c>
      <c r="P6" s="308">
        <f t="shared" si="0"/>
        <v>77.76326278</v>
      </c>
      <c r="Q6" s="308">
        <f t="shared" si="0"/>
        <v>78.66871163</v>
      </c>
      <c r="R6" s="308">
        <f t="shared" si="0"/>
        <v>79.30602059999998</v>
      </c>
      <c r="S6" s="308">
        <f t="shared" si="0"/>
        <v>81.90558177</v>
      </c>
      <c r="T6" s="308">
        <f t="shared" si="0"/>
        <v>82.47304154000001</v>
      </c>
      <c r="U6" s="308">
        <f>SUM(U9:U35)</f>
        <v>83.90303600000001</v>
      </c>
      <c r="V6" s="309">
        <f>SUM(V9:V35)</f>
        <v>85.43202800000002</v>
      </c>
      <c r="W6" s="265">
        <f aca="true" t="shared" si="1" ref="W6:W19">100*(V6/U6-1)</f>
        <v>1.8223321501739331</v>
      </c>
      <c r="X6" s="152" t="s">
        <v>79</v>
      </c>
    </row>
    <row r="7" spans="2:24" ht="12.75" customHeight="1">
      <c r="B7" s="142" t="s">
        <v>32</v>
      </c>
      <c r="C7" s="310">
        <f aca="true" t="shared" si="2" ref="C7:L7">SUM(C9,C12:C13,C15:C19,C23,C26:C27,C29,C33:C35)</f>
        <v>38.910000000000004</v>
      </c>
      <c r="D7" s="310">
        <f t="shared" si="2"/>
        <v>40.67</v>
      </c>
      <c r="E7" s="312">
        <f t="shared" si="2"/>
        <v>49.024</v>
      </c>
      <c r="F7" s="312">
        <f t="shared" si="2"/>
        <v>49.623000000000005</v>
      </c>
      <c r="G7" s="312">
        <f t="shared" si="2"/>
        <v>49.007</v>
      </c>
      <c r="H7" s="312">
        <f t="shared" si="2"/>
        <v>49.4054</v>
      </c>
      <c r="I7" s="312">
        <f t="shared" si="2"/>
        <v>49.158</v>
      </c>
      <c r="J7" s="312">
        <f t="shared" si="2"/>
        <v>48.7696</v>
      </c>
      <c r="K7" s="312">
        <f t="shared" si="2"/>
        <v>49.69499999999999</v>
      </c>
      <c r="L7" s="312">
        <f t="shared" si="2"/>
        <v>50.2058</v>
      </c>
      <c r="M7" s="312">
        <f>SUM(M9,M12:M13,M15:M19,M23,M26:M27,M29,M33:M35)</f>
        <v>51.10999999999999</v>
      </c>
      <c r="N7" s="312">
        <f aca="true" t="shared" si="3" ref="N7:V7">SUM(N9,N12:N13,N15:N19,N23,N26:N27,N29,N33:N35)</f>
        <v>52.4743</v>
      </c>
      <c r="O7" s="312">
        <f t="shared" si="3"/>
        <v>54.66600000000001</v>
      </c>
      <c r="P7" s="312">
        <f t="shared" si="3"/>
        <v>55.18960000000001</v>
      </c>
      <c r="Q7" s="312">
        <f t="shared" si="3"/>
        <v>56.05449999999999</v>
      </c>
      <c r="R7" s="312">
        <f t="shared" si="3"/>
        <v>56.749300000000005</v>
      </c>
      <c r="S7" s="312">
        <f t="shared" si="3"/>
        <v>58.94870000000002</v>
      </c>
      <c r="T7" s="312">
        <f t="shared" si="3"/>
        <v>59.964715999999996</v>
      </c>
      <c r="U7" s="312">
        <f t="shared" si="3"/>
        <v>61.41891</v>
      </c>
      <c r="V7" s="313">
        <f t="shared" si="3"/>
        <v>62.827890000000004</v>
      </c>
      <c r="W7" s="266">
        <f t="shared" si="1"/>
        <v>2.294049178013746</v>
      </c>
      <c r="X7" s="151" t="s">
        <v>32</v>
      </c>
    </row>
    <row r="8" spans="2:24" ht="12.75" customHeight="1">
      <c r="B8" s="143" t="s">
        <v>92</v>
      </c>
      <c r="C8" s="301"/>
      <c r="D8" s="301"/>
      <c r="E8" s="303"/>
      <c r="F8" s="303"/>
      <c r="G8" s="303"/>
      <c r="H8" s="303"/>
      <c r="I8" s="303"/>
      <c r="J8" s="303">
        <f>SUM(J10,J11,J14,J20,J21,J22,J24,J25,J28,J30,J31,J32)</f>
        <v>22.375890000000002</v>
      </c>
      <c r="K8" s="303">
        <f>SUM(K10,K11,K14,K20,K21,K22,K24,K25,K28,K30,K31,K32)</f>
        <v>22.326300000000003</v>
      </c>
      <c r="L8" s="303">
        <f>SUM(L10,L11,L14,L20,L21,L22,L24,L25,L28,L30,L31,L32)</f>
        <v>22.3889</v>
      </c>
      <c r="M8" s="303">
        <f aca="true" t="shared" si="4" ref="M8:U8">SUM(M10,M11,M14,M20,M21,M22,M24,M25,M28,M30,M31,M32)</f>
        <v>22.350264</v>
      </c>
      <c r="N8" s="303">
        <f t="shared" si="4"/>
        <v>22.546442</v>
      </c>
      <c r="O8" s="303">
        <f t="shared" si="4"/>
        <v>22.459400000000002</v>
      </c>
      <c r="P8" s="303">
        <f t="shared" si="4"/>
        <v>22.57366278</v>
      </c>
      <c r="Q8" s="303">
        <f t="shared" si="4"/>
        <v>22.61421163</v>
      </c>
      <c r="R8" s="303">
        <f t="shared" si="4"/>
        <v>22.5567206</v>
      </c>
      <c r="S8" s="303">
        <f t="shared" si="4"/>
        <v>22.95688177</v>
      </c>
      <c r="T8" s="303">
        <f t="shared" si="4"/>
        <v>22.508325540000005</v>
      </c>
      <c r="U8" s="303">
        <f t="shared" si="4"/>
        <v>22.484126</v>
      </c>
      <c r="V8" s="304">
        <f>SUM(V10,V11,V14,V20,V21,V22,V24,V25,V28,V30,V31,V32)</f>
        <v>22.604138000000003</v>
      </c>
      <c r="W8" s="267">
        <f t="shared" si="1"/>
        <v>0.5337632425650218</v>
      </c>
      <c r="X8" s="143" t="s">
        <v>92</v>
      </c>
    </row>
    <row r="9" spans="2:24" ht="12.75" customHeight="1">
      <c r="B9" s="20" t="s">
        <v>33</v>
      </c>
      <c r="C9" s="242">
        <v>0.86</v>
      </c>
      <c r="D9" s="242">
        <v>0.77</v>
      </c>
      <c r="E9" s="244">
        <v>0.74</v>
      </c>
      <c r="F9" s="244">
        <v>0.75</v>
      </c>
      <c r="G9" s="244">
        <v>0.76</v>
      </c>
      <c r="H9" s="244">
        <v>0.77</v>
      </c>
      <c r="I9" s="244">
        <v>0.79</v>
      </c>
      <c r="J9" s="244">
        <v>0.8</v>
      </c>
      <c r="K9" s="244">
        <v>0.81</v>
      </c>
      <c r="L9" s="244">
        <v>0.82</v>
      </c>
      <c r="M9" s="244">
        <v>0.82</v>
      </c>
      <c r="N9" s="244">
        <v>0.82</v>
      </c>
      <c r="O9" s="244">
        <v>0.87</v>
      </c>
      <c r="P9" s="244">
        <v>0.876</v>
      </c>
      <c r="Q9" s="241">
        <v>0.89</v>
      </c>
      <c r="R9" s="241">
        <v>0.9</v>
      </c>
      <c r="S9" s="241">
        <v>0.91</v>
      </c>
      <c r="T9" s="241">
        <v>0.93</v>
      </c>
      <c r="U9" s="241">
        <v>0.95</v>
      </c>
      <c r="V9" s="241">
        <v>0.97</v>
      </c>
      <c r="W9" s="182">
        <f t="shared" si="1"/>
        <v>2.1052631578947434</v>
      </c>
      <c r="X9" s="19" t="s">
        <v>33</v>
      </c>
    </row>
    <row r="10" spans="2:24" ht="12.75" customHeight="1">
      <c r="B10" s="142" t="s">
        <v>15</v>
      </c>
      <c r="C10" s="272"/>
      <c r="D10" s="272"/>
      <c r="E10" s="274"/>
      <c r="F10" s="274"/>
      <c r="G10" s="274"/>
      <c r="H10" s="274"/>
      <c r="I10" s="274"/>
      <c r="J10" s="275">
        <v>0.34</v>
      </c>
      <c r="K10" s="275">
        <v>0.37</v>
      </c>
      <c r="L10" s="275">
        <v>0.4</v>
      </c>
      <c r="M10" s="275">
        <v>0.38</v>
      </c>
      <c r="N10" s="275">
        <v>0.4</v>
      </c>
      <c r="O10" s="275">
        <v>0.4</v>
      </c>
      <c r="P10" s="275">
        <v>0.42</v>
      </c>
      <c r="Q10" s="274">
        <v>0.436</v>
      </c>
      <c r="R10" s="274">
        <v>0.486</v>
      </c>
      <c r="S10" s="274">
        <v>0.44</v>
      </c>
      <c r="T10" s="275">
        <v>0.45</v>
      </c>
      <c r="U10" s="275">
        <v>0.46</v>
      </c>
      <c r="V10" s="275">
        <v>0.47</v>
      </c>
      <c r="W10" s="181">
        <f t="shared" si="1"/>
        <v>2.1739130434782483</v>
      </c>
      <c r="X10" s="142" t="s">
        <v>15</v>
      </c>
    </row>
    <row r="11" spans="2:24" ht="12.75" customHeight="1">
      <c r="B11" s="20" t="s">
        <v>17</v>
      </c>
      <c r="C11" s="237"/>
      <c r="D11" s="237"/>
      <c r="E11" s="235"/>
      <c r="F11" s="235"/>
      <c r="G11" s="235"/>
      <c r="H11" s="235" t="s">
        <v>45</v>
      </c>
      <c r="I11" s="235" t="s">
        <v>45</v>
      </c>
      <c r="J11" s="235">
        <v>7.688</v>
      </c>
      <c r="K11" s="235">
        <v>7.791</v>
      </c>
      <c r="L11" s="235">
        <v>7.863</v>
      </c>
      <c r="M11" s="235">
        <v>7.855</v>
      </c>
      <c r="N11" s="235">
        <v>8.154</v>
      </c>
      <c r="O11" s="235">
        <v>8.068</v>
      </c>
      <c r="P11" s="235">
        <v>8.227</v>
      </c>
      <c r="Q11" s="235">
        <v>8.307</v>
      </c>
      <c r="R11" s="235">
        <v>8.5634</v>
      </c>
      <c r="S11" s="235">
        <f>4.8847+3.8408</f>
        <v>8.7255</v>
      </c>
      <c r="T11" s="235">
        <f>4.769+3.1652</f>
        <v>7.934200000000001</v>
      </c>
      <c r="U11" s="235">
        <f>4.5344+3.2644</f>
        <v>7.7988</v>
      </c>
      <c r="V11" s="235">
        <f>4.4489+3.3015</f>
        <v>7.7504</v>
      </c>
      <c r="W11" s="182">
        <f t="shared" si="1"/>
        <v>-0.6206082987126216</v>
      </c>
      <c r="X11" s="20" t="s">
        <v>17</v>
      </c>
    </row>
    <row r="12" spans="2:24" ht="12.75" customHeight="1">
      <c r="B12" s="142" t="s">
        <v>28</v>
      </c>
      <c r="C12" s="318" t="s">
        <v>47</v>
      </c>
      <c r="D12" s="318" t="s">
        <v>47</v>
      </c>
      <c r="E12" s="319" t="s">
        <v>47</v>
      </c>
      <c r="F12" s="319" t="s">
        <v>47</v>
      </c>
      <c r="G12" s="319" t="s">
        <v>47</v>
      </c>
      <c r="H12" s="319" t="s">
        <v>47</v>
      </c>
      <c r="I12" s="319" t="s">
        <v>47</v>
      </c>
      <c r="J12" s="319" t="s">
        <v>47</v>
      </c>
      <c r="K12" s="319" t="s">
        <v>47</v>
      </c>
      <c r="L12" s="319" t="s">
        <v>47</v>
      </c>
      <c r="M12" s="319" t="s">
        <v>47</v>
      </c>
      <c r="N12" s="319" t="s">
        <v>47</v>
      </c>
      <c r="O12" s="319" t="s">
        <v>47</v>
      </c>
      <c r="P12" s="319" t="s">
        <v>47</v>
      </c>
      <c r="Q12" s="274">
        <v>0.009</v>
      </c>
      <c r="R12" s="274">
        <v>0.067</v>
      </c>
      <c r="S12" s="274">
        <v>0.128</v>
      </c>
      <c r="T12" s="274">
        <v>0.162</v>
      </c>
      <c r="U12" s="274">
        <v>0.164</v>
      </c>
      <c r="V12" s="274">
        <v>0.177</v>
      </c>
      <c r="W12" s="181">
        <f t="shared" si="1"/>
        <v>7.926829268292668</v>
      </c>
      <c r="X12" s="142" t="s">
        <v>28</v>
      </c>
    </row>
    <row r="13" spans="2:24" ht="12.75" customHeight="1">
      <c r="B13" s="20" t="s">
        <v>34</v>
      </c>
      <c r="C13" s="245">
        <v>14.63</v>
      </c>
      <c r="D13" s="245">
        <v>13.84</v>
      </c>
      <c r="E13" s="236">
        <v>15.1</v>
      </c>
      <c r="F13" s="236">
        <v>15.14</v>
      </c>
      <c r="G13" s="236">
        <v>14.43</v>
      </c>
      <c r="H13" s="236">
        <v>14.62</v>
      </c>
      <c r="I13" s="236">
        <v>14.47</v>
      </c>
      <c r="J13" s="236">
        <v>14.43</v>
      </c>
      <c r="K13" s="236">
        <v>14.47</v>
      </c>
      <c r="L13" s="236">
        <v>14.5</v>
      </c>
      <c r="M13" s="236">
        <v>14.4</v>
      </c>
      <c r="N13" s="236">
        <v>14.5</v>
      </c>
      <c r="O13" s="236">
        <v>14.6</v>
      </c>
      <c r="P13" s="236">
        <v>14.7</v>
      </c>
      <c r="Q13" s="235">
        <v>14.74</v>
      </c>
      <c r="R13" s="235">
        <v>14.75</v>
      </c>
      <c r="S13" s="235">
        <v>14.986</v>
      </c>
      <c r="T13" s="235">
        <v>15.485</v>
      </c>
      <c r="U13" s="235">
        <v>15.568</v>
      </c>
      <c r="V13" s="235">
        <v>15.92</v>
      </c>
      <c r="W13" s="182">
        <f t="shared" si="1"/>
        <v>2.261048304213764</v>
      </c>
      <c r="X13" s="20" t="s">
        <v>34</v>
      </c>
    </row>
    <row r="14" spans="2:24" ht="12.75" customHeight="1"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0.0352*3</f>
        <v>0.1056</v>
      </c>
      <c r="K14" s="275">
        <f>0.0356*3</f>
        <v>0.1068</v>
      </c>
      <c r="L14" s="275">
        <f>0.0369*3</f>
        <v>0.1107</v>
      </c>
      <c r="M14" s="275">
        <f>0.0306*3</f>
        <v>0.09179999999999999</v>
      </c>
      <c r="N14" s="275">
        <f>0.0293*3</f>
        <v>0.0879</v>
      </c>
      <c r="O14" s="275">
        <f>0.0349*3</f>
        <v>0.1047</v>
      </c>
      <c r="P14" s="275">
        <f>0.0292*3</f>
        <v>0.0876</v>
      </c>
      <c r="Q14" s="275">
        <f>0.0308*3</f>
        <v>0.09240000000000001</v>
      </c>
      <c r="R14" s="275">
        <f>0.0311*3</f>
        <v>0.0933</v>
      </c>
      <c r="S14" s="275">
        <f>0.0278*3</f>
        <v>0.0834</v>
      </c>
      <c r="T14" s="275">
        <f>0.0251*3</f>
        <v>0.0753</v>
      </c>
      <c r="U14" s="275">
        <f>0.0262*3</f>
        <v>0.0786</v>
      </c>
      <c r="V14" s="275">
        <f>0.0264*3</f>
        <v>0.07919999999999999</v>
      </c>
      <c r="W14" s="181">
        <f t="shared" si="1"/>
        <v>0.7633587786259444</v>
      </c>
      <c r="X14" s="142" t="s">
        <v>18</v>
      </c>
    </row>
    <row r="15" spans="2:24" ht="12.75" customHeight="1">
      <c r="B15" s="20" t="s">
        <v>37</v>
      </c>
      <c r="C15" s="259" t="s">
        <v>47</v>
      </c>
      <c r="D15" s="259" t="s">
        <v>47</v>
      </c>
      <c r="E15" s="260" t="s">
        <v>47</v>
      </c>
      <c r="F15" s="260" t="s">
        <v>47</v>
      </c>
      <c r="G15" s="260" t="s">
        <v>47</v>
      </c>
      <c r="H15" s="260" t="s">
        <v>47</v>
      </c>
      <c r="I15" s="260" t="s">
        <v>47</v>
      </c>
      <c r="J15" s="260" t="s">
        <v>47</v>
      </c>
      <c r="K15" s="260" t="s">
        <v>47</v>
      </c>
      <c r="L15" s="260" t="s">
        <v>47</v>
      </c>
      <c r="M15" s="260" t="s">
        <v>47</v>
      </c>
      <c r="N15" s="260" t="s">
        <v>47</v>
      </c>
      <c r="O15" s="260" t="s">
        <v>47</v>
      </c>
      <c r="P15" s="260" t="s">
        <v>47</v>
      </c>
      <c r="Q15" s="260" t="s">
        <v>47</v>
      </c>
      <c r="R15" s="260" t="s">
        <v>47</v>
      </c>
      <c r="S15" s="241">
        <v>0.05</v>
      </c>
      <c r="T15" s="241">
        <v>0.11</v>
      </c>
      <c r="U15" s="244">
        <f>0.06713+0.04598</f>
        <v>0.11310999999999999</v>
      </c>
      <c r="V15" s="244">
        <f>0.107+0.068</f>
        <v>0.175</v>
      </c>
      <c r="W15" s="182">
        <f t="shared" si="1"/>
        <v>54.71664751127221</v>
      </c>
      <c r="X15" s="20" t="s">
        <v>37</v>
      </c>
    </row>
    <row r="16" spans="2:24" ht="12.75" customHeight="1">
      <c r="B16" s="142" t="s">
        <v>29</v>
      </c>
      <c r="C16" s="277">
        <v>0.63</v>
      </c>
      <c r="D16" s="277">
        <v>0.68</v>
      </c>
      <c r="E16" s="275">
        <v>0.83</v>
      </c>
      <c r="F16" s="275">
        <v>0.81</v>
      </c>
      <c r="G16" s="275">
        <v>0.79</v>
      </c>
      <c r="H16" s="275">
        <v>0.77</v>
      </c>
      <c r="I16" s="275">
        <v>0.72</v>
      </c>
      <c r="J16" s="275">
        <v>0.74</v>
      </c>
      <c r="K16" s="275">
        <v>0.74</v>
      </c>
      <c r="L16" s="275">
        <v>0.75</v>
      </c>
      <c r="M16" s="275">
        <v>0.8</v>
      </c>
      <c r="N16" s="275">
        <v>0.81</v>
      </c>
      <c r="O16" s="275">
        <v>1.19</v>
      </c>
      <c r="P16" s="275">
        <v>1.33</v>
      </c>
      <c r="Q16" s="275">
        <v>1.35</v>
      </c>
      <c r="R16" s="275">
        <v>1.4</v>
      </c>
      <c r="S16" s="275">
        <v>1.5</v>
      </c>
      <c r="T16" s="275">
        <v>1.5</v>
      </c>
      <c r="U16" s="275">
        <v>1.55</v>
      </c>
      <c r="V16" s="275">
        <v>1.6</v>
      </c>
      <c r="W16" s="181">
        <f t="shared" si="1"/>
        <v>3.2258064516129004</v>
      </c>
      <c r="X16" s="142" t="s">
        <v>29</v>
      </c>
    </row>
    <row r="17" spans="2:24" ht="12.75" customHeight="1">
      <c r="B17" s="20" t="s">
        <v>35</v>
      </c>
      <c r="C17" s="242">
        <v>3.67</v>
      </c>
      <c r="D17" s="242">
        <v>3.88</v>
      </c>
      <c r="E17" s="244">
        <v>4.38</v>
      </c>
      <c r="F17" s="244">
        <v>4.3</v>
      </c>
      <c r="G17" s="244">
        <v>4.25</v>
      </c>
      <c r="H17" s="244">
        <v>4.2</v>
      </c>
      <c r="I17" s="244">
        <v>4.15</v>
      </c>
      <c r="J17" s="244">
        <v>4.25</v>
      </c>
      <c r="K17" s="244">
        <v>4.49</v>
      </c>
      <c r="L17" s="244">
        <v>4.57</v>
      </c>
      <c r="M17" s="244">
        <v>4.84</v>
      </c>
      <c r="N17" s="241">
        <v>5.06</v>
      </c>
      <c r="O17" s="241">
        <v>5.23</v>
      </c>
      <c r="P17" s="241">
        <v>5.34</v>
      </c>
      <c r="Q17" s="241">
        <v>5.5</v>
      </c>
      <c r="R17" s="241">
        <v>5.6</v>
      </c>
      <c r="S17" s="241">
        <v>5.8</v>
      </c>
      <c r="T17" s="241">
        <v>6</v>
      </c>
      <c r="U17" s="241">
        <v>6.2</v>
      </c>
      <c r="V17" s="241">
        <v>6.4</v>
      </c>
      <c r="W17" s="182">
        <f t="shared" si="1"/>
        <v>3.2258064516129004</v>
      </c>
      <c r="X17" s="20" t="s">
        <v>35</v>
      </c>
    </row>
    <row r="18" spans="2:24" ht="12.75" customHeight="1">
      <c r="B18" s="142" t="s">
        <v>36</v>
      </c>
      <c r="C18" s="272">
        <v>6.5</v>
      </c>
      <c r="D18" s="272">
        <v>7.7</v>
      </c>
      <c r="E18" s="274">
        <f>9.693+0.486</f>
        <v>10.179</v>
      </c>
      <c r="F18" s="274">
        <f>9.406+0.513</f>
        <v>9.919</v>
      </c>
      <c r="G18" s="274">
        <f>9.536+0.545</f>
        <v>10.081</v>
      </c>
      <c r="H18" s="274">
        <f>9.35+0.638</f>
        <v>9.988</v>
      </c>
      <c r="I18" s="274">
        <f>9.349+0.688</f>
        <v>10.037</v>
      </c>
      <c r="J18" s="274">
        <f>8.259+0.675</f>
        <v>8.934000000000001</v>
      </c>
      <c r="K18" s="274">
        <f>8.838+0.656</f>
        <v>9.494</v>
      </c>
      <c r="L18" s="274">
        <f>8.99+0.664</f>
        <v>9.654</v>
      </c>
      <c r="M18" s="274">
        <f>9.332+0.692</f>
        <v>10.024000000000001</v>
      </c>
      <c r="N18" s="274">
        <f>9.655+0.702</f>
        <v>10.357</v>
      </c>
      <c r="O18" s="274">
        <f>10.13+0.722</f>
        <v>10.852</v>
      </c>
      <c r="P18" s="274">
        <f>10.239+0.715</f>
        <v>10.954</v>
      </c>
      <c r="Q18" s="274">
        <f>10.368+0.729</f>
        <v>11.097</v>
      </c>
      <c r="R18" s="274">
        <f>10.628+0.771</f>
        <v>11.399000000000001</v>
      </c>
      <c r="S18" s="274">
        <f>11.5477+0.819</f>
        <v>12.366700000000002</v>
      </c>
      <c r="T18" s="274">
        <f>11.613+0.824</f>
        <v>12.437</v>
      </c>
      <c r="U18" s="274">
        <f>11.877+0.857</f>
        <v>12.734</v>
      </c>
      <c r="V18" s="274">
        <f>11.714+0.925</f>
        <v>12.639000000000001</v>
      </c>
      <c r="W18" s="181">
        <f t="shared" si="1"/>
        <v>-0.746034239045068</v>
      </c>
      <c r="X18" s="142" t="s">
        <v>36</v>
      </c>
    </row>
    <row r="19" spans="2:24" ht="12.75" customHeight="1">
      <c r="B19" s="20" t="s">
        <v>38</v>
      </c>
      <c r="C19" s="237">
        <v>2.21</v>
      </c>
      <c r="D19" s="237">
        <v>3.66</v>
      </c>
      <c r="E19" s="235">
        <f>2.58+1.629</f>
        <v>4.209</v>
      </c>
      <c r="F19" s="235">
        <v>5.328</v>
      </c>
      <c r="G19" s="235">
        <v>5.4</v>
      </c>
      <c r="H19" s="235">
        <v>5.5</v>
      </c>
      <c r="I19" s="235">
        <v>5.1</v>
      </c>
      <c r="J19" s="235">
        <f>4.085+1.182</f>
        <v>5.2669999999999995</v>
      </c>
      <c r="K19" s="235">
        <v>5.282</v>
      </c>
      <c r="L19" s="235">
        <v>5.319</v>
      </c>
      <c r="M19" s="235">
        <v>5.251</v>
      </c>
      <c r="N19" s="235">
        <f>4.167+1.072</f>
        <v>5.239</v>
      </c>
      <c r="O19" s="235">
        <f>4.503+1.105</f>
        <v>5.6080000000000005</v>
      </c>
      <c r="P19" s="235">
        <f>4.506+1.083</f>
        <v>5.589</v>
      </c>
      <c r="Q19" s="235">
        <f>4.843+1.042</f>
        <v>5.885</v>
      </c>
      <c r="R19" s="235">
        <f>4.935+1.05</f>
        <v>5.984999999999999</v>
      </c>
      <c r="S19" s="235">
        <f>4.954+1.051</f>
        <v>6.005</v>
      </c>
      <c r="T19" s="235">
        <f>4.975+1.045</f>
        <v>6.02</v>
      </c>
      <c r="U19" s="235">
        <f>4.958+1.067</f>
        <v>6.025</v>
      </c>
      <c r="V19" s="236">
        <f>5.146+1.069</f>
        <v>6.215</v>
      </c>
      <c r="W19" s="182">
        <f t="shared" si="1"/>
        <v>3.1535269709543456</v>
      </c>
      <c r="X19" s="20" t="s">
        <v>38</v>
      </c>
    </row>
    <row r="20" spans="2:24" ht="12.75" customHeight="1">
      <c r="B20" s="142" t="s">
        <v>16</v>
      </c>
      <c r="C20" s="318" t="s">
        <v>47</v>
      </c>
      <c r="D20" s="318" t="s">
        <v>47</v>
      </c>
      <c r="E20" s="319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</row>
    <row r="21" spans="2:24" ht="12.75" customHeight="1">
      <c r="B21" s="20" t="s">
        <v>20</v>
      </c>
      <c r="C21" s="237" t="s">
        <v>45</v>
      </c>
      <c r="D21" s="237" t="s">
        <v>45</v>
      </c>
      <c r="E21" s="236">
        <f>0.2431*3</f>
        <v>0.7293000000000001</v>
      </c>
      <c r="F21" s="236">
        <f>0.2516*3</f>
        <v>0.7547999999999999</v>
      </c>
      <c r="G21" s="236">
        <f>0.1937*3</f>
        <v>0.5811000000000001</v>
      </c>
      <c r="H21" s="236">
        <f>0.1149*3</f>
        <v>0.3447</v>
      </c>
      <c r="I21" s="236">
        <f>0.1128*3</f>
        <v>0.3384</v>
      </c>
      <c r="J21" s="236">
        <f>0.1012*3</f>
        <v>0.3036</v>
      </c>
      <c r="K21" s="236">
        <f>0.0795*3</f>
        <v>0.2385</v>
      </c>
      <c r="L21" s="236">
        <f>0.0884*3</f>
        <v>0.2652</v>
      </c>
      <c r="M21" s="236">
        <f>0.098*3</f>
        <v>0.29400000000000004</v>
      </c>
      <c r="N21" s="236">
        <f>0.0938*3</f>
        <v>0.2814</v>
      </c>
      <c r="O21" s="236">
        <f>0.0889*3</f>
        <v>0.26670000000000005</v>
      </c>
      <c r="P21" s="236">
        <f>0.0869*3</f>
        <v>0.26070000000000004</v>
      </c>
      <c r="Q21" s="236">
        <f>0.0882*3</f>
        <v>0.2646</v>
      </c>
      <c r="R21" s="236">
        <f>0.0846*3</f>
        <v>0.25379999999999997</v>
      </c>
      <c r="S21" s="236">
        <f>0.0879*3</f>
        <v>0.26370000000000005</v>
      </c>
      <c r="T21" s="236">
        <f>0.0909*3</f>
        <v>0.2727</v>
      </c>
      <c r="U21" s="236">
        <f>0.0931*3</f>
        <v>0.2793</v>
      </c>
      <c r="V21" s="236">
        <f>0.0932*3</f>
        <v>0.2796</v>
      </c>
      <c r="W21" s="182">
        <f>100*(V21/U21-1)</f>
        <v>0.10741138560688146</v>
      </c>
      <c r="X21" s="20" t="s">
        <v>20</v>
      </c>
    </row>
    <row r="22" spans="2:24" ht="12.75" customHeight="1">
      <c r="B22" s="142" t="s">
        <v>21</v>
      </c>
      <c r="C22" s="318" t="s">
        <v>47</v>
      </c>
      <c r="D22" s="318" t="s">
        <v>47</v>
      </c>
      <c r="E22" s="319" t="s">
        <v>47</v>
      </c>
      <c r="F22" s="319" t="s">
        <v>47</v>
      </c>
      <c r="G22" s="319" t="s">
        <v>47</v>
      </c>
      <c r="H22" s="319" t="s">
        <v>47</v>
      </c>
      <c r="I22" s="319" t="s">
        <v>47</v>
      </c>
      <c r="J22" s="319" t="s">
        <v>47</v>
      </c>
      <c r="K22" s="319" t="s">
        <v>47</v>
      </c>
      <c r="L22" s="319" t="s">
        <v>47</v>
      </c>
      <c r="M22" s="319" t="s">
        <v>47</v>
      </c>
      <c r="N22" s="319" t="s">
        <v>47</v>
      </c>
      <c r="O22" s="319" t="s">
        <v>47</v>
      </c>
      <c r="P22" s="319" t="s">
        <v>47</v>
      </c>
      <c r="Q22" s="319" t="s">
        <v>47</v>
      </c>
      <c r="R22" s="319" t="s">
        <v>47</v>
      </c>
      <c r="S22" s="319" t="s">
        <v>47</v>
      </c>
      <c r="T22" s="319" t="s">
        <v>47</v>
      </c>
      <c r="U22" s="319" t="s">
        <v>47</v>
      </c>
      <c r="V22" s="319" t="s">
        <v>47</v>
      </c>
      <c r="W22" s="268" t="s">
        <v>47</v>
      </c>
      <c r="X22" s="142" t="s">
        <v>21</v>
      </c>
    </row>
    <row r="23" spans="2:24" ht="12.75" customHeight="1">
      <c r="B23" s="20" t="s">
        <v>39</v>
      </c>
      <c r="C23" s="261" t="s">
        <v>47</v>
      </c>
      <c r="D23" s="261" t="s">
        <v>47</v>
      </c>
      <c r="E23" s="262" t="s">
        <v>47</v>
      </c>
      <c r="F23" s="262" t="s">
        <v>47</v>
      </c>
      <c r="G23" s="262" t="s">
        <v>47</v>
      </c>
      <c r="H23" s="262" t="s">
        <v>47</v>
      </c>
      <c r="I23" s="262" t="s">
        <v>47</v>
      </c>
      <c r="J23" s="262" t="s">
        <v>47</v>
      </c>
      <c r="K23" s="262" t="s">
        <v>47</v>
      </c>
      <c r="L23" s="262" t="s">
        <v>47</v>
      </c>
      <c r="M23" s="262" t="s">
        <v>47</v>
      </c>
      <c r="N23" s="262" t="s">
        <v>47</v>
      </c>
      <c r="O23" s="262" t="s">
        <v>47</v>
      </c>
      <c r="P23" s="262" t="s">
        <v>47</v>
      </c>
      <c r="Q23" s="262" t="s">
        <v>47</v>
      </c>
      <c r="R23" s="262" t="s">
        <v>47</v>
      </c>
      <c r="S23" s="262" t="s">
        <v>47</v>
      </c>
      <c r="T23" s="262" t="s">
        <v>47</v>
      </c>
      <c r="U23" s="262" t="s">
        <v>47</v>
      </c>
      <c r="V23" s="262" t="s">
        <v>47</v>
      </c>
      <c r="W23" s="269" t="s">
        <v>47</v>
      </c>
      <c r="X23" s="20" t="s">
        <v>39</v>
      </c>
    </row>
    <row r="24" spans="2:24" ht="12.75" customHeight="1">
      <c r="B24" s="142" t="s">
        <v>19</v>
      </c>
      <c r="C24" s="272" t="s">
        <v>45</v>
      </c>
      <c r="D24" s="272" t="s">
        <v>45</v>
      </c>
      <c r="E24" s="274" t="s">
        <v>45</v>
      </c>
      <c r="F24" s="274" t="s">
        <v>45</v>
      </c>
      <c r="G24" s="274" t="s">
        <v>45</v>
      </c>
      <c r="H24" s="274" t="s">
        <v>45</v>
      </c>
      <c r="I24" s="274" t="s">
        <v>45</v>
      </c>
      <c r="J24" s="275">
        <v>2.5</v>
      </c>
      <c r="K24" s="275">
        <v>2.5</v>
      </c>
      <c r="L24" s="275">
        <v>2.5</v>
      </c>
      <c r="M24" s="275">
        <v>2.55</v>
      </c>
      <c r="N24" s="274">
        <f>1.193+1.327</f>
        <v>2.52</v>
      </c>
      <c r="O24" s="274">
        <f>1.212+1.358</f>
        <v>2.5700000000000003</v>
      </c>
      <c r="P24" s="274">
        <f>1.214+1.357</f>
        <v>2.5709999999999997</v>
      </c>
      <c r="Q24" s="274">
        <f>1.201+1.335</f>
        <v>2.536</v>
      </c>
      <c r="R24" s="274">
        <f>1.193+1.323</f>
        <v>2.516</v>
      </c>
      <c r="S24" s="274">
        <f>1.169+1.251</f>
        <v>2.42</v>
      </c>
      <c r="T24" s="274">
        <f>1.144+1.209</f>
        <v>2.3529999999999998</v>
      </c>
      <c r="U24" s="274">
        <f>1.113+1.17</f>
        <v>2.283</v>
      </c>
      <c r="V24" s="274">
        <f>1.104+1.176</f>
        <v>2.2800000000000002</v>
      </c>
      <c r="W24" s="181">
        <f>100*(V24/U24-1)</f>
        <v>-0.13140604467803962</v>
      </c>
      <c r="X24" s="142" t="s">
        <v>19</v>
      </c>
    </row>
    <row r="25" spans="2:24" ht="12.75" customHeight="1">
      <c r="B25" s="20" t="s">
        <v>22</v>
      </c>
      <c r="C25" s="261" t="s">
        <v>47</v>
      </c>
      <c r="D25" s="261" t="s">
        <v>47</v>
      </c>
      <c r="E25" s="262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</row>
    <row r="26" spans="2:24" ht="12.75" customHeight="1">
      <c r="B26" s="96" t="s">
        <v>30</v>
      </c>
      <c r="C26" s="272">
        <v>1.24</v>
      </c>
      <c r="D26" s="272">
        <v>1.35</v>
      </c>
      <c r="E26" s="274">
        <v>1.26</v>
      </c>
      <c r="F26" s="274">
        <v>1.29</v>
      </c>
      <c r="G26" s="274">
        <v>1.32</v>
      </c>
      <c r="H26" s="274">
        <v>1.34</v>
      </c>
      <c r="I26" s="274">
        <v>1.39</v>
      </c>
      <c r="J26" s="274">
        <v>1.38</v>
      </c>
      <c r="K26" s="274">
        <v>1.39</v>
      </c>
      <c r="L26" s="275">
        <v>1.4</v>
      </c>
      <c r="M26" s="275">
        <v>1.4</v>
      </c>
      <c r="N26" s="275">
        <v>1.42</v>
      </c>
      <c r="O26" s="275">
        <v>1.43</v>
      </c>
      <c r="P26" s="275">
        <v>1.438</v>
      </c>
      <c r="Q26" s="275">
        <v>1.45</v>
      </c>
      <c r="R26" s="275">
        <v>1.48</v>
      </c>
      <c r="S26" s="275">
        <v>1.5</v>
      </c>
      <c r="T26" s="275">
        <v>1.5</v>
      </c>
      <c r="U26" s="275">
        <v>1.5</v>
      </c>
      <c r="V26" s="275">
        <v>1.52</v>
      </c>
      <c r="W26" s="181">
        <f>100*(V26/U26-1)</f>
        <v>1.333333333333342</v>
      </c>
      <c r="X26" s="96" t="s">
        <v>30</v>
      </c>
    </row>
    <row r="27" spans="2:24" ht="12.75" customHeight="1">
      <c r="B27" s="20" t="s">
        <v>40</v>
      </c>
      <c r="C27" s="237">
        <v>1.5</v>
      </c>
      <c r="D27" s="237">
        <v>1.65</v>
      </c>
      <c r="E27" s="235">
        <v>2.796</v>
      </c>
      <c r="F27" s="235">
        <v>2.926</v>
      </c>
      <c r="G27" s="235">
        <v>2.941</v>
      </c>
      <c r="H27" s="235">
        <v>3.1</v>
      </c>
      <c r="I27" s="235">
        <v>3.154</v>
      </c>
      <c r="J27" s="235">
        <v>3.3</v>
      </c>
      <c r="K27" s="235">
        <v>3.451</v>
      </c>
      <c r="L27" s="235">
        <v>3.407</v>
      </c>
      <c r="M27" s="235">
        <v>3.46</v>
      </c>
      <c r="N27" s="235">
        <v>3.536</v>
      </c>
      <c r="O27" s="235">
        <v>3.577</v>
      </c>
      <c r="P27" s="235">
        <v>3.618</v>
      </c>
      <c r="Q27" s="235">
        <v>3.613</v>
      </c>
      <c r="R27" s="235">
        <v>3.604</v>
      </c>
      <c r="S27" s="235">
        <v>3.676</v>
      </c>
      <c r="T27" s="235">
        <v>3.77</v>
      </c>
      <c r="U27" s="235">
        <v>3.866</v>
      </c>
      <c r="V27" s="235">
        <v>3.867</v>
      </c>
      <c r="W27" s="182">
        <f>100*(V27/U27-1)</f>
        <v>0.02586652871183759</v>
      </c>
      <c r="X27" s="20" t="s">
        <v>40</v>
      </c>
    </row>
    <row r="28" spans="2:24" ht="12.75" customHeight="1">
      <c r="B28" s="142" t="s">
        <v>23</v>
      </c>
      <c r="C28" s="272" t="s">
        <v>45</v>
      </c>
      <c r="D28" s="272" t="s">
        <v>45</v>
      </c>
      <c r="E28" s="274" t="s">
        <v>45</v>
      </c>
      <c r="F28" s="274" t="s">
        <v>45</v>
      </c>
      <c r="G28" s="274" t="s">
        <v>45</v>
      </c>
      <c r="H28" s="274" t="s">
        <v>45</v>
      </c>
      <c r="I28" s="274" t="s">
        <v>45</v>
      </c>
      <c r="J28" s="275">
        <v>5</v>
      </c>
      <c r="K28" s="275">
        <v>4.9</v>
      </c>
      <c r="L28" s="275">
        <v>4.85</v>
      </c>
      <c r="M28" s="275">
        <v>4.8</v>
      </c>
      <c r="N28" s="275">
        <v>4.75</v>
      </c>
      <c r="O28" s="275">
        <v>4.7</v>
      </c>
      <c r="P28" s="275">
        <v>4.65</v>
      </c>
      <c r="Q28" s="275">
        <v>4.62</v>
      </c>
      <c r="R28" s="275">
        <v>4.5</v>
      </c>
      <c r="S28" s="275">
        <v>4.47</v>
      </c>
      <c r="T28" s="275">
        <v>4.44</v>
      </c>
      <c r="U28" s="275">
        <v>4.4</v>
      </c>
      <c r="V28" s="275">
        <v>4.45</v>
      </c>
      <c r="W28" s="181">
        <f>100*(V28/U28-1)</f>
        <v>1.1363636363636243</v>
      </c>
      <c r="X28" s="142" t="s">
        <v>23</v>
      </c>
    </row>
    <row r="29" spans="2:24" ht="12.75" customHeight="1">
      <c r="B29" s="20" t="s">
        <v>41</v>
      </c>
      <c r="C29" s="237">
        <v>0.93</v>
      </c>
      <c r="D29" s="237">
        <v>0.74</v>
      </c>
      <c r="E29" s="235">
        <v>0.67</v>
      </c>
      <c r="F29" s="235">
        <v>0.65</v>
      </c>
      <c r="G29" s="235">
        <v>0.63</v>
      </c>
      <c r="H29" s="235">
        <v>0.61</v>
      </c>
      <c r="I29" s="235">
        <v>0.58</v>
      </c>
      <c r="J29" s="235">
        <v>0.53</v>
      </c>
      <c r="K29" s="235">
        <v>0.54</v>
      </c>
      <c r="L29" s="235">
        <v>0.5</v>
      </c>
      <c r="M29" s="235">
        <v>0.5</v>
      </c>
      <c r="N29" s="235">
        <v>0.5</v>
      </c>
      <c r="O29" s="235">
        <v>0.53</v>
      </c>
      <c r="P29" s="235">
        <v>0.545</v>
      </c>
      <c r="Q29" s="235">
        <v>0.55</v>
      </c>
      <c r="R29" s="235">
        <v>0.77</v>
      </c>
      <c r="S29" s="235">
        <v>0.847</v>
      </c>
      <c r="T29" s="235">
        <f>0.80121+0.046506</f>
        <v>0.847716</v>
      </c>
      <c r="U29" s="235">
        <f>0.785327+0.202473</f>
        <v>0.9878</v>
      </c>
      <c r="V29" s="235">
        <f>0.803969+0.245921</f>
        <v>1.04989</v>
      </c>
      <c r="W29" s="182">
        <f>100*(V29/U29-1)</f>
        <v>6.285685361409188</v>
      </c>
      <c r="X29" s="20" t="s">
        <v>41</v>
      </c>
    </row>
    <row r="30" spans="2:24" ht="12.75" customHeight="1">
      <c r="B30" s="142" t="s">
        <v>24</v>
      </c>
      <c r="C30" s="272"/>
      <c r="D30" s="272"/>
      <c r="E30" s="274"/>
      <c r="F30" s="274"/>
      <c r="G30" s="274"/>
      <c r="H30" s="274"/>
      <c r="I30" s="274"/>
      <c r="J30" s="275">
        <v>6</v>
      </c>
      <c r="K30" s="275">
        <v>6</v>
      </c>
      <c r="L30" s="275">
        <v>6</v>
      </c>
      <c r="M30" s="275">
        <v>6</v>
      </c>
      <c r="N30" s="275">
        <v>6</v>
      </c>
      <c r="O30" s="275">
        <v>6</v>
      </c>
      <c r="P30" s="275">
        <v>6</v>
      </c>
      <c r="Q30" s="275">
        <v>6</v>
      </c>
      <c r="R30" s="274">
        <v>5.777215</v>
      </c>
      <c r="S30" s="274">
        <v>6.192045</v>
      </c>
      <c r="T30" s="274">
        <v>6.596908000000001</v>
      </c>
      <c r="U30" s="275">
        <v>6.8</v>
      </c>
      <c r="V30" s="275">
        <v>6.9</v>
      </c>
      <c r="W30" s="181">
        <f>100*(V30/U30-1)</f>
        <v>1.4705882352941346</v>
      </c>
      <c r="X30" s="142" t="s">
        <v>24</v>
      </c>
    </row>
    <row r="31" spans="2:24" ht="12.75" customHeight="1">
      <c r="B31" s="20" t="s">
        <v>26</v>
      </c>
      <c r="C31" s="259" t="s">
        <v>47</v>
      </c>
      <c r="D31" s="259" t="s">
        <v>47</v>
      </c>
      <c r="E31" s="260" t="s">
        <v>47</v>
      </c>
      <c r="F31" s="260" t="s">
        <v>47</v>
      </c>
      <c r="G31" s="260" t="s">
        <v>47</v>
      </c>
      <c r="H31" s="260" t="s">
        <v>47</v>
      </c>
      <c r="I31" s="260" t="s">
        <v>47</v>
      </c>
      <c r="J31" s="260" t="s">
        <v>47</v>
      </c>
      <c r="K31" s="260" t="s">
        <v>47</v>
      </c>
      <c r="L31" s="260" t="s">
        <v>47</v>
      </c>
      <c r="M31" s="260" t="s">
        <v>47</v>
      </c>
      <c r="N31" s="260" t="s">
        <v>47</v>
      </c>
      <c r="O31" s="260" t="s">
        <v>47</v>
      </c>
      <c r="P31" s="260" t="s">
        <v>47</v>
      </c>
      <c r="Q31" s="260" t="s">
        <v>47</v>
      </c>
      <c r="R31" s="260" t="s">
        <v>47</v>
      </c>
      <c r="S31" s="260" t="s">
        <v>47</v>
      </c>
      <c r="T31" s="260" t="s">
        <v>47</v>
      </c>
      <c r="U31" s="260" t="s">
        <v>47</v>
      </c>
      <c r="V31" s="260" t="s">
        <v>47</v>
      </c>
      <c r="W31" s="269" t="s">
        <v>47</v>
      </c>
      <c r="X31" s="20" t="s">
        <v>26</v>
      </c>
    </row>
    <row r="32" spans="2:24" ht="12.75" customHeight="1">
      <c r="B32" s="142" t="s">
        <v>25</v>
      </c>
      <c r="C32" s="272"/>
      <c r="D32" s="272"/>
      <c r="E32" s="274"/>
      <c r="F32" s="274"/>
      <c r="G32" s="274"/>
      <c r="H32" s="274" t="s">
        <v>45</v>
      </c>
      <c r="I32" s="274" t="s">
        <v>45</v>
      </c>
      <c r="J32" s="275">
        <f>0.14623*3</f>
        <v>0.43869</v>
      </c>
      <c r="K32" s="275">
        <v>0.42</v>
      </c>
      <c r="L32" s="275">
        <v>0.4</v>
      </c>
      <c r="M32" s="275">
        <f>0.126488*3</f>
        <v>0.37946399999999997</v>
      </c>
      <c r="N32" s="275">
        <f>0.117714*3</f>
        <v>0.353142</v>
      </c>
      <c r="O32" s="275">
        <v>0.35</v>
      </c>
      <c r="P32" s="274">
        <v>0.35736278</v>
      </c>
      <c r="Q32" s="274">
        <v>0.35821163</v>
      </c>
      <c r="R32" s="274">
        <v>0.36700559999999993</v>
      </c>
      <c r="S32" s="274">
        <v>0.36223677000000004</v>
      </c>
      <c r="T32" s="274">
        <v>0.38621753999999997</v>
      </c>
      <c r="U32" s="274">
        <v>0.384426</v>
      </c>
      <c r="V32" s="274">
        <v>0.394938</v>
      </c>
      <c r="W32" s="181">
        <f>100*(V32/U32-1)</f>
        <v>2.734466451280615</v>
      </c>
      <c r="X32" s="142" t="s">
        <v>25</v>
      </c>
    </row>
    <row r="33" spans="2:24" ht="12.75" customHeight="1">
      <c r="B33" s="20" t="s">
        <v>42</v>
      </c>
      <c r="C33" s="242">
        <v>0.1</v>
      </c>
      <c r="D33" s="242">
        <v>0.13</v>
      </c>
      <c r="E33" s="244">
        <v>0.35</v>
      </c>
      <c r="F33" s="244">
        <v>0.34</v>
      </c>
      <c r="G33" s="244">
        <v>0.345</v>
      </c>
      <c r="H33" s="244">
        <f>0.0993+0.2581</f>
        <v>0.3574</v>
      </c>
      <c r="I33" s="244">
        <v>0.37</v>
      </c>
      <c r="J33" s="244">
        <f>0.1091+0.2785</f>
        <v>0.38760000000000006</v>
      </c>
      <c r="K33" s="244">
        <v>0.4</v>
      </c>
      <c r="L33" s="244">
        <f>0.1162+0.3006</f>
        <v>0.41679999999999995</v>
      </c>
      <c r="M33" s="244">
        <v>0.439</v>
      </c>
      <c r="N33" s="244">
        <f>0.1205+0.3598</f>
        <v>0.4803</v>
      </c>
      <c r="O33" s="244">
        <f>0.118+0.379</f>
        <v>0.497</v>
      </c>
      <c r="P33" s="244">
        <f>0.1193+0.3853</f>
        <v>0.5045999999999999</v>
      </c>
      <c r="Q33" s="244">
        <f>0.1167+0.4008</f>
        <v>0.5175</v>
      </c>
      <c r="R33" s="244">
        <f>0.1182+0.4041</f>
        <v>0.5223</v>
      </c>
      <c r="S33" s="244">
        <f>0.119+0.404</f>
        <v>0.523</v>
      </c>
      <c r="T33" s="244">
        <f>0.117+0.409</f>
        <v>0.526</v>
      </c>
      <c r="U33" s="244">
        <f>0.11+0.414</f>
        <v>0.524</v>
      </c>
      <c r="V33" s="244">
        <f>0.11+0.41</f>
        <v>0.52</v>
      </c>
      <c r="W33" s="182">
        <f>100*(V33/U33-1)</f>
        <v>-0.7633587786259555</v>
      </c>
      <c r="X33" s="20" t="s">
        <v>42</v>
      </c>
    </row>
    <row r="34" spans="2:24" ht="12.75" customHeight="1">
      <c r="B34" s="142" t="s">
        <v>43</v>
      </c>
      <c r="C34" s="272">
        <v>1.44</v>
      </c>
      <c r="D34" s="272">
        <v>1.97</v>
      </c>
      <c r="E34" s="274">
        <v>2.01</v>
      </c>
      <c r="F34" s="274">
        <v>1.93</v>
      </c>
      <c r="G34" s="274">
        <v>1.91</v>
      </c>
      <c r="H34" s="274">
        <v>1.91</v>
      </c>
      <c r="I34" s="274">
        <v>1.89</v>
      </c>
      <c r="J34" s="274">
        <v>1.94</v>
      </c>
      <c r="K34" s="273">
        <v>1.98</v>
      </c>
      <c r="L34" s="274">
        <f>1.496+0.375</f>
        <v>1.871</v>
      </c>
      <c r="M34" s="274">
        <f>1.505+0.374</f>
        <v>1.879</v>
      </c>
      <c r="N34" s="274">
        <f>1.526+0.38</f>
        <v>1.9060000000000001</v>
      </c>
      <c r="O34" s="274">
        <f>1.588+0.394</f>
        <v>1.9820000000000002</v>
      </c>
      <c r="P34" s="274">
        <f>1.581+0.41</f>
        <v>1.9909999999999999</v>
      </c>
      <c r="Q34" s="274">
        <f>1.581+0.584</f>
        <v>2.165</v>
      </c>
      <c r="R34" s="274">
        <f>1.558+0.429</f>
        <v>1.987</v>
      </c>
      <c r="S34" s="274">
        <f>1.556+0.462</f>
        <v>2.0180000000000002</v>
      </c>
      <c r="T34" s="274">
        <f>1.541+0.498</f>
        <v>2.0389999999999997</v>
      </c>
      <c r="U34" s="274">
        <f>1.657+0.513</f>
        <v>2.17</v>
      </c>
      <c r="V34" s="274">
        <f>1.69+0.548</f>
        <v>2.238</v>
      </c>
      <c r="W34" s="181">
        <f>100*(V34/U34-1)</f>
        <v>3.133640552995387</v>
      </c>
      <c r="X34" s="142" t="s">
        <v>43</v>
      </c>
    </row>
    <row r="35" spans="2:24" ht="12.75" customHeight="1">
      <c r="B35" s="21" t="s">
        <v>31</v>
      </c>
      <c r="C35" s="242">
        <v>5.2</v>
      </c>
      <c r="D35" s="242">
        <v>4.3</v>
      </c>
      <c r="E35" s="244">
        <v>6.5</v>
      </c>
      <c r="F35" s="244">
        <v>6.24</v>
      </c>
      <c r="G35" s="244">
        <v>6.15</v>
      </c>
      <c r="H35" s="244">
        <v>6.24</v>
      </c>
      <c r="I35" s="244">
        <v>6.507</v>
      </c>
      <c r="J35" s="244">
        <v>6.811</v>
      </c>
      <c r="K35" s="244">
        <v>6.648</v>
      </c>
      <c r="L35" s="244">
        <v>6.998</v>
      </c>
      <c r="M35" s="244">
        <v>7.297</v>
      </c>
      <c r="N35" s="244">
        <v>7.846</v>
      </c>
      <c r="O35" s="244">
        <v>8.3</v>
      </c>
      <c r="P35" s="244">
        <v>8.304</v>
      </c>
      <c r="Q35" s="244">
        <v>8.288</v>
      </c>
      <c r="R35" s="244">
        <v>8.285</v>
      </c>
      <c r="S35" s="244">
        <v>8.639</v>
      </c>
      <c r="T35" s="244">
        <f>7.586+1.052</f>
        <v>8.638</v>
      </c>
      <c r="U35" s="244">
        <f>7.947+1.12</f>
        <v>9.067</v>
      </c>
      <c r="V35" s="244">
        <f>8.352+1.185</f>
        <v>9.537</v>
      </c>
      <c r="W35" s="257">
        <f>100*(V35/U35-1)</f>
        <v>5.1836329546707915</v>
      </c>
      <c r="X35" s="21" t="s">
        <v>31</v>
      </c>
    </row>
    <row r="36" spans="2:24" ht="12.75" customHeight="1">
      <c r="B36" s="142" t="s">
        <v>50</v>
      </c>
      <c r="C36" s="283"/>
      <c r="D36" s="283"/>
      <c r="E36" s="284"/>
      <c r="F36" s="284"/>
      <c r="G36" s="284"/>
      <c r="H36" s="284">
        <f>0.182209*3</f>
        <v>0.546627</v>
      </c>
      <c r="I36" s="284">
        <f>0.180867*3</f>
        <v>0.542601</v>
      </c>
      <c r="J36" s="284">
        <f>0.175132*3</f>
        <v>0.525396</v>
      </c>
      <c r="K36" s="284">
        <f>0.162293*3</f>
        <v>0.48687899999999995</v>
      </c>
      <c r="L36" s="284">
        <f>0.166031*3</f>
        <v>0.498093</v>
      </c>
      <c r="M36" s="284">
        <f>0.162632*3</f>
        <v>0.487896</v>
      </c>
      <c r="N36" s="284">
        <f>0.162422*3</f>
        <v>0.48726600000000003</v>
      </c>
      <c r="O36" s="284">
        <f>0.168057*3</f>
        <v>0.504171</v>
      </c>
      <c r="P36" s="284">
        <f>0.177248*3</f>
        <v>0.531744</v>
      </c>
      <c r="Q36" s="284">
        <f>0.178246*3</f>
        <v>0.5347379999999999</v>
      </c>
      <c r="R36" s="284">
        <f>0.183436*3</f>
        <v>0.550308</v>
      </c>
      <c r="S36" s="284">
        <f>0.176361*3</f>
        <v>0.529083</v>
      </c>
      <c r="T36" s="284">
        <f>0.177722*3</f>
        <v>0.533166</v>
      </c>
      <c r="U36" s="284">
        <f>0.186591*3</f>
        <v>0.5597730000000001</v>
      </c>
      <c r="V36" s="305">
        <f>0.22032*3</f>
        <v>0.66096</v>
      </c>
      <c r="W36" s="181">
        <f>100*(V36/U36-1)</f>
        <v>18.076434554721278</v>
      </c>
      <c r="X36" s="142" t="s">
        <v>50</v>
      </c>
    </row>
    <row r="37" spans="2:24" ht="12.75" customHeight="1">
      <c r="B37" s="20" t="s">
        <v>9</v>
      </c>
      <c r="C37" s="261" t="s">
        <v>47</v>
      </c>
      <c r="D37" s="261" t="s">
        <v>47</v>
      </c>
      <c r="E37" s="262" t="s">
        <v>47</v>
      </c>
      <c r="F37" s="262" t="s">
        <v>47</v>
      </c>
      <c r="G37" s="262" t="s">
        <v>47</v>
      </c>
      <c r="H37" s="262" t="s">
        <v>47</v>
      </c>
      <c r="I37" s="262" t="s">
        <v>47</v>
      </c>
      <c r="J37" s="262" t="s">
        <v>47</v>
      </c>
      <c r="K37" s="262" t="s">
        <v>47</v>
      </c>
      <c r="L37" s="262" t="s">
        <v>47</v>
      </c>
      <c r="M37" s="262" t="s">
        <v>47</v>
      </c>
      <c r="N37" s="262" t="s">
        <v>47</v>
      </c>
      <c r="O37" s="262" t="s">
        <v>47</v>
      </c>
      <c r="P37" s="262" t="s">
        <v>47</v>
      </c>
      <c r="Q37" s="262" t="s">
        <v>47</v>
      </c>
      <c r="R37" s="262" t="s">
        <v>47</v>
      </c>
      <c r="S37" s="262" t="s">
        <v>47</v>
      </c>
      <c r="T37" s="262" t="s">
        <v>47</v>
      </c>
      <c r="U37" s="262" t="s">
        <v>47</v>
      </c>
      <c r="V37" s="320" t="s">
        <v>47</v>
      </c>
      <c r="W37" s="269" t="s">
        <v>47</v>
      </c>
      <c r="X37" s="20" t="s">
        <v>9</v>
      </c>
    </row>
    <row r="38" spans="2:24" ht="12.75" customHeight="1">
      <c r="B38" s="143" t="s">
        <v>27</v>
      </c>
      <c r="C38" s="281"/>
      <c r="D38" s="281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321"/>
      <c r="W38" s="258"/>
      <c r="X38" s="143" t="s">
        <v>27</v>
      </c>
    </row>
    <row r="39" spans="2:24" ht="12.75" customHeight="1"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</row>
    <row r="40" spans="2:24" ht="12.75" customHeight="1">
      <c r="B40" s="142" t="s">
        <v>44</v>
      </c>
      <c r="C40" s="272">
        <v>0.428</v>
      </c>
      <c r="D40" s="272">
        <v>0.501</v>
      </c>
      <c r="E40" s="274">
        <v>0.419</v>
      </c>
      <c r="F40" s="274">
        <v>0.42</v>
      </c>
      <c r="G40" s="274">
        <v>0.349</v>
      </c>
      <c r="H40" s="274">
        <v>0.37</v>
      </c>
      <c r="I40" s="274">
        <v>0.375</v>
      </c>
      <c r="J40" s="274">
        <v>0.381</v>
      </c>
      <c r="K40" s="274">
        <v>0.419</v>
      </c>
      <c r="L40" s="274">
        <v>0.427</v>
      </c>
      <c r="M40" s="274">
        <v>0.469</v>
      </c>
      <c r="N40" s="274">
        <v>0.507</v>
      </c>
      <c r="O40" s="274">
        <v>0.496</v>
      </c>
      <c r="P40" s="274">
        <v>0.508</v>
      </c>
      <c r="Q40" s="274">
        <v>0.498</v>
      </c>
      <c r="R40" s="274">
        <v>0.476</v>
      </c>
      <c r="S40" s="274">
        <v>0.458</v>
      </c>
      <c r="T40" s="274">
        <v>0.518</v>
      </c>
      <c r="U40" s="274">
        <v>0.508</v>
      </c>
      <c r="V40" s="274">
        <v>0.522</v>
      </c>
      <c r="W40" s="181">
        <f>100*(V40/U40-1)</f>
        <v>2.7559055118110187</v>
      </c>
      <c r="X40" s="142" t="s">
        <v>44</v>
      </c>
    </row>
    <row r="41" spans="2:24" ht="12.75" customHeight="1">
      <c r="B41" s="21" t="s">
        <v>14</v>
      </c>
      <c r="C41" s="253"/>
      <c r="D41" s="253"/>
      <c r="E41" s="254"/>
      <c r="F41" s="254"/>
      <c r="G41" s="254"/>
      <c r="H41" s="254"/>
      <c r="I41" s="254"/>
      <c r="J41" s="254">
        <v>1.5002</v>
      </c>
      <c r="K41" s="254">
        <v>1.5463</v>
      </c>
      <c r="L41" s="254">
        <v>1.5072</v>
      </c>
      <c r="M41" s="254">
        <v>1.3951</v>
      </c>
      <c r="N41" s="254">
        <v>1.403</v>
      </c>
      <c r="O41" s="254">
        <v>1.403</v>
      </c>
      <c r="P41" s="254">
        <v>1.4358</v>
      </c>
      <c r="Q41" s="254">
        <v>1.4478</v>
      </c>
      <c r="R41" s="254">
        <v>1.4394</v>
      </c>
      <c r="S41" s="254">
        <v>1.4695</v>
      </c>
      <c r="T41" s="254">
        <v>1.4575</v>
      </c>
      <c r="U41" s="254">
        <v>1.4745</v>
      </c>
      <c r="V41" s="256">
        <v>1.48</v>
      </c>
      <c r="W41" s="257">
        <f>100*(U41/T41-1)</f>
        <v>1.1663807890222921</v>
      </c>
      <c r="X41" s="21" t="s">
        <v>14</v>
      </c>
    </row>
    <row r="42" spans="2:25" ht="15" customHeight="1">
      <c r="B42" s="400" t="s">
        <v>110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2"/>
    </row>
    <row r="43" spans="2:25" ht="12.75" customHeight="1">
      <c r="B43" s="2" t="s">
        <v>10</v>
      </c>
      <c r="C43" s="23"/>
      <c r="D43" s="23"/>
      <c r="E43" s="23"/>
      <c r="F43" s="23"/>
      <c r="G43" s="23"/>
      <c r="H43" s="12"/>
      <c r="I43" s="23"/>
      <c r="J43" s="68"/>
      <c r="K43" s="23"/>
      <c r="L43" s="23"/>
      <c r="M43" s="23"/>
      <c r="N43" s="23"/>
      <c r="O43" s="23"/>
      <c r="P43" s="22"/>
      <c r="Q43" s="12"/>
      <c r="R43" s="70"/>
      <c r="S43" s="23"/>
      <c r="T43" s="23"/>
      <c r="U43" s="23"/>
      <c r="V43" s="23"/>
      <c r="X43" s="23"/>
      <c r="Y43" s="1"/>
    </row>
    <row r="44" spans="2:23" ht="12.75" customHeight="1">
      <c r="B44" s="78" t="s">
        <v>93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179"/>
      <c r="T44" s="179"/>
      <c r="U44" s="179"/>
      <c r="V44" s="179"/>
      <c r="W44" s="179"/>
    </row>
    <row r="45" spans="2:23" ht="12.75" customHeight="1">
      <c r="B45" s="178" t="s">
        <v>102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179"/>
      <c r="T45" s="179"/>
      <c r="U45" s="179"/>
      <c r="V45" s="179"/>
      <c r="W45" s="179"/>
    </row>
    <row r="46" spans="2:23" ht="12.75" customHeight="1">
      <c r="B46" s="398" t="s">
        <v>103</v>
      </c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</row>
    <row r="47" spans="2:23" ht="12.75" customHeight="1">
      <c r="B47" s="178" t="s">
        <v>98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82"/>
      <c r="T47" s="82"/>
      <c r="U47" s="82"/>
      <c r="V47" s="82"/>
      <c r="W47" s="179"/>
    </row>
  </sheetData>
  <mergeCells count="3">
    <mergeCell ref="B2:X2"/>
    <mergeCell ref="B46:W46"/>
    <mergeCell ref="B42:X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Z4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00390625" style="3" customWidth="1"/>
    <col min="24" max="24" width="4.00390625" style="3" customWidth="1"/>
    <col min="25" max="25" width="2.421875" style="3" customWidth="1"/>
    <col min="26" max="26" width="6.28125" style="3" customWidth="1"/>
    <col min="27" max="16384" width="9.140625" style="3" customWidth="1"/>
  </cols>
  <sheetData>
    <row r="1" spans="2:25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5"/>
      <c r="U1" s="46"/>
      <c r="V1" s="46"/>
      <c r="Y1" s="46" t="s">
        <v>55</v>
      </c>
    </row>
    <row r="2" spans="2:24" s="78" customFormat="1" ht="30" customHeight="1">
      <c r="B2" s="420" t="s">
        <v>59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5" ht="12.7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  <c r="Y3" s="26"/>
    </row>
    <row r="4" spans="2:26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  <c r="Y4" s="17"/>
      <c r="Z4" s="17"/>
    </row>
    <row r="5" spans="2:26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  <c r="Y5" s="17"/>
      <c r="Z5" s="17"/>
    </row>
    <row r="6" spans="2:26" ht="12.75" customHeight="1">
      <c r="B6" s="141" t="s">
        <v>79</v>
      </c>
      <c r="C6" s="329">
        <f>20.5+SUM(C9:C35)</f>
        <v>326.43499999999995</v>
      </c>
      <c r="D6" s="329">
        <f>18+SUM(D9:D35)</f>
        <v>365.98</v>
      </c>
      <c r="E6" s="323">
        <f aca="true" t="shared" si="0" ref="E6:L6">SUM(E9:E35)</f>
        <v>400.7069999999999</v>
      </c>
      <c r="F6" s="308">
        <f t="shared" si="0"/>
        <v>385.362</v>
      </c>
      <c r="G6" s="323">
        <f t="shared" si="0"/>
        <v>374.38</v>
      </c>
      <c r="H6" s="323">
        <f t="shared" si="0"/>
        <v>349.074</v>
      </c>
      <c r="I6" s="323">
        <f t="shared" si="0"/>
        <v>342.162</v>
      </c>
      <c r="J6" s="323">
        <f t="shared" si="0"/>
        <v>350.5187000000001</v>
      </c>
      <c r="K6" s="323">
        <f t="shared" si="0"/>
        <v>348.9748000000001</v>
      </c>
      <c r="L6" s="323">
        <f t="shared" si="0"/>
        <v>350.5145999999999</v>
      </c>
      <c r="M6" s="323">
        <f>SUM(M9:M35)</f>
        <v>350.58320000000003</v>
      </c>
      <c r="N6" s="323">
        <f aca="true" t="shared" si="1" ref="N6:U6">SUM(N9:N35)</f>
        <v>358.59970000000004</v>
      </c>
      <c r="O6" s="323">
        <f t="shared" si="1"/>
        <v>370.7280999999999</v>
      </c>
      <c r="P6" s="323">
        <f t="shared" si="1"/>
        <v>372.739349</v>
      </c>
      <c r="Q6" s="323">
        <f t="shared" si="1"/>
        <v>365.5712500000001</v>
      </c>
      <c r="R6" s="323">
        <f t="shared" si="1"/>
        <v>361.88681399999996</v>
      </c>
      <c r="S6" s="323">
        <f t="shared" si="1"/>
        <v>367.87313299999994</v>
      </c>
      <c r="T6" s="323">
        <f t="shared" si="1"/>
        <v>378.5718990000001</v>
      </c>
      <c r="U6" s="323">
        <f t="shared" si="1"/>
        <v>389.60281100000003</v>
      </c>
      <c r="V6" s="324">
        <f>SUM(V9:V35)</f>
        <v>395.12230000000005</v>
      </c>
      <c r="W6" s="148">
        <f aca="true" t="shared" si="2" ref="W6:W19">100*(V6/U6-1)</f>
        <v>1.4166964005811522</v>
      </c>
      <c r="X6" s="141" t="s">
        <v>79</v>
      </c>
      <c r="Y6" s="17"/>
      <c r="Z6" s="17"/>
    </row>
    <row r="7" spans="1:26" ht="12.75" customHeight="1">
      <c r="A7" s="18"/>
      <c r="B7" s="142" t="s">
        <v>32</v>
      </c>
      <c r="C7" s="330">
        <f aca="true" t="shared" si="3" ref="C7:L7">SUM(C9,C12:C13,C15:C19,C23,C26:C27,C29,C33:C35)</f>
        <v>220.18699999999993</v>
      </c>
      <c r="D7" s="330">
        <f t="shared" si="3"/>
        <v>246.903</v>
      </c>
      <c r="E7" s="325">
        <f t="shared" si="3"/>
        <v>268.917</v>
      </c>
      <c r="F7" s="325">
        <f t="shared" si="3"/>
        <v>277.34700000000004</v>
      </c>
      <c r="G7" s="325">
        <f t="shared" si="3"/>
        <v>278.47099999999995</v>
      </c>
      <c r="H7" s="325">
        <f t="shared" si="3"/>
        <v>265.075</v>
      </c>
      <c r="I7" s="325">
        <f t="shared" si="3"/>
        <v>265.148</v>
      </c>
      <c r="J7" s="325">
        <f t="shared" si="3"/>
        <v>276.12669999999997</v>
      </c>
      <c r="K7" s="325">
        <f t="shared" si="3"/>
        <v>282.25980000000004</v>
      </c>
      <c r="L7" s="325">
        <f t="shared" si="3"/>
        <v>286.5586</v>
      </c>
      <c r="M7" s="325">
        <f>SUM(M9,M12:M13,M15:M19,M23,M26:M27,M29,M33:M35)</f>
        <v>290.1512000000001</v>
      </c>
      <c r="N7" s="325">
        <f aca="true" t="shared" si="4" ref="N7:U7">SUM(N9,N12:N13,N15:N19,N23,N26:N27,N29,N33:N35)</f>
        <v>298.9577</v>
      </c>
      <c r="O7" s="325">
        <f t="shared" si="4"/>
        <v>309.3760999999999</v>
      </c>
      <c r="P7" s="325">
        <f t="shared" si="4"/>
        <v>314.06969999999995</v>
      </c>
      <c r="Q7" s="325">
        <f t="shared" si="4"/>
        <v>311.7443</v>
      </c>
      <c r="R7" s="325">
        <f t="shared" si="4"/>
        <v>309.96200000000005</v>
      </c>
      <c r="S7" s="325">
        <f t="shared" si="4"/>
        <v>317.21599999999995</v>
      </c>
      <c r="T7" s="325">
        <f t="shared" si="4"/>
        <v>329.269</v>
      </c>
      <c r="U7" s="325">
        <f t="shared" si="4"/>
        <v>339.591</v>
      </c>
      <c r="V7" s="326">
        <f>SUM(V9,V12:V13,V15:V19,V23,V26:V27,V29,V33:V35)</f>
        <v>345.42530000000005</v>
      </c>
      <c r="W7" s="149">
        <f t="shared" si="2"/>
        <v>1.7180372860293724</v>
      </c>
      <c r="X7" s="142" t="s">
        <v>32</v>
      </c>
      <c r="Y7" s="84"/>
      <c r="Z7" s="84"/>
    </row>
    <row r="8" spans="1:26" ht="12.75" customHeight="1" thickBot="1">
      <c r="A8" s="18"/>
      <c r="B8" s="143" t="s">
        <v>92</v>
      </c>
      <c r="C8" s="331">
        <f>20.5+SUM(C10,C11,C14,C20,C21,C22,C24,C25,C28,C30,C31,C32)</f>
        <v>106.24799999999999</v>
      </c>
      <c r="D8" s="331">
        <f>18+SUM(D10,D11,D14,D20,D21,D22,D24,D25,D28,D30,D31,D32)</f>
        <v>119.077</v>
      </c>
      <c r="E8" s="327">
        <f>SUM(E10,E11,E14,E20,E21,E22,E24,E25,E28,E30,E31,E32)</f>
        <v>131.79</v>
      </c>
      <c r="F8" s="303">
        <f>SUM(F10,F11,F14,F20,F21,F22,F24,F25,F28,F30,F31,F32)</f>
        <v>108.015</v>
      </c>
      <c r="G8" s="327">
        <f>SUM(G10,G11,G14,G20,G21,G22,G24,G25,G28,G30,G31,G32)</f>
        <v>95.90899999999999</v>
      </c>
      <c r="H8" s="327">
        <f>SUM(H10,H11,H14,H20,H21,H22,H24,H25,H28,H30,H31,H32)</f>
        <v>83.99900000000001</v>
      </c>
      <c r="I8" s="327">
        <f aca="true" t="shared" si="5" ref="I8:U8">SUM(I10,I11,I14,I20,I21,I22,I24,I25,I28,I30,I31,I32)</f>
        <v>77.01400000000001</v>
      </c>
      <c r="J8" s="327">
        <f t="shared" si="5"/>
        <v>74.392</v>
      </c>
      <c r="K8" s="327">
        <f t="shared" si="5"/>
        <v>66.715</v>
      </c>
      <c r="L8" s="327">
        <f t="shared" si="5"/>
        <v>63.956</v>
      </c>
      <c r="M8" s="327">
        <f t="shared" si="5"/>
        <v>60.431999999999995</v>
      </c>
      <c r="N8" s="327">
        <f t="shared" si="5"/>
        <v>59.641999999999996</v>
      </c>
      <c r="O8" s="327">
        <f t="shared" si="5"/>
        <v>61.35199999999999</v>
      </c>
      <c r="P8" s="327">
        <f t="shared" si="5"/>
        <v>58.669649</v>
      </c>
      <c r="Q8" s="327">
        <f t="shared" si="5"/>
        <v>53.82695000000001</v>
      </c>
      <c r="R8" s="327">
        <f t="shared" si="5"/>
        <v>51.924814000000005</v>
      </c>
      <c r="S8" s="327">
        <f t="shared" si="5"/>
        <v>50.657133</v>
      </c>
      <c r="T8" s="327">
        <f t="shared" si="5"/>
        <v>49.30289900000001</v>
      </c>
      <c r="U8" s="327">
        <f t="shared" si="5"/>
        <v>50.011810999999994</v>
      </c>
      <c r="V8" s="328">
        <f>SUM(V10,V11,V14,V20,V21,V22,V24,V25,V28,V30,V31,V32)</f>
        <v>49.696999999999996</v>
      </c>
      <c r="W8" s="150">
        <f t="shared" si="2"/>
        <v>-0.6294733058156976</v>
      </c>
      <c r="X8" s="143" t="s">
        <v>92</v>
      </c>
      <c r="Y8" s="84"/>
      <c r="Z8" s="84"/>
    </row>
    <row r="9" spans="1:26" ht="12.75" customHeight="1">
      <c r="A9" s="18"/>
      <c r="B9" s="20" t="s">
        <v>33</v>
      </c>
      <c r="C9" s="242">
        <v>8.26</v>
      </c>
      <c r="D9" s="242">
        <v>6.963</v>
      </c>
      <c r="E9" s="390">
        <v>6.539</v>
      </c>
      <c r="F9" s="390">
        <v>6.77</v>
      </c>
      <c r="G9" s="390">
        <v>6.798</v>
      </c>
      <c r="H9" s="390">
        <v>6.694</v>
      </c>
      <c r="I9" s="390">
        <v>6.638</v>
      </c>
      <c r="J9" s="390">
        <v>6.757</v>
      </c>
      <c r="K9" s="390">
        <v>6.788</v>
      </c>
      <c r="L9" s="390">
        <v>6.98</v>
      </c>
      <c r="M9" s="390">
        <v>7.097</v>
      </c>
      <c r="N9" s="390">
        <v>7.354</v>
      </c>
      <c r="O9" s="390">
        <v>7.754</v>
      </c>
      <c r="P9" s="390">
        <v>8.038</v>
      </c>
      <c r="Q9" s="390">
        <v>8.26</v>
      </c>
      <c r="R9" s="390">
        <v>8.265</v>
      </c>
      <c r="S9" s="390">
        <v>8.676</v>
      </c>
      <c r="T9" s="390">
        <v>9.15</v>
      </c>
      <c r="U9" s="390">
        <v>9.607</v>
      </c>
      <c r="V9" s="390">
        <v>9.9323</v>
      </c>
      <c r="W9" s="180">
        <f t="shared" si="2"/>
        <v>3.3860726553554654</v>
      </c>
      <c r="X9" s="19" t="s">
        <v>33</v>
      </c>
      <c r="Y9" s="28"/>
      <c r="Z9" s="66"/>
    </row>
    <row r="10" spans="1:26" ht="12.75" customHeight="1">
      <c r="A10" s="18"/>
      <c r="B10" s="142" t="s">
        <v>15</v>
      </c>
      <c r="C10" s="272">
        <v>6.224</v>
      </c>
      <c r="D10" s="272">
        <v>7.055</v>
      </c>
      <c r="E10" s="384">
        <v>7.793</v>
      </c>
      <c r="F10" s="274">
        <v>4.866</v>
      </c>
      <c r="G10" s="274">
        <v>5.393</v>
      </c>
      <c r="H10" s="274">
        <v>5.837</v>
      </c>
      <c r="I10" s="274">
        <v>5.059</v>
      </c>
      <c r="J10" s="274">
        <v>4.693</v>
      </c>
      <c r="K10" s="274">
        <v>5.065</v>
      </c>
      <c r="L10" s="274">
        <v>5.886</v>
      </c>
      <c r="M10" s="274">
        <v>4.74</v>
      </c>
      <c r="N10" s="274">
        <v>3.819</v>
      </c>
      <c r="O10" s="274">
        <v>3.472</v>
      </c>
      <c r="P10" s="274">
        <v>2.99</v>
      </c>
      <c r="Q10" s="274">
        <v>2.598</v>
      </c>
      <c r="R10" s="274">
        <v>2.517</v>
      </c>
      <c r="S10" s="274">
        <v>2.404</v>
      </c>
      <c r="T10" s="274">
        <v>2.389</v>
      </c>
      <c r="U10" s="274">
        <v>2.411</v>
      </c>
      <c r="V10" s="274">
        <v>2.404</v>
      </c>
      <c r="W10" s="181">
        <f t="shared" si="2"/>
        <v>-0.2903359601824973</v>
      </c>
      <c r="X10" s="142" t="s">
        <v>15</v>
      </c>
      <c r="Y10" s="28"/>
      <c r="Z10" s="66"/>
    </row>
    <row r="11" spans="1:26" ht="12.75" customHeight="1">
      <c r="A11" s="18"/>
      <c r="B11" s="20" t="s">
        <v>17</v>
      </c>
      <c r="C11" s="237"/>
      <c r="D11" s="237"/>
      <c r="E11" s="385">
        <v>13.313</v>
      </c>
      <c r="F11" s="236">
        <v>12.5</v>
      </c>
      <c r="G11" s="235">
        <v>11.147</v>
      </c>
      <c r="H11" s="235">
        <v>8.548</v>
      </c>
      <c r="I11" s="235">
        <v>8.481</v>
      </c>
      <c r="J11" s="235">
        <v>8.023</v>
      </c>
      <c r="K11" s="235">
        <v>8.111</v>
      </c>
      <c r="L11" s="235">
        <v>7.71</v>
      </c>
      <c r="M11" s="235">
        <v>7.001</v>
      </c>
      <c r="N11" s="235">
        <v>6.929</v>
      </c>
      <c r="O11" s="235">
        <v>7.3</v>
      </c>
      <c r="P11" s="235">
        <v>7.299</v>
      </c>
      <c r="Q11" s="235">
        <v>6.597</v>
      </c>
      <c r="R11" s="235">
        <v>6.518</v>
      </c>
      <c r="S11" s="235">
        <v>6.58</v>
      </c>
      <c r="T11" s="235">
        <v>6.667</v>
      </c>
      <c r="U11" s="235">
        <v>6.922</v>
      </c>
      <c r="V11" s="235">
        <v>6.898</v>
      </c>
      <c r="W11" s="182">
        <f t="shared" si="2"/>
        <v>-0.34672060098237534</v>
      </c>
      <c r="X11" s="20" t="s">
        <v>17</v>
      </c>
      <c r="Y11" s="28"/>
      <c r="Z11" s="66"/>
    </row>
    <row r="12" spans="1:26" ht="12.75" customHeight="1">
      <c r="A12" s="18"/>
      <c r="B12" s="142" t="s">
        <v>28</v>
      </c>
      <c r="C12" s="272">
        <v>3.898</v>
      </c>
      <c r="D12" s="272">
        <v>3.803</v>
      </c>
      <c r="E12" s="384">
        <v>5.051</v>
      </c>
      <c r="F12" s="274">
        <v>4.913</v>
      </c>
      <c r="G12" s="274">
        <v>4.974</v>
      </c>
      <c r="H12" s="274">
        <v>4.939</v>
      </c>
      <c r="I12" s="274">
        <v>5.052</v>
      </c>
      <c r="J12" s="274">
        <v>4.888</v>
      </c>
      <c r="K12" s="274">
        <v>4.821</v>
      </c>
      <c r="L12" s="274">
        <v>5.173</v>
      </c>
      <c r="M12" s="274">
        <v>5.365</v>
      </c>
      <c r="N12" s="274">
        <v>5.31</v>
      </c>
      <c r="O12" s="274">
        <v>5.537</v>
      </c>
      <c r="P12" s="274">
        <v>5.721</v>
      </c>
      <c r="Q12" s="274">
        <f>5.754-0.009</f>
        <v>5.744999999999999</v>
      </c>
      <c r="R12" s="274">
        <f>5.893-0.067</f>
        <v>5.826</v>
      </c>
      <c r="S12" s="274">
        <f>6.074-0.128</f>
        <v>5.946</v>
      </c>
      <c r="T12" s="274">
        <f>6.136-0.162</f>
        <v>5.974</v>
      </c>
      <c r="U12" s="274">
        <f>6.274-0.164</f>
        <v>6.11</v>
      </c>
      <c r="V12" s="274">
        <f>6.353-0.177</f>
        <v>6.176</v>
      </c>
      <c r="W12" s="181">
        <f t="shared" si="2"/>
        <v>1.0801963993453345</v>
      </c>
      <c r="X12" s="142" t="s">
        <v>28</v>
      </c>
      <c r="Y12" s="28"/>
      <c r="Z12" s="66"/>
    </row>
    <row r="13" spans="1:26" ht="12.75" customHeight="1">
      <c r="A13" s="18"/>
      <c r="B13" s="20" t="s">
        <v>34</v>
      </c>
      <c r="C13" s="237">
        <v>62.4</v>
      </c>
      <c r="D13" s="237">
        <v>62.499</v>
      </c>
      <c r="E13" s="385">
        <v>61.024</v>
      </c>
      <c r="F13" s="235">
        <v>67.31</v>
      </c>
      <c r="G13" s="238">
        <v>67.55</v>
      </c>
      <c r="H13" s="235">
        <v>63.361</v>
      </c>
      <c r="I13" s="235">
        <v>65.2</v>
      </c>
      <c r="J13" s="235">
        <v>70.977</v>
      </c>
      <c r="K13" s="235">
        <v>71.73</v>
      </c>
      <c r="L13" s="235">
        <v>72.40299999999999</v>
      </c>
      <c r="M13" s="235">
        <v>72.666</v>
      </c>
      <c r="N13" s="235">
        <v>73.79599999999999</v>
      </c>
      <c r="O13" s="235">
        <v>75.404</v>
      </c>
      <c r="P13" s="235">
        <v>75.75399999999999</v>
      </c>
      <c r="Q13" s="235">
        <v>70.82</v>
      </c>
      <c r="R13" s="235">
        <v>71.293</v>
      </c>
      <c r="S13" s="235">
        <v>72.879</v>
      </c>
      <c r="T13" s="235">
        <v>76.824</v>
      </c>
      <c r="U13" s="235">
        <v>78.995</v>
      </c>
      <c r="V13" s="235">
        <v>79.34</v>
      </c>
      <c r="W13" s="182">
        <f t="shared" si="2"/>
        <v>0.4367365023102643</v>
      </c>
      <c r="X13" s="20" t="s">
        <v>34</v>
      </c>
      <c r="Y13" s="28"/>
      <c r="Z13" s="66"/>
    </row>
    <row r="14" spans="1:26" ht="12.75" customHeight="1">
      <c r="A14" s="18"/>
      <c r="B14" s="142" t="s">
        <v>18</v>
      </c>
      <c r="C14" s="272">
        <v>1.231</v>
      </c>
      <c r="D14" s="272">
        <v>1.553</v>
      </c>
      <c r="E14" s="384">
        <v>1.51</v>
      </c>
      <c r="F14" s="274">
        <v>1.273</v>
      </c>
      <c r="G14" s="274">
        <v>0.95</v>
      </c>
      <c r="H14" s="274">
        <v>0.722</v>
      </c>
      <c r="I14" s="274">
        <v>0.537</v>
      </c>
      <c r="J14" s="274">
        <v>0.421</v>
      </c>
      <c r="K14" s="274">
        <v>0.309</v>
      </c>
      <c r="L14" s="274">
        <v>0.262</v>
      </c>
      <c r="M14" s="274">
        <v>0.236</v>
      </c>
      <c r="N14" s="274">
        <v>0.238</v>
      </c>
      <c r="O14" s="274">
        <v>0.261</v>
      </c>
      <c r="P14" s="274">
        <v>0.182649</v>
      </c>
      <c r="Q14" s="274">
        <v>0.17695</v>
      </c>
      <c r="R14" s="274">
        <v>0.181814</v>
      </c>
      <c r="S14" s="274">
        <v>0.193133</v>
      </c>
      <c r="T14" s="274">
        <v>0.247899</v>
      </c>
      <c r="U14" s="274">
        <v>0.256811</v>
      </c>
      <c r="V14" s="274">
        <v>0.274</v>
      </c>
      <c r="W14" s="181">
        <f t="shared" si="2"/>
        <v>6.693249120948863</v>
      </c>
      <c r="X14" s="142" t="s">
        <v>18</v>
      </c>
      <c r="Y14" s="28"/>
      <c r="Z14" s="66"/>
    </row>
    <row r="15" spans="1:26" ht="12.75" customHeight="1">
      <c r="A15" s="18"/>
      <c r="B15" s="20" t="s">
        <v>37</v>
      </c>
      <c r="C15" s="242">
        <v>0.582</v>
      </c>
      <c r="D15" s="242">
        <v>1.032</v>
      </c>
      <c r="E15" s="386">
        <v>1.226</v>
      </c>
      <c r="F15" s="244">
        <v>1.29</v>
      </c>
      <c r="G15" s="244">
        <v>1.226</v>
      </c>
      <c r="H15" s="244">
        <v>1.274</v>
      </c>
      <c r="I15" s="244">
        <v>1.26</v>
      </c>
      <c r="J15" s="244">
        <v>1.291</v>
      </c>
      <c r="K15" s="244">
        <v>1.295</v>
      </c>
      <c r="L15" s="244">
        <v>1.387</v>
      </c>
      <c r="M15" s="244">
        <v>1.421</v>
      </c>
      <c r="N15" s="244">
        <v>1.458</v>
      </c>
      <c r="O15" s="244">
        <v>1.389</v>
      </c>
      <c r="P15" s="244">
        <v>1.515</v>
      </c>
      <c r="Q15" s="244">
        <v>1.628</v>
      </c>
      <c r="R15" s="244">
        <v>1.601</v>
      </c>
      <c r="S15" s="244">
        <v>1.582</v>
      </c>
      <c r="T15" s="244">
        <v>1.781</v>
      </c>
      <c r="U15" s="244">
        <v>1.872</v>
      </c>
      <c r="V15" s="244">
        <v>2.007</v>
      </c>
      <c r="W15" s="182">
        <f t="shared" si="2"/>
        <v>7.211538461538458</v>
      </c>
      <c r="X15" s="20" t="s">
        <v>37</v>
      </c>
      <c r="Y15" s="28"/>
      <c r="Z15" s="66"/>
    </row>
    <row r="16" spans="1:26" ht="12.75" customHeight="1">
      <c r="A16" s="18"/>
      <c r="B16" s="142" t="s">
        <v>29</v>
      </c>
      <c r="C16" s="272">
        <v>1.951</v>
      </c>
      <c r="D16" s="272">
        <v>1.464</v>
      </c>
      <c r="E16" s="384">
        <v>1.977</v>
      </c>
      <c r="F16" s="274">
        <v>1.995</v>
      </c>
      <c r="G16" s="274">
        <v>2.046</v>
      </c>
      <c r="H16" s="274">
        <v>1.726</v>
      </c>
      <c r="I16" s="274">
        <v>1.599</v>
      </c>
      <c r="J16" s="274">
        <v>1.568</v>
      </c>
      <c r="K16" s="274">
        <v>1.751</v>
      </c>
      <c r="L16" s="274">
        <v>1.884</v>
      </c>
      <c r="M16" s="274">
        <v>1.552</v>
      </c>
      <c r="N16" s="274">
        <v>1.583</v>
      </c>
      <c r="O16" s="274">
        <v>1.886</v>
      </c>
      <c r="P16" s="274">
        <v>1.747</v>
      </c>
      <c r="Q16" s="274">
        <v>1.836</v>
      </c>
      <c r="R16" s="274">
        <v>1.574</v>
      </c>
      <c r="S16" s="274">
        <v>1.668</v>
      </c>
      <c r="T16" s="274">
        <v>1.854</v>
      </c>
      <c r="U16" s="274">
        <v>1.811</v>
      </c>
      <c r="V16" s="274">
        <v>1.933</v>
      </c>
      <c r="W16" s="181">
        <f t="shared" si="2"/>
        <v>6.736609607951416</v>
      </c>
      <c r="X16" s="142" t="s">
        <v>29</v>
      </c>
      <c r="Y16" s="28"/>
      <c r="Z16" s="66"/>
    </row>
    <row r="17" spans="1:26" ht="12.75" customHeight="1">
      <c r="A17" s="18"/>
      <c r="B17" s="20" t="s">
        <v>35</v>
      </c>
      <c r="C17" s="242">
        <v>14.013</v>
      </c>
      <c r="D17" s="242">
        <v>13.527</v>
      </c>
      <c r="E17" s="386">
        <v>15.476</v>
      </c>
      <c r="F17" s="244">
        <v>15.022</v>
      </c>
      <c r="G17" s="244">
        <v>16.302</v>
      </c>
      <c r="H17" s="244">
        <v>15.234</v>
      </c>
      <c r="I17" s="244">
        <v>14.853</v>
      </c>
      <c r="J17" s="244">
        <v>16.577</v>
      </c>
      <c r="K17" s="241">
        <v>16.85</v>
      </c>
      <c r="L17" s="241">
        <v>17.83</v>
      </c>
      <c r="M17" s="241">
        <v>18.73</v>
      </c>
      <c r="N17" s="244">
        <v>19.655</v>
      </c>
      <c r="O17" s="244">
        <v>20.144</v>
      </c>
      <c r="P17" s="244">
        <v>20.829</v>
      </c>
      <c r="Q17" s="244">
        <v>21.211</v>
      </c>
      <c r="R17" s="244">
        <v>21.127</v>
      </c>
      <c r="S17" s="244">
        <v>20.386</v>
      </c>
      <c r="T17" s="244">
        <v>21.624</v>
      </c>
      <c r="U17" s="244">
        <v>22.105</v>
      </c>
      <c r="V17" s="244">
        <v>21.857</v>
      </c>
      <c r="W17" s="182">
        <f t="shared" si="2"/>
        <v>-1.12191811807284</v>
      </c>
      <c r="X17" s="20" t="s">
        <v>35</v>
      </c>
      <c r="Y17" s="28"/>
      <c r="Z17" s="66"/>
    </row>
    <row r="18" spans="1:26" ht="12.75" customHeight="1">
      <c r="A18" s="18"/>
      <c r="B18" s="142" t="s">
        <v>36</v>
      </c>
      <c r="C18" s="272">
        <v>40.979</v>
      </c>
      <c r="D18" s="272">
        <v>54.496</v>
      </c>
      <c r="E18" s="384">
        <v>63.74</v>
      </c>
      <c r="F18" s="274">
        <v>62.37</v>
      </c>
      <c r="G18" s="274">
        <v>62.99</v>
      </c>
      <c r="H18" s="274">
        <v>58.43</v>
      </c>
      <c r="I18" s="274">
        <v>58.94</v>
      </c>
      <c r="J18" s="274">
        <v>55.56</v>
      </c>
      <c r="K18" s="274">
        <v>59.79</v>
      </c>
      <c r="L18" s="274">
        <v>61.78</v>
      </c>
      <c r="M18" s="274">
        <v>64.5</v>
      </c>
      <c r="N18" s="274">
        <v>66.21600000000001</v>
      </c>
      <c r="O18" s="274">
        <v>69.866</v>
      </c>
      <c r="P18" s="274">
        <v>71.504</v>
      </c>
      <c r="Q18" s="274">
        <v>73.534</v>
      </c>
      <c r="R18" s="274">
        <v>71.707</v>
      </c>
      <c r="S18" s="274">
        <v>74.309</v>
      </c>
      <c r="T18" s="274">
        <v>76.473</v>
      </c>
      <c r="U18" s="274">
        <v>78.792</v>
      </c>
      <c r="V18" s="274">
        <v>80.309</v>
      </c>
      <c r="W18" s="181">
        <f t="shared" si="2"/>
        <v>1.9253223677530684</v>
      </c>
      <c r="X18" s="142" t="s">
        <v>36</v>
      </c>
      <c r="Y18" s="28"/>
      <c r="Z18" s="66"/>
    </row>
    <row r="19" spans="1:26" ht="12.75" customHeight="1">
      <c r="A19" s="18"/>
      <c r="B19" s="20" t="s">
        <v>38</v>
      </c>
      <c r="C19" s="237">
        <v>32.457</v>
      </c>
      <c r="D19" s="237">
        <v>39.587</v>
      </c>
      <c r="E19" s="385">
        <v>44.709</v>
      </c>
      <c r="F19" s="235">
        <v>45.065</v>
      </c>
      <c r="G19" s="235">
        <v>44.409</v>
      </c>
      <c r="H19" s="235">
        <v>42.72</v>
      </c>
      <c r="I19" s="238">
        <v>43.375</v>
      </c>
      <c r="J19" s="235">
        <f>43.859+2.792</f>
        <v>46.651</v>
      </c>
      <c r="K19" s="235">
        <f>44.78+2.8</f>
        <v>47.58</v>
      </c>
      <c r="L19" s="235">
        <f>43.591+2.8</f>
        <v>46.391</v>
      </c>
      <c r="M19" s="235">
        <f>41.391+2.8</f>
        <v>44.190999999999995</v>
      </c>
      <c r="N19" s="235">
        <f>43.424+2.878</f>
        <v>46.302</v>
      </c>
      <c r="O19" s="235">
        <f>47.133+2.439</f>
        <v>49.572</v>
      </c>
      <c r="P19" s="235">
        <f>46.752+3.324</f>
        <v>50.076</v>
      </c>
      <c r="Q19" s="235">
        <f>45.956+3.348</f>
        <v>49.304</v>
      </c>
      <c r="R19" s="235">
        <f>45.222+3.475</f>
        <v>48.697</v>
      </c>
      <c r="S19" s="235">
        <f>45.577+3.516+0.16</f>
        <v>49.25299999999999</v>
      </c>
      <c r="T19" s="235">
        <f>46.527+3.809+0.134</f>
        <v>50.47</v>
      </c>
      <c r="U19" s="235">
        <f>47+3.716+0.03</f>
        <v>50.746</v>
      </c>
      <c r="V19" s="235">
        <f>45.88+3.583+0.125</f>
        <v>49.588</v>
      </c>
      <c r="W19" s="182">
        <f t="shared" si="2"/>
        <v>-2.281953257399605</v>
      </c>
      <c r="X19" s="20" t="s">
        <v>38</v>
      </c>
      <c r="Y19" s="28"/>
      <c r="Z19" s="66"/>
    </row>
    <row r="20" spans="1:26" ht="12.75" customHeight="1">
      <c r="A20" s="18"/>
      <c r="B20" s="142" t="s">
        <v>16</v>
      </c>
      <c r="C20" s="318" t="s">
        <v>47</v>
      </c>
      <c r="D20" s="318" t="s">
        <v>47</v>
      </c>
      <c r="E20" s="387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  <c r="Y20" s="71"/>
      <c r="Z20" s="27"/>
    </row>
    <row r="21" spans="1:26" ht="12.75" customHeight="1">
      <c r="A21" s="18"/>
      <c r="B21" s="20" t="s">
        <v>20</v>
      </c>
      <c r="C21" s="237">
        <v>3.747</v>
      </c>
      <c r="D21" s="237">
        <v>4.687</v>
      </c>
      <c r="E21" s="385">
        <v>5.366</v>
      </c>
      <c r="F21" s="235">
        <v>3.93</v>
      </c>
      <c r="G21" s="235">
        <v>3.656</v>
      </c>
      <c r="H21" s="235">
        <v>2.359</v>
      </c>
      <c r="I21" s="235">
        <v>1.794</v>
      </c>
      <c r="J21" s="235">
        <v>1.373</v>
      </c>
      <c r="K21" s="235">
        <v>1.149</v>
      </c>
      <c r="L21" s="235">
        <v>1.154</v>
      </c>
      <c r="M21" s="235">
        <v>1.059</v>
      </c>
      <c r="N21" s="235">
        <v>0.984</v>
      </c>
      <c r="O21" s="235">
        <v>0.715</v>
      </c>
      <c r="P21" s="235">
        <v>0.706</v>
      </c>
      <c r="Q21" s="235">
        <v>0.744</v>
      </c>
      <c r="R21" s="235">
        <v>0.762</v>
      </c>
      <c r="S21" s="235">
        <v>0.811</v>
      </c>
      <c r="T21" s="235">
        <v>0.894</v>
      </c>
      <c r="U21" s="235">
        <v>0.992</v>
      </c>
      <c r="V21" s="235">
        <v>0.983</v>
      </c>
      <c r="W21" s="182">
        <f>100*(V21/U21-1)</f>
        <v>-0.9072580645161255</v>
      </c>
      <c r="X21" s="20" t="s">
        <v>20</v>
      </c>
      <c r="Y21" s="28"/>
      <c r="Z21" s="66"/>
    </row>
    <row r="22" spans="1:26" ht="12.75" customHeight="1">
      <c r="A22" s="18"/>
      <c r="B22" s="142" t="s">
        <v>21</v>
      </c>
      <c r="C22" s="272">
        <v>2.132</v>
      </c>
      <c r="D22" s="272">
        <v>3.258</v>
      </c>
      <c r="E22" s="384">
        <v>3.64</v>
      </c>
      <c r="F22" s="274">
        <v>3.225</v>
      </c>
      <c r="G22" s="274">
        <v>2.74</v>
      </c>
      <c r="H22" s="274">
        <v>2.7</v>
      </c>
      <c r="I22" s="274">
        <v>1.574</v>
      </c>
      <c r="J22" s="274">
        <v>1.13</v>
      </c>
      <c r="K22" s="274">
        <v>0.954</v>
      </c>
      <c r="L22" s="274">
        <v>0.842</v>
      </c>
      <c r="M22" s="274">
        <v>0.8</v>
      </c>
      <c r="N22" s="274">
        <v>0.745</v>
      </c>
      <c r="O22" s="274">
        <v>0.611</v>
      </c>
      <c r="P22" s="274">
        <v>0.533</v>
      </c>
      <c r="Q22" s="274">
        <v>0.498</v>
      </c>
      <c r="R22" s="274">
        <v>0.432</v>
      </c>
      <c r="S22" s="274">
        <v>0.444</v>
      </c>
      <c r="T22" s="274">
        <v>0.428</v>
      </c>
      <c r="U22" s="274">
        <v>0.431</v>
      </c>
      <c r="V22" s="274">
        <v>0.409</v>
      </c>
      <c r="W22" s="181">
        <f>100*(V22/U22-1)</f>
        <v>-5.104408352668221</v>
      </c>
      <c r="X22" s="142" t="s">
        <v>21</v>
      </c>
      <c r="Y22" s="28"/>
      <c r="Z22" s="66"/>
    </row>
    <row r="23" spans="1:26" ht="12.75" customHeight="1">
      <c r="A23" s="18"/>
      <c r="B23" s="20" t="s">
        <v>39</v>
      </c>
      <c r="C23" s="237">
        <v>0.256</v>
      </c>
      <c r="D23" s="237">
        <v>0.246</v>
      </c>
      <c r="E23" s="385">
        <v>0.208</v>
      </c>
      <c r="F23" s="235">
        <v>0.22</v>
      </c>
      <c r="G23" s="235">
        <v>0.255</v>
      </c>
      <c r="H23" s="235">
        <v>0.262</v>
      </c>
      <c r="I23" s="235">
        <v>0.289</v>
      </c>
      <c r="J23" s="235">
        <v>0.287</v>
      </c>
      <c r="K23" s="235">
        <v>0.284</v>
      </c>
      <c r="L23" s="235">
        <v>0.295</v>
      </c>
      <c r="M23" s="235">
        <v>0.3</v>
      </c>
      <c r="N23" s="235">
        <v>0.31</v>
      </c>
      <c r="O23" s="235">
        <v>0.332</v>
      </c>
      <c r="P23" s="235">
        <v>0.346</v>
      </c>
      <c r="Q23" s="235">
        <v>0.268</v>
      </c>
      <c r="R23" s="235">
        <v>0.262</v>
      </c>
      <c r="S23" s="235">
        <v>0.253</v>
      </c>
      <c r="T23" s="235">
        <v>0.267</v>
      </c>
      <c r="U23" s="235">
        <v>0.298</v>
      </c>
      <c r="V23" s="235">
        <v>0.316</v>
      </c>
      <c r="W23" s="182">
        <f>100*(V23/U23-1)</f>
        <v>6.040268456375841</v>
      </c>
      <c r="X23" s="20" t="s">
        <v>39</v>
      </c>
      <c r="Y23" s="28"/>
      <c r="Z23" s="66"/>
    </row>
    <row r="24" spans="1:26" ht="12.75" customHeight="1">
      <c r="A24" s="18"/>
      <c r="B24" s="142" t="s">
        <v>19</v>
      </c>
      <c r="C24" s="272">
        <v>16.35</v>
      </c>
      <c r="D24" s="272">
        <v>13.544</v>
      </c>
      <c r="E24" s="384">
        <v>11.403</v>
      </c>
      <c r="F24" s="274">
        <v>9.861</v>
      </c>
      <c r="G24" s="274">
        <v>9.183</v>
      </c>
      <c r="H24" s="274">
        <v>8.432</v>
      </c>
      <c r="I24" s="274">
        <v>8.508</v>
      </c>
      <c r="J24" s="274">
        <v>8.441</v>
      </c>
      <c r="K24" s="274">
        <v>8.582</v>
      </c>
      <c r="L24" s="274">
        <v>8.669</v>
      </c>
      <c r="M24" s="274">
        <v>8.884</v>
      </c>
      <c r="N24" s="274">
        <v>9.514</v>
      </c>
      <c r="O24" s="274">
        <v>9.693</v>
      </c>
      <c r="P24" s="274">
        <v>10.005</v>
      </c>
      <c r="Q24" s="274">
        <v>10.531</v>
      </c>
      <c r="R24" s="274">
        <v>10.286</v>
      </c>
      <c r="S24" s="274">
        <v>10.165</v>
      </c>
      <c r="T24" s="274">
        <v>9.851</v>
      </c>
      <c r="U24" s="274">
        <v>9.658</v>
      </c>
      <c r="V24" s="274">
        <v>8.752</v>
      </c>
      <c r="W24" s="181">
        <f>100*(V24/U24-1)</f>
        <v>-9.380824187202307</v>
      </c>
      <c r="X24" s="142" t="s">
        <v>19</v>
      </c>
      <c r="Y24" s="28"/>
      <c r="Z24" s="66"/>
    </row>
    <row r="25" spans="1:26" ht="12.75" customHeight="1">
      <c r="A25" s="18"/>
      <c r="B25" s="20" t="s">
        <v>22</v>
      </c>
      <c r="C25" s="261" t="s">
        <v>47</v>
      </c>
      <c r="D25" s="261" t="s">
        <v>47</v>
      </c>
      <c r="E25" s="388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  <c r="Y25" s="71"/>
      <c r="Z25" s="27"/>
    </row>
    <row r="26" spans="1:26" ht="12.75" customHeight="1">
      <c r="A26" s="18"/>
      <c r="B26" s="96" t="s">
        <v>30</v>
      </c>
      <c r="C26" s="272">
        <v>8.011</v>
      </c>
      <c r="D26" s="272">
        <v>8.91</v>
      </c>
      <c r="E26" s="384">
        <v>11.06</v>
      </c>
      <c r="F26" s="274">
        <v>15.195</v>
      </c>
      <c r="G26" s="274">
        <v>15.35</v>
      </c>
      <c r="H26" s="274">
        <v>15.245</v>
      </c>
      <c r="I26" s="274">
        <v>14.439</v>
      </c>
      <c r="J26" s="274">
        <v>16.35</v>
      </c>
      <c r="K26" s="274">
        <v>14.092</v>
      </c>
      <c r="L26" s="274">
        <v>13.875</v>
      </c>
      <c r="M26" s="274">
        <v>14.107</v>
      </c>
      <c r="N26" s="274">
        <v>14.281</v>
      </c>
      <c r="O26" s="274">
        <v>14.666</v>
      </c>
      <c r="P26" s="274">
        <v>14.392</v>
      </c>
      <c r="Q26" s="274">
        <v>14.288</v>
      </c>
      <c r="R26" s="274">
        <v>13.848</v>
      </c>
      <c r="S26" s="274">
        <v>14.509</v>
      </c>
      <c r="T26" s="274">
        <v>15.153</v>
      </c>
      <c r="U26" s="274">
        <v>15.889</v>
      </c>
      <c r="V26" s="274">
        <v>16.325</v>
      </c>
      <c r="W26" s="181">
        <f aca="true" t="shared" si="6" ref="W26:W38">100*(V26/U26-1)</f>
        <v>2.744036754987733</v>
      </c>
      <c r="X26" s="96" t="s">
        <v>30</v>
      </c>
      <c r="Y26" s="28"/>
      <c r="Z26" s="66"/>
    </row>
    <row r="27" spans="1:26" ht="12.75" customHeight="1">
      <c r="A27" s="18"/>
      <c r="B27" s="20" t="s">
        <v>40</v>
      </c>
      <c r="C27" s="237">
        <v>6.438</v>
      </c>
      <c r="D27" s="237">
        <v>7.586</v>
      </c>
      <c r="E27" s="385">
        <v>8.912</v>
      </c>
      <c r="F27" s="235">
        <v>9.59</v>
      </c>
      <c r="G27" s="235">
        <v>9.957</v>
      </c>
      <c r="H27" s="235">
        <v>9.764</v>
      </c>
      <c r="I27" s="235">
        <v>9.949</v>
      </c>
      <c r="J27" s="235">
        <v>10.124</v>
      </c>
      <c r="K27" s="235">
        <v>10.222</v>
      </c>
      <c r="L27" s="235">
        <v>8.709</v>
      </c>
      <c r="M27" s="235">
        <v>8.537</v>
      </c>
      <c r="N27" s="235">
        <v>8.554</v>
      </c>
      <c r="O27" s="235">
        <v>8.74</v>
      </c>
      <c r="P27" s="235">
        <v>8.761</v>
      </c>
      <c r="Q27" s="235">
        <v>8.81</v>
      </c>
      <c r="R27" s="235">
        <v>8.673</v>
      </c>
      <c r="S27" s="235">
        <v>8.704</v>
      </c>
      <c r="T27" s="235">
        <v>9.061</v>
      </c>
      <c r="U27" s="235">
        <v>9.296</v>
      </c>
      <c r="V27" s="235">
        <v>9.502</v>
      </c>
      <c r="W27" s="182">
        <f t="shared" si="6"/>
        <v>2.2160068846815983</v>
      </c>
      <c r="X27" s="20" t="s">
        <v>40</v>
      </c>
      <c r="Y27" s="86"/>
      <c r="Z27" s="85"/>
    </row>
    <row r="28" spans="1:26" ht="12.75" customHeight="1">
      <c r="A28" s="18"/>
      <c r="B28" s="142" t="s">
        <v>23</v>
      </c>
      <c r="C28" s="272">
        <v>36.891</v>
      </c>
      <c r="D28" s="272">
        <v>46.324</v>
      </c>
      <c r="E28" s="384">
        <v>50.373</v>
      </c>
      <c r="F28" s="274">
        <v>40.115</v>
      </c>
      <c r="G28" s="274">
        <v>32.571</v>
      </c>
      <c r="H28" s="274">
        <v>30.864</v>
      </c>
      <c r="I28" s="274">
        <v>27.61</v>
      </c>
      <c r="J28" s="274">
        <v>26.635</v>
      </c>
      <c r="K28" s="274">
        <v>19.807</v>
      </c>
      <c r="L28" s="274">
        <v>19.928</v>
      </c>
      <c r="M28" s="274">
        <v>20.553</v>
      </c>
      <c r="N28" s="274">
        <v>21.518</v>
      </c>
      <c r="O28" s="274">
        <v>24.093</v>
      </c>
      <c r="P28" s="274">
        <v>22.469</v>
      </c>
      <c r="Q28" s="274">
        <v>20.749</v>
      </c>
      <c r="R28" s="274">
        <v>19.638</v>
      </c>
      <c r="S28" s="274">
        <v>18.43</v>
      </c>
      <c r="T28" s="274">
        <v>17.882</v>
      </c>
      <c r="U28" s="274">
        <v>18.24</v>
      </c>
      <c r="V28" s="274">
        <v>19.524</v>
      </c>
      <c r="W28" s="181">
        <f t="shared" si="6"/>
        <v>7.03947368421054</v>
      </c>
      <c r="X28" s="142" t="s">
        <v>23</v>
      </c>
      <c r="Y28" s="28"/>
      <c r="Z28" s="66"/>
    </row>
    <row r="29" spans="1:26" ht="12.75" customHeight="1">
      <c r="A29" s="18"/>
      <c r="B29" s="20" t="s">
        <v>41</v>
      </c>
      <c r="C29" s="237">
        <v>3.546</v>
      </c>
      <c r="D29" s="237">
        <v>6.076</v>
      </c>
      <c r="E29" s="385">
        <v>5.664</v>
      </c>
      <c r="F29" s="235">
        <v>5.692</v>
      </c>
      <c r="G29" s="235">
        <v>5.694</v>
      </c>
      <c r="H29" s="235">
        <v>5.397</v>
      </c>
      <c r="I29" s="235">
        <v>5.11</v>
      </c>
      <c r="J29" s="235">
        <v>4.809</v>
      </c>
      <c r="K29" s="235">
        <v>4.502</v>
      </c>
      <c r="L29" s="235">
        <v>4.568</v>
      </c>
      <c r="M29" s="235">
        <v>4.601</v>
      </c>
      <c r="N29" s="235">
        <v>4.329</v>
      </c>
      <c r="O29" s="236">
        <v>4.032</v>
      </c>
      <c r="P29" s="236">
        <v>3.992</v>
      </c>
      <c r="Q29" s="235">
        <v>3.925</v>
      </c>
      <c r="R29" s="235">
        <v>3.753</v>
      </c>
      <c r="S29" s="235">
        <v>3.693</v>
      </c>
      <c r="T29" s="235">
        <v>3.809</v>
      </c>
      <c r="U29" s="235">
        <v>3.876</v>
      </c>
      <c r="V29" s="235">
        <v>3.987</v>
      </c>
      <c r="W29" s="182">
        <f t="shared" si="6"/>
        <v>2.8637770897832926</v>
      </c>
      <c r="X29" s="20" t="s">
        <v>41</v>
      </c>
      <c r="Y29" s="28"/>
      <c r="Z29" s="66"/>
    </row>
    <row r="30" spans="1:26" ht="12.75" customHeight="1">
      <c r="A30" s="18"/>
      <c r="B30" s="142" t="s">
        <v>24</v>
      </c>
      <c r="C30" s="272">
        <v>17.793</v>
      </c>
      <c r="D30" s="272">
        <v>23.22</v>
      </c>
      <c r="E30" s="384">
        <v>30.582</v>
      </c>
      <c r="F30" s="274">
        <v>25.429</v>
      </c>
      <c r="G30" s="274">
        <v>24.269</v>
      </c>
      <c r="H30" s="274">
        <v>19.402</v>
      </c>
      <c r="I30" s="274">
        <v>18.313</v>
      </c>
      <c r="J30" s="274">
        <v>18.879</v>
      </c>
      <c r="K30" s="274">
        <v>18.356</v>
      </c>
      <c r="L30" s="274">
        <v>15.794</v>
      </c>
      <c r="M30" s="274">
        <v>13.422</v>
      </c>
      <c r="N30" s="274">
        <v>12.304</v>
      </c>
      <c r="O30" s="274">
        <v>11.632</v>
      </c>
      <c r="P30" s="274">
        <v>10.965</v>
      </c>
      <c r="Q30" s="274">
        <v>8.502</v>
      </c>
      <c r="R30" s="274">
        <v>8.497</v>
      </c>
      <c r="S30" s="274">
        <v>8.638</v>
      </c>
      <c r="T30" s="274">
        <v>7.985</v>
      </c>
      <c r="U30" s="274">
        <v>8.092</v>
      </c>
      <c r="V30" s="274">
        <v>7.476</v>
      </c>
      <c r="W30" s="181">
        <f t="shared" si="6"/>
        <v>-7.61245674740485</v>
      </c>
      <c r="X30" s="142" t="s">
        <v>24</v>
      </c>
      <c r="Y30" s="28"/>
      <c r="Z30" s="66"/>
    </row>
    <row r="31" spans="1:26" ht="12.75" customHeight="1">
      <c r="A31" s="18"/>
      <c r="B31" s="20" t="s">
        <v>26</v>
      </c>
      <c r="C31" s="242">
        <v>1.38</v>
      </c>
      <c r="D31" s="242">
        <v>1.436</v>
      </c>
      <c r="E31" s="386">
        <v>1.429</v>
      </c>
      <c r="F31" s="244">
        <v>0.814</v>
      </c>
      <c r="G31" s="244">
        <v>0.547</v>
      </c>
      <c r="H31" s="244">
        <v>0.566</v>
      </c>
      <c r="I31" s="244">
        <v>0.59</v>
      </c>
      <c r="J31" s="244">
        <v>0.595</v>
      </c>
      <c r="K31" s="244">
        <v>0.613</v>
      </c>
      <c r="L31" s="244">
        <v>0.616</v>
      </c>
      <c r="M31" s="244">
        <v>0.645</v>
      </c>
      <c r="N31" s="244">
        <v>0.623</v>
      </c>
      <c r="O31" s="244">
        <v>0.705</v>
      </c>
      <c r="P31" s="244">
        <v>0.715</v>
      </c>
      <c r="Q31" s="244">
        <v>0.749</v>
      </c>
      <c r="R31" s="244">
        <v>0.777</v>
      </c>
      <c r="S31" s="244">
        <v>0.764</v>
      </c>
      <c r="T31" s="244">
        <v>0.777</v>
      </c>
      <c r="U31" s="244">
        <v>0.796</v>
      </c>
      <c r="V31" s="244">
        <v>0.812</v>
      </c>
      <c r="W31" s="182">
        <f t="shared" si="6"/>
        <v>2.01005025125629</v>
      </c>
      <c r="X31" s="20" t="s">
        <v>26</v>
      </c>
      <c r="Y31" s="28"/>
      <c r="Z31" s="66"/>
    </row>
    <row r="32" spans="1:26" ht="12.75" customHeight="1">
      <c r="A32" s="18"/>
      <c r="B32" s="142" t="s">
        <v>25</v>
      </c>
      <c r="C32" s="272"/>
      <c r="D32" s="272"/>
      <c r="E32" s="384">
        <v>6.381</v>
      </c>
      <c r="F32" s="274">
        <v>6.002</v>
      </c>
      <c r="G32" s="274">
        <v>5.453</v>
      </c>
      <c r="H32" s="274">
        <v>4.569</v>
      </c>
      <c r="I32" s="274">
        <v>4.548</v>
      </c>
      <c r="J32" s="274">
        <v>4.202</v>
      </c>
      <c r="K32" s="274">
        <v>3.769</v>
      </c>
      <c r="L32" s="274">
        <v>3.095</v>
      </c>
      <c r="M32" s="274">
        <v>3.092</v>
      </c>
      <c r="N32" s="274">
        <v>2.968</v>
      </c>
      <c r="O32" s="274">
        <v>2.87</v>
      </c>
      <c r="P32" s="274">
        <v>2.805</v>
      </c>
      <c r="Q32" s="274">
        <v>2.682</v>
      </c>
      <c r="R32" s="274">
        <v>2.316</v>
      </c>
      <c r="S32" s="274">
        <v>2.228</v>
      </c>
      <c r="T32" s="274">
        <v>2.182</v>
      </c>
      <c r="U32" s="274">
        <v>2.213</v>
      </c>
      <c r="V32" s="274">
        <v>2.165</v>
      </c>
      <c r="W32" s="181">
        <f t="shared" si="6"/>
        <v>-2.1690013556258436</v>
      </c>
      <c r="X32" s="142" t="s">
        <v>25</v>
      </c>
      <c r="Y32" s="28"/>
      <c r="Z32" s="66"/>
    </row>
    <row r="33" spans="1:26" ht="12.75" customHeight="1">
      <c r="A33" s="18"/>
      <c r="B33" s="20" t="s">
        <v>42</v>
      </c>
      <c r="C33" s="242">
        <v>2.156</v>
      </c>
      <c r="D33" s="242">
        <v>3.216</v>
      </c>
      <c r="E33" s="386">
        <v>3.331</v>
      </c>
      <c r="F33" s="244">
        <v>3.23</v>
      </c>
      <c r="G33" s="244">
        <v>3.057</v>
      </c>
      <c r="H33" s="244">
        <v>3.007</v>
      </c>
      <c r="I33" s="244">
        <v>3.037</v>
      </c>
      <c r="J33" s="244">
        <v>3.184</v>
      </c>
      <c r="K33" s="244">
        <v>3.254</v>
      </c>
      <c r="L33" s="244">
        <v>3.376</v>
      </c>
      <c r="M33" s="244">
        <v>3.377</v>
      </c>
      <c r="N33" s="244">
        <v>3.415</v>
      </c>
      <c r="O33" s="244">
        <v>3.405</v>
      </c>
      <c r="P33" s="244">
        <v>3.282</v>
      </c>
      <c r="Q33" s="244">
        <v>3.318</v>
      </c>
      <c r="R33" s="244">
        <v>3.338</v>
      </c>
      <c r="S33" s="244">
        <v>3.352</v>
      </c>
      <c r="T33" s="244">
        <v>3.478</v>
      </c>
      <c r="U33" s="244">
        <v>3.54</v>
      </c>
      <c r="V33" s="244">
        <v>3.778</v>
      </c>
      <c r="W33" s="182">
        <f t="shared" si="6"/>
        <v>6.723163841807911</v>
      </c>
      <c r="X33" s="20" t="s">
        <v>42</v>
      </c>
      <c r="Y33" s="28"/>
      <c r="Z33" s="66"/>
    </row>
    <row r="34" spans="1:26" ht="12.75" customHeight="1">
      <c r="A34" s="18"/>
      <c r="B34" s="142" t="s">
        <v>43</v>
      </c>
      <c r="C34" s="272">
        <v>4.64</v>
      </c>
      <c r="D34" s="272">
        <v>6.998</v>
      </c>
      <c r="E34" s="384">
        <v>6.6</v>
      </c>
      <c r="F34" s="274">
        <v>5.985</v>
      </c>
      <c r="G34" s="274">
        <v>5.963</v>
      </c>
      <c r="H34" s="274">
        <v>6.422</v>
      </c>
      <c r="I34" s="274">
        <v>6.507</v>
      </c>
      <c r="J34" s="274">
        <v>6.833</v>
      </c>
      <c r="K34" s="274">
        <v>6.953</v>
      </c>
      <c r="L34" s="274">
        <v>7.022</v>
      </c>
      <c r="M34" s="274">
        <v>7.21</v>
      </c>
      <c r="N34" s="274">
        <v>7.701</v>
      </c>
      <c r="O34" s="274">
        <v>8.243</v>
      </c>
      <c r="P34" s="274">
        <v>8.732</v>
      </c>
      <c r="Q34" s="274">
        <v>8.874</v>
      </c>
      <c r="R34" s="274">
        <v>8.834</v>
      </c>
      <c r="S34" s="274">
        <v>8.658</v>
      </c>
      <c r="T34" s="274">
        <v>8.936</v>
      </c>
      <c r="U34" s="274">
        <v>9.617</v>
      </c>
      <c r="V34" s="274">
        <v>10.27</v>
      </c>
      <c r="W34" s="181">
        <f t="shared" si="6"/>
        <v>6.790059270042614</v>
      </c>
      <c r="X34" s="142" t="s">
        <v>43</v>
      </c>
      <c r="Y34" s="28"/>
      <c r="Z34" s="66"/>
    </row>
    <row r="35" spans="1:26" ht="12.75" customHeight="1">
      <c r="A35" s="18"/>
      <c r="B35" s="21" t="s">
        <v>31</v>
      </c>
      <c r="C35" s="242">
        <v>30.6</v>
      </c>
      <c r="D35" s="242">
        <v>30.5</v>
      </c>
      <c r="E35" s="389">
        <v>33.4</v>
      </c>
      <c r="F35" s="250">
        <v>32.7</v>
      </c>
      <c r="G35" s="250">
        <v>31.9</v>
      </c>
      <c r="H35" s="250">
        <v>30.6</v>
      </c>
      <c r="I35" s="250">
        <v>28.9</v>
      </c>
      <c r="J35" s="250">
        <f>30.039+0.2317</f>
        <v>30.2707</v>
      </c>
      <c r="K35" s="250">
        <f>32.135+0.2128</f>
        <v>32.3478</v>
      </c>
      <c r="L35" s="250">
        <f>34.66+0.2256</f>
        <v>34.8856</v>
      </c>
      <c r="M35" s="250">
        <f>36.28+0.2172</f>
        <v>36.4972</v>
      </c>
      <c r="N35" s="250">
        <f>38.472+0.2217</f>
        <v>38.6937</v>
      </c>
      <c r="O35" s="250">
        <f>38.179+0.2271</f>
        <v>38.4061</v>
      </c>
      <c r="P35" s="250">
        <f>39.141+0.2397</f>
        <v>39.3807</v>
      </c>
      <c r="Q35" s="250">
        <f>39.687+0.2363</f>
        <v>39.9233</v>
      </c>
      <c r="R35" s="250">
        <f>40.931+0.233</f>
        <v>41.163999999999994</v>
      </c>
      <c r="S35" s="250">
        <v>43.348</v>
      </c>
      <c r="T35" s="250">
        <v>44.415</v>
      </c>
      <c r="U35" s="250">
        <v>47.037</v>
      </c>
      <c r="V35" s="250">
        <v>50.105</v>
      </c>
      <c r="W35" s="257">
        <f t="shared" si="6"/>
        <v>6.522524820885689</v>
      </c>
      <c r="X35" s="21" t="s">
        <v>31</v>
      </c>
      <c r="Y35" s="28"/>
      <c r="Z35" s="66"/>
    </row>
    <row r="36" spans="1:26" ht="12.75" customHeight="1">
      <c r="A36" s="18"/>
      <c r="B36" s="142" t="s">
        <v>50</v>
      </c>
      <c r="C36" s="283">
        <v>3.732</v>
      </c>
      <c r="D36" s="283">
        <v>3.619</v>
      </c>
      <c r="E36" s="274">
        <v>3.429</v>
      </c>
      <c r="F36" s="274">
        <v>1.427</v>
      </c>
      <c r="G36" s="274">
        <v>1.145</v>
      </c>
      <c r="H36" s="274">
        <v>1.094</v>
      </c>
      <c r="I36" s="274">
        <v>1.182</v>
      </c>
      <c r="J36" s="274">
        <v>1.139</v>
      </c>
      <c r="K36" s="274">
        <v>1.205</v>
      </c>
      <c r="L36" s="274">
        <v>1.158</v>
      </c>
      <c r="M36" s="274">
        <v>1.092</v>
      </c>
      <c r="N36" s="274">
        <v>1.137</v>
      </c>
      <c r="O36" s="274">
        <v>1.252</v>
      </c>
      <c r="P36" s="274">
        <v>1.241</v>
      </c>
      <c r="Q36" s="274">
        <v>1.195</v>
      </c>
      <c r="R36" s="274">
        <v>1.163</v>
      </c>
      <c r="S36" s="274">
        <v>1.213</v>
      </c>
      <c r="T36" s="274">
        <v>1.266</v>
      </c>
      <c r="U36" s="274">
        <v>1.362</v>
      </c>
      <c r="V36" s="383">
        <v>1.611</v>
      </c>
      <c r="W36" s="181">
        <f t="shared" si="6"/>
        <v>18.281938325991188</v>
      </c>
      <c r="X36" s="142" t="s">
        <v>50</v>
      </c>
      <c r="Y36" s="28"/>
      <c r="Z36" s="66"/>
    </row>
    <row r="37" spans="1:26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0.1</v>
      </c>
      <c r="K37" s="236">
        <v>0.1</v>
      </c>
      <c r="L37" s="236">
        <v>0.1</v>
      </c>
      <c r="M37" s="236">
        <v>0.1</v>
      </c>
      <c r="N37" s="236">
        <v>0.1</v>
      </c>
      <c r="O37" s="236">
        <v>0.1</v>
      </c>
      <c r="P37" s="236">
        <v>0.08</v>
      </c>
      <c r="Q37" s="235">
        <v>0.098</v>
      </c>
      <c r="R37" s="235">
        <v>0.092</v>
      </c>
      <c r="S37" s="235">
        <v>0.094</v>
      </c>
      <c r="T37" s="235">
        <v>0.094</v>
      </c>
      <c r="U37" s="235">
        <v>0.101</v>
      </c>
      <c r="V37" s="322">
        <v>0.109</v>
      </c>
      <c r="W37" s="182">
        <f t="shared" si="6"/>
        <v>7.920792079207906</v>
      </c>
      <c r="X37" s="20" t="s">
        <v>9</v>
      </c>
      <c r="Y37" s="28"/>
      <c r="Z37" s="66"/>
    </row>
    <row r="38" spans="1:26" ht="12.75" customHeight="1">
      <c r="A38" s="18"/>
      <c r="B38" s="143" t="s">
        <v>27</v>
      </c>
      <c r="C38" s="281">
        <v>5.561</v>
      </c>
      <c r="D38" s="281">
        <v>6.011</v>
      </c>
      <c r="E38" s="282">
        <v>6.41</v>
      </c>
      <c r="F38" s="282">
        <v>6.048</v>
      </c>
      <c r="G38" s="282">
        <v>6.259</v>
      </c>
      <c r="H38" s="282">
        <v>7.147</v>
      </c>
      <c r="I38" s="282">
        <v>6.335</v>
      </c>
      <c r="J38" s="282">
        <v>5.797</v>
      </c>
      <c r="K38" s="282">
        <v>5.229</v>
      </c>
      <c r="L38" s="282">
        <v>5.84</v>
      </c>
      <c r="M38" s="282">
        <v>6.16</v>
      </c>
      <c r="N38" s="282">
        <v>6.146</v>
      </c>
      <c r="O38" s="282">
        <v>5.832</v>
      </c>
      <c r="P38" s="282">
        <v>5.568</v>
      </c>
      <c r="Q38" s="282">
        <v>5.204</v>
      </c>
      <c r="R38" s="282">
        <v>5.878</v>
      </c>
      <c r="S38" s="282">
        <v>5.237</v>
      </c>
      <c r="T38" s="282">
        <v>5.036</v>
      </c>
      <c r="U38" s="282">
        <v>5.277</v>
      </c>
      <c r="V38" s="321">
        <v>5.553</v>
      </c>
      <c r="W38" s="258">
        <f t="shared" si="6"/>
        <v>5.230244457077871</v>
      </c>
      <c r="X38" s="143" t="s">
        <v>27</v>
      </c>
      <c r="Y38" s="28"/>
      <c r="Z38" s="66"/>
    </row>
    <row r="39" spans="1:26" ht="12.75" customHeight="1">
      <c r="A39" s="18"/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  <c r="Y39" s="71"/>
      <c r="Z39" s="27"/>
    </row>
    <row r="40" spans="1:26" ht="12.75" customHeight="1">
      <c r="A40" s="18"/>
      <c r="B40" s="142" t="s">
        <v>44</v>
      </c>
      <c r="C40" s="272">
        <v>1.86</v>
      </c>
      <c r="D40" s="272">
        <v>2.394</v>
      </c>
      <c r="E40" s="274">
        <v>2.104</v>
      </c>
      <c r="F40" s="274">
        <v>2.15</v>
      </c>
      <c r="G40" s="274">
        <v>2.256</v>
      </c>
      <c r="H40" s="274">
        <v>2.316</v>
      </c>
      <c r="I40" s="274">
        <v>2.398</v>
      </c>
      <c r="J40" s="274">
        <v>2.381</v>
      </c>
      <c r="K40" s="274">
        <v>2.449</v>
      </c>
      <c r="L40" s="274">
        <v>2.561</v>
      </c>
      <c r="M40" s="274">
        <v>2.59</v>
      </c>
      <c r="N40" s="274">
        <v>2.674</v>
      </c>
      <c r="O40" s="274">
        <v>2.635</v>
      </c>
      <c r="P40" s="274">
        <v>2.677</v>
      </c>
      <c r="Q40" s="274">
        <v>2.477</v>
      </c>
      <c r="R40" s="274">
        <v>2.381</v>
      </c>
      <c r="S40" s="274">
        <v>2.62</v>
      </c>
      <c r="T40" s="274">
        <v>2.723</v>
      </c>
      <c r="U40" s="274">
        <v>2.833</v>
      </c>
      <c r="V40" s="274">
        <v>2.91</v>
      </c>
      <c r="W40" s="181">
        <f>100*(V40/U40-1)</f>
        <v>2.717966819625839</v>
      </c>
      <c r="X40" s="142" t="s">
        <v>44</v>
      </c>
      <c r="Y40" s="28"/>
      <c r="Z40" s="66"/>
    </row>
    <row r="41" spans="1:26" ht="12.75" customHeight="1">
      <c r="A41" s="18"/>
      <c r="B41" s="21" t="s">
        <v>14</v>
      </c>
      <c r="C41" s="253">
        <v>9.339</v>
      </c>
      <c r="D41" s="253">
        <v>9.964</v>
      </c>
      <c r="E41" s="254">
        <v>12.68</v>
      </c>
      <c r="F41" s="254">
        <v>13.83</v>
      </c>
      <c r="G41" s="254">
        <v>13.21</v>
      </c>
      <c r="H41" s="254">
        <v>13.38</v>
      </c>
      <c r="I41" s="254">
        <v>13.84</v>
      </c>
      <c r="J41" s="254">
        <v>11.71</v>
      </c>
      <c r="K41" s="254">
        <v>11.89</v>
      </c>
      <c r="L41" s="254">
        <v>12.05</v>
      </c>
      <c r="M41" s="254">
        <v>12.15</v>
      </c>
      <c r="N41" s="254">
        <v>12.5</v>
      </c>
      <c r="O41" s="254">
        <v>12.62</v>
      </c>
      <c r="P41" s="254">
        <v>13.301</v>
      </c>
      <c r="Q41" s="254">
        <v>14.147</v>
      </c>
      <c r="R41" s="254">
        <v>14.509</v>
      </c>
      <c r="S41" s="254">
        <v>14.914</v>
      </c>
      <c r="T41" s="254">
        <v>16.144</v>
      </c>
      <c r="U41" s="254">
        <v>16.802</v>
      </c>
      <c r="V41" s="256">
        <v>17</v>
      </c>
      <c r="W41" s="257">
        <f>100*(V41/U41-1)</f>
        <v>1.1784311391501046</v>
      </c>
      <c r="X41" s="21" t="s">
        <v>14</v>
      </c>
      <c r="Y41" s="28"/>
      <c r="Z41" s="66"/>
    </row>
    <row r="42" spans="2:25" ht="27.75" customHeight="1">
      <c r="B42" s="401" t="s">
        <v>111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</row>
    <row r="43" spans="2:18" ht="12.75" customHeight="1">
      <c r="B43" s="2" t="s">
        <v>10</v>
      </c>
      <c r="C43" s="68"/>
      <c r="D43" s="64"/>
      <c r="E43" s="68"/>
      <c r="F43" s="68"/>
      <c r="G43" s="68"/>
      <c r="H43" s="68"/>
      <c r="I43" s="68"/>
      <c r="J43" s="34"/>
      <c r="K43" s="62"/>
      <c r="L43" s="68"/>
      <c r="M43" s="68"/>
      <c r="N43" s="34"/>
      <c r="O43" s="34"/>
      <c r="P43" s="34"/>
      <c r="Q43" s="34"/>
      <c r="R43" s="34"/>
    </row>
    <row r="44" spans="2:23" ht="12.75" customHeight="1">
      <c r="B44" s="11" t="s">
        <v>99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2:23" ht="12.75" customHeight="1">
      <c r="B45" s="11" t="s">
        <v>106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2:2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</sheetData>
  <mergeCells count="2">
    <mergeCell ref="B2:X2"/>
    <mergeCell ref="B42:Y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52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.140625" style="0" customWidth="1"/>
    <col min="3" max="13" width="6.28125" style="0" customWidth="1"/>
    <col min="14" max="14" width="7.7109375" style="0" customWidth="1"/>
    <col min="15" max="15" width="5.00390625" style="0" customWidth="1"/>
    <col min="16" max="16" width="2.5742187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04"/>
      <c r="C1" s="404"/>
      <c r="D1" s="164"/>
      <c r="E1" s="72"/>
      <c r="F1" s="72"/>
      <c r="G1" s="72"/>
      <c r="H1" s="72"/>
      <c r="I1" s="72"/>
      <c r="J1" s="72"/>
      <c r="K1" s="72"/>
      <c r="L1" s="72"/>
      <c r="M1" s="73"/>
      <c r="O1" s="428" t="s">
        <v>56</v>
      </c>
      <c r="P1" s="428"/>
    </row>
    <row r="2" spans="2:15" s="25" customFormat="1" ht="30" customHeight="1">
      <c r="B2" s="425" t="s">
        <v>76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2:14" ht="10.5" customHeight="1">
      <c r="B3" s="423" t="s">
        <v>7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2:16" ht="24.75" customHeight="1">
      <c r="B4" s="74"/>
      <c r="C4" s="98" t="s">
        <v>33</v>
      </c>
      <c r="D4" s="98" t="s">
        <v>17</v>
      </c>
      <c r="E4" s="98" t="s">
        <v>34</v>
      </c>
      <c r="F4" s="99" t="s">
        <v>35</v>
      </c>
      <c r="G4" s="98" t="s">
        <v>36</v>
      </c>
      <c r="H4" s="98" t="s">
        <v>38</v>
      </c>
      <c r="I4" s="98" t="s">
        <v>30</v>
      </c>
      <c r="J4" s="98" t="s">
        <v>41</v>
      </c>
      <c r="K4" s="98" t="s">
        <v>42</v>
      </c>
      <c r="L4" s="98" t="s">
        <v>43</v>
      </c>
      <c r="M4" s="99" t="s">
        <v>31</v>
      </c>
      <c r="N4" s="207" t="s">
        <v>79</v>
      </c>
      <c r="O4" s="426" t="s">
        <v>115</v>
      </c>
      <c r="P4" s="427"/>
    </row>
    <row r="5" spans="2:16" ht="15" customHeight="1">
      <c r="B5" s="100">
        <v>2007</v>
      </c>
      <c r="C5" s="186">
        <v>1.018</v>
      </c>
      <c r="D5" s="186">
        <v>0.329</v>
      </c>
      <c r="E5" s="186">
        <v>21.919</v>
      </c>
      <c r="F5" s="186">
        <v>6.024</v>
      </c>
      <c r="G5" s="186">
        <v>47.966</v>
      </c>
      <c r="H5" s="186">
        <v>8.818</v>
      </c>
      <c r="I5" s="186">
        <v>0.8</v>
      </c>
      <c r="J5" s="186">
        <v>0.506</v>
      </c>
      <c r="K5" s="186">
        <v>0.58</v>
      </c>
      <c r="L5" s="186">
        <v>2.775</v>
      </c>
      <c r="M5" s="186">
        <v>1.392</v>
      </c>
      <c r="N5" s="215">
        <f>SUM(C5:M5)</f>
        <v>92.127</v>
      </c>
      <c r="O5" s="211">
        <f>100*(N5/N6-1)</f>
        <v>2.0413362279030567</v>
      </c>
      <c r="P5" s="212" t="s">
        <v>46</v>
      </c>
    </row>
    <row r="6" spans="2:16" ht="15" customHeight="1">
      <c r="B6" s="101">
        <v>2006</v>
      </c>
      <c r="C6" s="185">
        <v>1</v>
      </c>
      <c r="D6" s="185">
        <v>0.148</v>
      </c>
      <c r="E6" s="185">
        <v>21.635</v>
      </c>
      <c r="F6" s="185">
        <v>8.467</v>
      </c>
      <c r="G6" s="185">
        <v>45.052</v>
      </c>
      <c r="H6" s="185">
        <v>8.912</v>
      </c>
      <c r="I6" s="185">
        <v>0.733</v>
      </c>
      <c r="J6" s="185">
        <v>0.508</v>
      </c>
      <c r="K6" s="185">
        <v>0.435</v>
      </c>
      <c r="L6" s="185">
        <v>2.49</v>
      </c>
      <c r="M6" s="185">
        <v>0.904</v>
      </c>
      <c r="N6" s="216">
        <f aca="true" t="shared" si="0" ref="N6:N22">SUM(C6:M6)</f>
        <v>90.28399999999999</v>
      </c>
      <c r="O6" s="211">
        <f aca="true" t="shared" si="1" ref="O6:O21">100*(N6/N7-1)</f>
        <v>12.695817158263933</v>
      </c>
      <c r="P6" s="212" t="s">
        <v>46</v>
      </c>
    </row>
    <row r="7" spans="2:16" ht="15" customHeight="1">
      <c r="B7" s="101">
        <v>2005</v>
      </c>
      <c r="C7" s="185">
        <v>0.982</v>
      </c>
      <c r="D7" s="185">
        <v>0.006</v>
      </c>
      <c r="E7" s="185">
        <v>20.853</v>
      </c>
      <c r="F7" s="185">
        <v>2.324</v>
      </c>
      <c r="G7" s="185">
        <v>43.13</v>
      </c>
      <c r="H7" s="185">
        <v>8.55</v>
      </c>
      <c r="I7" s="185">
        <v>0.687</v>
      </c>
      <c r="J7" s="185">
        <v>0.49</v>
      </c>
      <c r="K7" s="185">
        <v>0.311</v>
      </c>
      <c r="L7" s="185">
        <v>2.33</v>
      </c>
      <c r="M7" s="187">
        <v>0.45</v>
      </c>
      <c r="N7" s="216">
        <f t="shared" si="0"/>
        <v>80.113</v>
      </c>
      <c r="O7" s="211">
        <f t="shared" si="1"/>
        <v>5.258109865853822</v>
      </c>
      <c r="P7" s="212" t="s">
        <v>46</v>
      </c>
    </row>
    <row r="8" spans="2:26" ht="15" customHeight="1">
      <c r="B8" s="101">
        <v>2004</v>
      </c>
      <c r="C8" s="185">
        <v>0.94</v>
      </c>
      <c r="D8" s="185">
        <v>0.001</v>
      </c>
      <c r="E8" s="185">
        <v>19.604</v>
      </c>
      <c r="F8" s="185">
        <v>2.085</v>
      </c>
      <c r="G8" s="185">
        <v>41.439</v>
      </c>
      <c r="H8" s="185">
        <v>7.925</v>
      </c>
      <c r="I8" s="185">
        <v>0.657</v>
      </c>
      <c r="J8" s="185">
        <v>0.436</v>
      </c>
      <c r="K8" s="185">
        <v>0.162</v>
      </c>
      <c r="L8" s="185">
        <v>2.422</v>
      </c>
      <c r="M8" s="185">
        <v>0.44</v>
      </c>
      <c r="N8" s="216">
        <f t="shared" si="0"/>
        <v>76.111</v>
      </c>
      <c r="O8" s="211">
        <f t="shared" si="1"/>
        <v>7.712882636815199</v>
      </c>
      <c r="P8" s="212" t="s">
        <v>46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101">
        <v>2003</v>
      </c>
      <c r="C9" s="185">
        <v>0.878</v>
      </c>
      <c r="D9" s="188" t="s">
        <v>47</v>
      </c>
      <c r="E9" s="185">
        <v>17.457</v>
      </c>
      <c r="F9" s="185">
        <v>2.027</v>
      </c>
      <c r="G9" s="185">
        <v>39.604</v>
      </c>
      <c r="H9" s="185">
        <v>7.431</v>
      </c>
      <c r="I9" s="185">
        <v>0.664</v>
      </c>
      <c r="J9" s="188" t="s">
        <v>47</v>
      </c>
      <c r="K9" s="185">
        <v>0.2</v>
      </c>
      <c r="L9" s="185">
        <v>2.4</v>
      </c>
      <c r="M9" s="185"/>
      <c r="N9" s="216">
        <f t="shared" si="0"/>
        <v>70.66100000000002</v>
      </c>
      <c r="O9" s="211">
        <f t="shared" si="1"/>
        <v>3.9055951768252495</v>
      </c>
      <c r="P9" s="212" t="s">
        <v>46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101">
        <v>2002</v>
      </c>
      <c r="C10" s="185">
        <v>0.909</v>
      </c>
      <c r="D10" s="188" t="s">
        <v>47</v>
      </c>
      <c r="E10" s="185">
        <v>15.255</v>
      </c>
      <c r="F10" s="185">
        <v>2.181</v>
      </c>
      <c r="G10" s="185">
        <v>39.856</v>
      </c>
      <c r="H10" s="185">
        <v>7.078</v>
      </c>
      <c r="I10" s="185">
        <v>0.201</v>
      </c>
      <c r="J10" s="188" t="s">
        <v>47</v>
      </c>
      <c r="K10" s="185">
        <v>0.135</v>
      </c>
      <c r="L10" s="185">
        <v>2.39</v>
      </c>
      <c r="M10" s="185"/>
      <c r="N10" s="216">
        <f t="shared" si="0"/>
        <v>68.00500000000001</v>
      </c>
      <c r="O10" s="211">
        <f t="shared" si="1"/>
        <v>4.4206614869637395</v>
      </c>
      <c r="P10" s="212" t="s">
        <v>46</v>
      </c>
    </row>
    <row r="11" spans="2:16" ht="15" customHeight="1">
      <c r="B11" s="101">
        <v>2001</v>
      </c>
      <c r="C11" s="185">
        <v>0.889</v>
      </c>
      <c r="D11" s="188" t="s">
        <v>47</v>
      </c>
      <c r="E11" s="185">
        <v>15.515</v>
      </c>
      <c r="F11" s="185">
        <v>2.077</v>
      </c>
      <c r="G11" s="185">
        <v>37.404</v>
      </c>
      <c r="H11" s="185">
        <v>6.763</v>
      </c>
      <c r="I11" s="185">
        <v>0.191</v>
      </c>
      <c r="J11" s="188" t="s">
        <v>47</v>
      </c>
      <c r="K11" s="185">
        <v>0.06</v>
      </c>
      <c r="L11" s="185">
        <v>2.227</v>
      </c>
      <c r="M11" s="185"/>
      <c r="N11" s="216">
        <f t="shared" si="0"/>
        <v>65.126</v>
      </c>
      <c r="O11" s="211">
        <f t="shared" si="1"/>
        <v>10.766038506020848</v>
      </c>
      <c r="P11" s="212" t="s">
        <v>46</v>
      </c>
    </row>
    <row r="12" spans="2:16" ht="15" customHeight="1">
      <c r="B12" s="101">
        <v>2000</v>
      </c>
      <c r="C12" s="185">
        <v>0.865</v>
      </c>
      <c r="D12" s="188" t="s">
        <v>47</v>
      </c>
      <c r="E12" s="185">
        <v>13.925</v>
      </c>
      <c r="F12" s="185">
        <v>1.942</v>
      </c>
      <c r="G12" s="185">
        <v>34.747</v>
      </c>
      <c r="H12" s="185">
        <v>5.086</v>
      </c>
      <c r="I12" s="185">
        <v>0.113</v>
      </c>
      <c r="J12" s="188" t="s">
        <v>47</v>
      </c>
      <c r="K12" s="185">
        <v>0.071</v>
      </c>
      <c r="L12" s="185">
        <v>2.047</v>
      </c>
      <c r="M12" s="185"/>
      <c r="N12" s="216">
        <f t="shared" si="0"/>
        <v>58.79599999999999</v>
      </c>
      <c r="O12" s="211">
        <f t="shared" si="1"/>
        <v>11.58641893302461</v>
      </c>
      <c r="P12" s="212" t="s">
        <v>46</v>
      </c>
    </row>
    <row r="13" spans="2:16" ht="15" customHeight="1">
      <c r="B13" s="101">
        <v>1999</v>
      </c>
      <c r="C13" s="184">
        <v>0.804</v>
      </c>
      <c r="D13" s="188" t="s">
        <v>47</v>
      </c>
      <c r="E13" s="185">
        <v>11.591</v>
      </c>
      <c r="F13" s="185">
        <v>1.674</v>
      </c>
      <c r="G13" s="185">
        <v>32.192</v>
      </c>
      <c r="H13" s="185">
        <v>4.464</v>
      </c>
      <c r="I13" s="185">
        <v>0.1</v>
      </c>
      <c r="J13" s="188" t="s">
        <v>47</v>
      </c>
      <c r="K13" s="185">
        <v>0.054</v>
      </c>
      <c r="L13" s="185">
        <v>1.812</v>
      </c>
      <c r="M13" s="185"/>
      <c r="N13" s="216">
        <f t="shared" si="0"/>
        <v>52.690999999999995</v>
      </c>
      <c r="O13" s="211">
        <f t="shared" si="1"/>
        <v>8.715208286050302</v>
      </c>
      <c r="P13" s="212" t="s">
        <v>46</v>
      </c>
    </row>
    <row r="14" spans="2:16" ht="15" customHeight="1">
      <c r="B14" s="101">
        <v>1998</v>
      </c>
      <c r="C14" s="184">
        <v>0.788</v>
      </c>
      <c r="D14" s="188" t="s">
        <v>47</v>
      </c>
      <c r="E14" s="185">
        <v>10.155</v>
      </c>
      <c r="F14" s="185">
        <v>1.516</v>
      </c>
      <c r="G14" s="185">
        <v>30.619</v>
      </c>
      <c r="H14" s="185">
        <v>3.638</v>
      </c>
      <c r="I14" s="185">
        <v>0.09</v>
      </c>
      <c r="J14" s="188" t="s">
        <v>47</v>
      </c>
      <c r="K14" s="185">
        <v>0.056</v>
      </c>
      <c r="L14" s="185">
        <v>1.605</v>
      </c>
      <c r="M14" s="185"/>
      <c r="N14" s="216">
        <f t="shared" si="0"/>
        <v>48.467</v>
      </c>
      <c r="O14" s="211">
        <f t="shared" si="1"/>
        <v>11.721451293163042</v>
      </c>
      <c r="P14" s="212" t="s">
        <v>46</v>
      </c>
    </row>
    <row r="15" spans="2:16" ht="15" customHeight="1">
      <c r="B15" s="101">
        <v>1997</v>
      </c>
      <c r="C15" s="184">
        <v>0.555</v>
      </c>
      <c r="D15" s="188" t="s">
        <v>47</v>
      </c>
      <c r="E15" s="185">
        <v>10.073</v>
      </c>
      <c r="F15" s="185">
        <v>1.3</v>
      </c>
      <c r="G15" s="185">
        <v>27.6</v>
      </c>
      <c r="H15" s="185">
        <v>2.4</v>
      </c>
      <c r="I15" s="188">
        <v>0.073</v>
      </c>
      <c r="J15" s="188" t="s">
        <v>47</v>
      </c>
      <c r="K15" s="188">
        <v>0.053</v>
      </c>
      <c r="L15" s="185">
        <v>1.328</v>
      </c>
      <c r="M15" s="185"/>
      <c r="N15" s="216">
        <f t="shared" si="0"/>
        <v>43.382000000000005</v>
      </c>
      <c r="O15" s="211">
        <f t="shared" si="1"/>
        <v>15.645242982432773</v>
      </c>
      <c r="P15" s="212" t="s">
        <v>46</v>
      </c>
    </row>
    <row r="16" spans="2:16" ht="15" customHeight="1">
      <c r="B16" s="101">
        <v>1996</v>
      </c>
      <c r="C16" s="188">
        <v>0.32</v>
      </c>
      <c r="D16" s="188" t="s">
        <v>47</v>
      </c>
      <c r="E16" s="185">
        <v>8.85</v>
      </c>
      <c r="F16" s="185">
        <v>1.1</v>
      </c>
      <c r="G16" s="185">
        <v>24.787</v>
      </c>
      <c r="H16" s="185">
        <v>1.3</v>
      </c>
      <c r="I16" s="188">
        <v>0.031</v>
      </c>
      <c r="J16" s="188" t="s">
        <v>47</v>
      </c>
      <c r="K16" s="188">
        <v>0.024</v>
      </c>
      <c r="L16" s="185">
        <v>1.101</v>
      </c>
      <c r="M16" s="185"/>
      <c r="N16" s="216">
        <f t="shared" si="0"/>
        <v>37.513</v>
      </c>
      <c r="O16" s="211">
        <f t="shared" si="1"/>
        <v>14.212208859796016</v>
      </c>
      <c r="P16" s="212" t="s">
        <v>46</v>
      </c>
    </row>
    <row r="17" spans="2:16" ht="15" customHeight="1">
      <c r="B17" s="101">
        <v>1995</v>
      </c>
      <c r="C17" s="188" t="s">
        <v>47</v>
      </c>
      <c r="D17" s="188" t="s">
        <v>47</v>
      </c>
      <c r="E17" s="185">
        <v>8.7</v>
      </c>
      <c r="F17" s="185">
        <v>1.2</v>
      </c>
      <c r="G17" s="185">
        <v>21.43</v>
      </c>
      <c r="H17" s="185">
        <v>1.1</v>
      </c>
      <c r="I17" s="188" t="s">
        <v>47</v>
      </c>
      <c r="J17" s="188" t="s">
        <v>47</v>
      </c>
      <c r="K17" s="188" t="s">
        <v>47</v>
      </c>
      <c r="L17" s="185">
        <v>0.415</v>
      </c>
      <c r="M17" s="185"/>
      <c r="N17" s="216">
        <f t="shared" si="0"/>
        <v>32.845</v>
      </c>
      <c r="O17" s="211">
        <f t="shared" si="1"/>
        <v>6.969548933398451</v>
      </c>
      <c r="P17" s="212" t="s">
        <v>46</v>
      </c>
    </row>
    <row r="18" spans="2:16" ht="15" customHeight="1">
      <c r="B18" s="101">
        <v>1994</v>
      </c>
      <c r="C18" s="189" t="s">
        <v>47</v>
      </c>
      <c r="D18" s="188" t="s">
        <v>47</v>
      </c>
      <c r="E18" s="185">
        <v>8.2</v>
      </c>
      <c r="F18" s="185">
        <v>0.9</v>
      </c>
      <c r="G18" s="185">
        <v>20.5</v>
      </c>
      <c r="H18" s="185">
        <v>0.8</v>
      </c>
      <c r="I18" s="188" t="s">
        <v>47</v>
      </c>
      <c r="J18" s="188" t="s">
        <v>47</v>
      </c>
      <c r="K18" s="188" t="s">
        <v>47</v>
      </c>
      <c r="L18" s="185">
        <v>0.305</v>
      </c>
      <c r="M18" s="185"/>
      <c r="N18" s="216">
        <f t="shared" si="0"/>
        <v>30.705000000000002</v>
      </c>
      <c r="O18" s="211">
        <f t="shared" si="1"/>
        <v>11.362976933120583</v>
      </c>
      <c r="P18" s="212" t="s">
        <v>46</v>
      </c>
    </row>
    <row r="19" spans="2:16" ht="15" customHeight="1">
      <c r="B19" s="101">
        <v>1993</v>
      </c>
      <c r="C19" s="189" t="s">
        <v>47</v>
      </c>
      <c r="D19" s="188" t="s">
        <v>47</v>
      </c>
      <c r="E19" s="185">
        <v>7</v>
      </c>
      <c r="F19" s="185">
        <v>0.9</v>
      </c>
      <c r="G19" s="185">
        <v>18.9</v>
      </c>
      <c r="H19" s="185">
        <v>0.5</v>
      </c>
      <c r="I19" s="188" t="s">
        <v>47</v>
      </c>
      <c r="J19" s="188" t="s">
        <v>47</v>
      </c>
      <c r="K19" s="188" t="s">
        <v>47</v>
      </c>
      <c r="L19" s="185">
        <v>0.272</v>
      </c>
      <c r="M19" s="188" t="s">
        <v>47</v>
      </c>
      <c r="N19" s="217">
        <f t="shared" si="0"/>
        <v>27.571999999999996</v>
      </c>
      <c r="O19" s="211">
        <f t="shared" si="1"/>
        <v>9.612785242903698</v>
      </c>
      <c r="P19" s="212" t="s">
        <v>46</v>
      </c>
    </row>
    <row r="20" spans="2:16" ht="15" customHeight="1">
      <c r="B20" s="101">
        <v>1992</v>
      </c>
      <c r="C20" s="189" t="s">
        <v>47</v>
      </c>
      <c r="D20" s="188" t="s">
        <v>47</v>
      </c>
      <c r="E20" s="185">
        <v>5.2</v>
      </c>
      <c r="F20" s="185">
        <v>0.4</v>
      </c>
      <c r="G20" s="185">
        <v>19</v>
      </c>
      <c r="H20" s="185">
        <v>0.4</v>
      </c>
      <c r="I20" s="188" t="s">
        <v>47</v>
      </c>
      <c r="J20" s="188" t="s">
        <v>47</v>
      </c>
      <c r="K20" s="188" t="s">
        <v>47</v>
      </c>
      <c r="L20" s="185">
        <v>0.154</v>
      </c>
      <c r="M20" s="188" t="s">
        <v>47</v>
      </c>
      <c r="N20" s="217">
        <f t="shared" si="0"/>
        <v>25.154</v>
      </c>
      <c r="O20" s="211">
        <f t="shared" si="1"/>
        <v>23.34019809747967</v>
      </c>
      <c r="P20" s="212" t="s">
        <v>46</v>
      </c>
    </row>
    <row r="21" spans="2:16" ht="15" customHeight="1">
      <c r="B21" s="101">
        <v>1991</v>
      </c>
      <c r="C21" s="189" t="s">
        <v>47</v>
      </c>
      <c r="D21" s="188" t="s">
        <v>47</v>
      </c>
      <c r="E21" s="185">
        <v>2</v>
      </c>
      <c r="F21" s="188" t="s">
        <v>47</v>
      </c>
      <c r="G21" s="185">
        <v>17.9</v>
      </c>
      <c r="H21" s="185">
        <v>0.4</v>
      </c>
      <c r="I21" s="188" t="s">
        <v>47</v>
      </c>
      <c r="J21" s="188" t="s">
        <v>47</v>
      </c>
      <c r="K21" s="188" t="s">
        <v>47</v>
      </c>
      <c r="L21" s="185">
        <v>0.094</v>
      </c>
      <c r="M21" s="188" t="s">
        <v>47</v>
      </c>
      <c r="N21" s="217">
        <f t="shared" si="0"/>
        <v>20.394</v>
      </c>
      <c r="O21" s="211">
        <f t="shared" si="1"/>
        <v>34.11811127186635</v>
      </c>
      <c r="P21" s="212" t="s">
        <v>46</v>
      </c>
    </row>
    <row r="22" spans="2:16" ht="15" customHeight="1">
      <c r="B22" s="102">
        <v>1990</v>
      </c>
      <c r="C22" s="190" t="s">
        <v>47</v>
      </c>
      <c r="D22" s="191" t="s">
        <v>47</v>
      </c>
      <c r="E22" s="191" t="s">
        <v>47</v>
      </c>
      <c r="F22" s="191" t="s">
        <v>47</v>
      </c>
      <c r="G22" s="192">
        <v>14.9</v>
      </c>
      <c r="H22" s="192">
        <v>0.3</v>
      </c>
      <c r="I22" s="191" t="s">
        <v>47</v>
      </c>
      <c r="J22" s="191" t="s">
        <v>47</v>
      </c>
      <c r="K22" s="191" t="s">
        <v>47</v>
      </c>
      <c r="L22" s="191">
        <v>0.006</v>
      </c>
      <c r="M22" s="191" t="s">
        <v>47</v>
      </c>
      <c r="N22" s="218">
        <f t="shared" si="0"/>
        <v>15.206000000000001</v>
      </c>
      <c r="O22" s="213"/>
      <c r="P22" s="214"/>
    </row>
    <row r="23" spans="2:26" ht="15" customHeight="1">
      <c r="B23" s="11" t="s">
        <v>112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25.5" customHeight="1">
      <c r="B24" s="429" t="s">
        <v>120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30" customHeight="1">
      <c r="B25" s="76"/>
      <c r="C25" s="40"/>
      <c r="D25" s="40"/>
      <c r="E25" s="40"/>
      <c r="F25" s="40"/>
      <c r="G25" s="40"/>
      <c r="H25" s="40"/>
      <c r="I25" s="75"/>
      <c r="J25" s="75"/>
      <c r="K25" s="40"/>
      <c r="L25" s="75"/>
      <c r="M25" s="40"/>
      <c r="N25" s="77"/>
      <c r="O25" s="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5" customHeight="1">
      <c r="B26" s="403" t="s">
        <v>64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5" customHeight="1">
      <c r="B27" s="424" t="s">
        <v>46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24.75" customHeight="1">
      <c r="B28" s="76"/>
      <c r="C28" s="98" t="s">
        <v>33</v>
      </c>
      <c r="D28" s="98" t="s">
        <v>17</v>
      </c>
      <c r="E28" s="98" t="s">
        <v>34</v>
      </c>
      <c r="F28" s="99" t="s">
        <v>35</v>
      </c>
      <c r="G28" s="98" t="s">
        <v>36</v>
      </c>
      <c r="H28" s="98" t="s">
        <v>38</v>
      </c>
      <c r="I28" s="98" t="s">
        <v>30</v>
      </c>
      <c r="J28" s="98" t="s">
        <v>41</v>
      </c>
      <c r="K28" s="98" t="s">
        <v>42</v>
      </c>
      <c r="L28" s="98" t="s">
        <v>43</v>
      </c>
      <c r="M28" s="99" t="s">
        <v>31</v>
      </c>
      <c r="N28" s="207" t="s">
        <v>79</v>
      </c>
      <c r="O28" s="210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5" customHeight="1">
      <c r="B29" s="100">
        <v>2007</v>
      </c>
      <c r="C29" s="106">
        <f>100*C$5/C$45</f>
        <v>10.249388359191729</v>
      </c>
      <c r="D29" s="106">
        <f aca="true" t="shared" si="2" ref="D29:N29">100*D$5/D$45</f>
        <v>4.76949840533488</v>
      </c>
      <c r="E29" s="106">
        <f t="shared" si="2"/>
        <v>27.626670027728764</v>
      </c>
      <c r="F29" s="106">
        <f t="shared" si="2"/>
        <v>27.560964450748045</v>
      </c>
      <c r="G29" s="106">
        <f t="shared" si="2"/>
        <v>59.72680521485762</v>
      </c>
      <c r="H29" s="106">
        <f t="shared" si="2"/>
        <v>17.782528030975236</v>
      </c>
      <c r="I29" s="106">
        <f t="shared" si="2"/>
        <v>4.900459418070445</v>
      </c>
      <c r="J29" s="106">
        <f t="shared" si="2"/>
        <v>12.691246551291698</v>
      </c>
      <c r="K29" s="106">
        <f t="shared" si="2"/>
        <v>15.352038115404975</v>
      </c>
      <c r="L29" s="106">
        <f t="shared" si="2"/>
        <v>27.020447906523856</v>
      </c>
      <c r="M29" s="126">
        <f t="shared" si="2"/>
        <v>2.778165851711406</v>
      </c>
      <c r="N29" s="206">
        <f t="shared" si="2"/>
        <v>23.316072011121612</v>
      </c>
      <c r="O29" s="209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5" customHeight="1">
      <c r="B30" s="101">
        <v>2006</v>
      </c>
      <c r="C30" s="106">
        <f aca="true" t="shared" si="3" ref="C30:N30">100*C$6/C$46</f>
        <v>10.40907671489539</v>
      </c>
      <c r="D30" s="106">
        <f t="shared" si="3"/>
        <v>2.138110372724646</v>
      </c>
      <c r="E30" s="106">
        <f t="shared" si="3"/>
        <v>27.38780935502247</v>
      </c>
      <c r="F30" s="106">
        <f t="shared" si="3"/>
        <v>38.303551232752774</v>
      </c>
      <c r="G30" s="106">
        <f t="shared" si="3"/>
        <v>57.17839374555792</v>
      </c>
      <c r="H30" s="106">
        <f t="shared" si="3"/>
        <v>17.56197532810468</v>
      </c>
      <c r="I30" s="106">
        <f t="shared" si="3"/>
        <v>4.613254452766064</v>
      </c>
      <c r="J30" s="106">
        <f t="shared" si="3"/>
        <v>13.106295149638802</v>
      </c>
      <c r="K30" s="106">
        <f t="shared" si="3"/>
        <v>12.288135593220339</v>
      </c>
      <c r="L30" s="106">
        <f t="shared" si="3"/>
        <v>25.891650202765938</v>
      </c>
      <c r="M30" s="97">
        <f t="shared" si="3"/>
        <v>1.9218912770797458</v>
      </c>
      <c r="N30" s="206">
        <f t="shared" si="3"/>
        <v>23.17334409581557</v>
      </c>
      <c r="O30" s="209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5" customHeight="1">
      <c r="B31" s="101">
        <v>2005</v>
      </c>
      <c r="C31" s="106">
        <f aca="true" t="shared" si="4" ref="C31:N31">100*C$7/C$47</f>
        <v>10.73224043715847</v>
      </c>
      <c r="D31" s="106">
        <f t="shared" si="4"/>
        <v>0.08999550022498876</v>
      </c>
      <c r="E31" s="106">
        <f t="shared" si="4"/>
        <v>27.143861293345832</v>
      </c>
      <c r="F31" s="106">
        <f t="shared" si="4"/>
        <v>10.747317795042544</v>
      </c>
      <c r="G31" s="106">
        <f t="shared" si="4"/>
        <v>56.39899049337675</v>
      </c>
      <c r="H31" s="106">
        <f t="shared" si="4"/>
        <v>16.940756885278386</v>
      </c>
      <c r="I31" s="106">
        <f t="shared" si="4"/>
        <v>4.53375569194219</v>
      </c>
      <c r="J31" s="106">
        <f t="shared" si="4"/>
        <v>12.864268836965081</v>
      </c>
      <c r="K31" s="106">
        <f t="shared" si="4"/>
        <v>8.941920644048304</v>
      </c>
      <c r="L31" s="106">
        <f t="shared" si="4"/>
        <v>26.07430617726052</v>
      </c>
      <c r="M31" s="97">
        <f t="shared" si="4"/>
        <v>1.0131712259371835</v>
      </c>
      <c r="N31" s="206">
        <f t="shared" si="4"/>
        <v>21.16189823164872</v>
      </c>
      <c r="O31" s="209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5" customHeight="1">
      <c r="B32" s="101">
        <v>2004</v>
      </c>
      <c r="C32" s="105">
        <f aca="true" t="shared" si="5" ref="C32:N32">100*C$8/C$48</f>
        <v>10.834485938220379</v>
      </c>
      <c r="D32" s="106">
        <f t="shared" si="5"/>
        <v>0.015197568389057751</v>
      </c>
      <c r="E32" s="106">
        <f t="shared" si="5"/>
        <v>26.89938116604234</v>
      </c>
      <c r="F32" s="106">
        <f t="shared" si="5"/>
        <v>10.227607181399</v>
      </c>
      <c r="G32" s="106">
        <f t="shared" si="5"/>
        <v>55.7657888008182</v>
      </c>
      <c r="H32" s="106">
        <f t="shared" si="5"/>
        <v>16.09039043307007</v>
      </c>
      <c r="I32" s="106">
        <f t="shared" si="5"/>
        <v>4.528223861051761</v>
      </c>
      <c r="J32" s="106">
        <f t="shared" si="5"/>
        <v>11.806119685892229</v>
      </c>
      <c r="K32" s="106">
        <f t="shared" si="5"/>
        <v>4.832935560859188</v>
      </c>
      <c r="L32" s="106">
        <f t="shared" si="5"/>
        <v>27.974127974127978</v>
      </c>
      <c r="M32" s="107">
        <f t="shared" si="5"/>
        <v>1.0150410630248223</v>
      </c>
      <c r="N32" s="183">
        <f t="shared" si="5"/>
        <v>20.689469594943215</v>
      </c>
      <c r="O32" s="209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5" customHeight="1">
      <c r="B33" s="101">
        <v>2003</v>
      </c>
      <c r="C33" s="105">
        <f>100*C$9/C$49</f>
        <v>10.623109497882636</v>
      </c>
      <c r="D33" s="171" t="s">
        <v>47</v>
      </c>
      <c r="E33" s="106">
        <f>100*E$9/E$49</f>
        <v>24.486274949854824</v>
      </c>
      <c r="F33" s="106">
        <f>100*F$9/F$49</f>
        <v>9.594357930610121</v>
      </c>
      <c r="G33" s="106">
        <f>100*G$9/G$49</f>
        <v>55.23031224287727</v>
      </c>
      <c r="H33" s="106">
        <f>100*H$9/H$49</f>
        <v>15.259666919933466</v>
      </c>
      <c r="I33" s="106">
        <f>100*I$9/I$49</f>
        <v>4.7949162333911035</v>
      </c>
      <c r="J33" s="171" t="s">
        <v>47</v>
      </c>
      <c r="K33" s="106">
        <f>100*K$9/K$49</f>
        <v>5.991611743559017</v>
      </c>
      <c r="L33" s="106">
        <f>100*L$9/L$49</f>
        <v>27.167760923703874</v>
      </c>
      <c r="M33" s="107">
        <f>100*M$9/M$49</f>
        <v>0</v>
      </c>
      <c r="N33" s="183">
        <f>100*N$9/N$49</f>
        <v>19.525718336894148</v>
      </c>
      <c r="O33" s="209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5" customHeight="1">
      <c r="B34" s="101">
        <v>2002</v>
      </c>
      <c r="C34" s="105">
        <f>100*C$10/C$50</f>
        <v>11.004842615012107</v>
      </c>
      <c r="D34" s="171" t="s">
        <v>47</v>
      </c>
      <c r="E34" s="106">
        <f>100*E$10/E$50</f>
        <v>21.54052527534595</v>
      </c>
      <c r="F34" s="106">
        <f>100*F$10/F$50</f>
        <v>10.282400641176748</v>
      </c>
      <c r="G34" s="106">
        <f>100*G$10/G$50</f>
        <v>54.20077787146082</v>
      </c>
      <c r="H34" s="106">
        <f>100*H$10/H$50</f>
        <v>14.3558331981178</v>
      </c>
      <c r="I34" s="106">
        <f>100*I$10/I$50</f>
        <v>1.406774916013438</v>
      </c>
      <c r="J34" s="171" t="s">
        <v>47</v>
      </c>
      <c r="K34" s="106">
        <f>100*K$10/K$50</f>
        <v>4.06871609403255</v>
      </c>
      <c r="L34" s="106">
        <f>100*L$10/L$50</f>
        <v>26.93261212530989</v>
      </c>
      <c r="M34" s="107">
        <f>100*M$10/M$50</f>
        <v>0</v>
      </c>
      <c r="N34" s="183">
        <f>100*N$10/N$50</f>
        <v>18.602392830399</v>
      </c>
      <c r="O34" s="209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101">
        <v>2001</v>
      </c>
      <c r="C35" s="105">
        <f>100*C$11/C$51</f>
        <v>11.059965165464046</v>
      </c>
      <c r="D35" s="171" t="s">
        <v>47</v>
      </c>
      <c r="E35" s="106">
        <f>100*E$11/E$51</f>
        <v>20.480766692187874</v>
      </c>
      <c r="F35" s="106">
        <f>100*F$11/F$51</f>
        <v>9.971674108214508</v>
      </c>
      <c r="G35" s="106">
        <f>100*G$11/G$51</f>
        <v>52.310360259565904</v>
      </c>
      <c r="H35" s="106">
        <f>100*H$11/H$51</f>
        <v>13.505471683041776</v>
      </c>
      <c r="I35" s="106">
        <f>100*I$11/I$51</f>
        <v>1.3271261812117845</v>
      </c>
      <c r="J35" s="171" t="s">
        <v>47</v>
      </c>
      <c r="K35" s="106">
        <f>100*K$11/K$51</f>
        <v>1.8281535648994516</v>
      </c>
      <c r="L35" s="106">
        <f>100*L$11/L$51</f>
        <v>25.503893724232707</v>
      </c>
      <c r="M35" s="107">
        <f>100*M$11/M$51</f>
        <v>0</v>
      </c>
      <c r="N35" s="183">
        <f>100*N$11/N$51</f>
        <v>17.472263171227464</v>
      </c>
      <c r="O35" s="209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102">
        <v>2000</v>
      </c>
      <c r="C36" s="109">
        <f>100*C$12/C$52</f>
        <v>11.155532628320866</v>
      </c>
      <c r="D36" s="172" t="s">
        <v>47</v>
      </c>
      <c r="E36" s="110">
        <f>100*E$12/E$52</f>
        <v>18.467190069492336</v>
      </c>
      <c r="F36" s="110">
        <f>100*F$12/F$52</f>
        <v>9.640587768069897</v>
      </c>
      <c r="G36" s="110">
        <f>100*G$12/G$52</f>
        <v>49.73377608564967</v>
      </c>
      <c r="H36" s="110">
        <f>100*H$12/H$52</f>
        <v>10.259824094246753</v>
      </c>
      <c r="I36" s="110">
        <f>100*I$12/I$52</f>
        <v>0.7704895677076231</v>
      </c>
      <c r="J36" s="172" t="s">
        <v>47</v>
      </c>
      <c r="K36" s="110">
        <f>100*K$12/K$52</f>
        <v>2.0851688693098387</v>
      </c>
      <c r="L36" s="110">
        <f>100*L$12/L$52</f>
        <v>24.83319179910227</v>
      </c>
      <c r="M36" s="111">
        <f>100*M$12/M$52</f>
        <v>0</v>
      </c>
      <c r="N36" s="208">
        <f>100*N$12/N$52</f>
        <v>15.859601686519044</v>
      </c>
      <c r="O36" s="209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402" t="s">
        <v>113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/>
    <row r="39" spans="2:14" ht="13.5" customHeight="1">
      <c r="B39" s="35"/>
      <c r="C39" s="23"/>
      <c r="D39" s="23"/>
      <c r="E39" s="23"/>
      <c r="F39" s="23"/>
      <c r="G39" s="23"/>
      <c r="H39" s="23"/>
      <c r="I39" s="12"/>
      <c r="J39" s="12"/>
      <c r="K39" s="12"/>
      <c r="L39" s="12"/>
      <c r="M39" s="12"/>
      <c r="N39" s="12"/>
    </row>
    <row r="43" ht="12.75">
      <c r="C43" s="6" t="s">
        <v>119</v>
      </c>
    </row>
    <row r="44" spans="3:14" ht="12.75">
      <c r="C44" s="173" t="s">
        <v>33</v>
      </c>
      <c r="D44" s="174" t="s">
        <v>17</v>
      </c>
      <c r="E44" s="174" t="s">
        <v>34</v>
      </c>
      <c r="F44" s="174" t="s">
        <v>35</v>
      </c>
      <c r="G44" s="174" t="s">
        <v>36</v>
      </c>
      <c r="H44" s="174" t="s">
        <v>38</v>
      </c>
      <c r="I44" s="174" t="s">
        <v>30</v>
      </c>
      <c r="J44" s="174" t="s">
        <v>41</v>
      </c>
      <c r="K44" s="174" t="s">
        <v>42</v>
      </c>
      <c r="L44" s="174" t="s">
        <v>43</v>
      </c>
      <c r="M44" s="174" t="s">
        <v>31</v>
      </c>
      <c r="N44" s="175" t="s">
        <v>79</v>
      </c>
    </row>
    <row r="45" spans="2:14" ht="15" customHeight="1">
      <c r="B45" s="195">
        <v>2007</v>
      </c>
      <c r="C45" s="197">
        <v>9.9323</v>
      </c>
      <c r="D45" s="198">
        <v>6.898</v>
      </c>
      <c r="E45" s="199">
        <v>79.34</v>
      </c>
      <c r="F45" s="198">
        <v>21.857</v>
      </c>
      <c r="G45" s="198">
        <v>80.309</v>
      </c>
      <c r="H45" s="198">
        <v>49.588</v>
      </c>
      <c r="I45" s="198">
        <v>16.325</v>
      </c>
      <c r="J45" s="199">
        <v>3.987</v>
      </c>
      <c r="K45" s="198">
        <v>3.778</v>
      </c>
      <c r="L45" s="198">
        <v>10.27</v>
      </c>
      <c r="M45" s="200">
        <v>50.105</v>
      </c>
      <c r="N45" s="200">
        <v>395.12230000000005</v>
      </c>
    </row>
    <row r="46" spans="2:14" ht="15" customHeight="1">
      <c r="B46" s="196">
        <v>2006</v>
      </c>
      <c r="C46" s="197">
        <v>9.607</v>
      </c>
      <c r="D46" s="198">
        <v>6.922</v>
      </c>
      <c r="E46" s="199">
        <v>78.995</v>
      </c>
      <c r="F46" s="198">
        <v>22.105</v>
      </c>
      <c r="G46" s="198">
        <v>78.792</v>
      </c>
      <c r="H46" s="198">
        <v>50.746</v>
      </c>
      <c r="I46" s="198">
        <v>15.889</v>
      </c>
      <c r="J46" s="199">
        <v>3.876</v>
      </c>
      <c r="K46" s="198">
        <v>3.54</v>
      </c>
      <c r="L46" s="198">
        <v>9.617</v>
      </c>
      <c r="M46" s="200">
        <v>47.037</v>
      </c>
      <c r="N46" s="200">
        <v>389.60281100000003</v>
      </c>
    </row>
    <row r="47" spans="2:14" ht="15" customHeight="1">
      <c r="B47" s="196">
        <v>2005</v>
      </c>
      <c r="C47" s="197">
        <v>9.15</v>
      </c>
      <c r="D47" s="198">
        <v>6.667</v>
      </c>
      <c r="E47" s="199">
        <v>76.824</v>
      </c>
      <c r="F47" s="198">
        <v>21.624</v>
      </c>
      <c r="G47" s="198">
        <v>76.473</v>
      </c>
      <c r="H47" s="198">
        <v>50.47</v>
      </c>
      <c r="I47" s="198">
        <v>15.153</v>
      </c>
      <c r="J47" s="198">
        <v>3.809</v>
      </c>
      <c r="K47" s="198">
        <v>3.478</v>
      </c>
      <c r="L47" s="198">
        <v>8.936</v>
      </c>
      <c r="M47" s="201">
        <v>44.415</v>
      </c>
      <c r="N47" s="200">
        <v>378.5718990000001</v>
      </c>
    </row>
    <row r="48" spans="2:14" ht="15" customHeight="1">
      <c r="B48" s="196">
        <v>2004</v>
      </c>
      <c r="C48" s="197">
        <v>8.676</v>
      </c>
      <c r="D48" s="198">
        <v>6.58</v>
      </c>
      <c r="E48" s="198">
        <v>72.879</v>
      </c>
      <c r="F48" s="198">
        <v>20.386</v>
      </c>
      <c r="G48" s="198">
        <v>74.309</v>
      </c>
      <c r="H48" s="198">
        <v>49.25299999999999</v>
      </c>
      <c r="I48" s="198">
        <v>14.509</v>
      </c>
      <c r="J48" s="198">
        <v>3.693</v>
      </c>
      <c r="K48" s="198">
        <v>3.352</v>
      </c>
      <c r="L48" s="198">
        <v>8.658</v>
      </c>
      <c r="M48" s="201">
        <v>43.348</v>
      </c>
      <c r="N48" s="201">
        <v>367.87313299999994</v>
      </c>
    </row>
    <row r="49" spans="2:14" ht="15" customHeight="1">
      <c r="B49" s="196">
        <v>2003</v>
      </c>
      <c r="C49" s="197">
        <v>8.265</v>
      </c>
      <c r="D49" s="198">
        <v>6.518</v>
      </c>
      <c r="E49" s="198">
        <v>71.293</v>
      </c>
      <c r="F49" s="198">
        <v>21.127</v>
      </c>
      <c r="G49" s="198">
        <v>71.707</v>
      </c>
      <c r="H49" s="198">
        <v>48.697</v>
      </c>
      <c r="I49" s="198">
        <v>13.848</v>
      </c>
      <c r="J49" s="198">
        <v>3.753</v>
      </c>
      <c r="K49" s="198">
        <v>3.338</v>
      </c>
      <c r="L49" s="198">
        <v>8.834</v>
      </c>
      <c r="M49" s="201">
        <v>41.163999999999994</v>
      </c>
      <c r="N49" s="201">
        <v>361.88681399999996</v>
      </c>
    </row>
    <row r="50" spans="2:14" ht="15" customHeight="1">
      <c r="B50" s="196">
        <v>2002</v>
      </c>
      <c r="C50" s="197">
        <v>8.26</v>
      </c>
      <c r="D50" s="198">
        <v>6.597</v>
      </c>
      <c r="E50" s="198">
        <v>70.82</v>
      </c>
      <c r="F50" s="198">
        <v>21.211</v>
      </c>
      <c r="G50" s="198">
        <v>73.534</v>
      </c>
      <c r="H50" s="198">
        <v>49.304</v>
      </c>
      <c r="I50" s="198">
        <v>14.288</v>
      </c>
      <c r="J50" s="198">
        <v>3.925</v>
      </c>
      <c r="K50" s="198">
        <v>3.318</v>
      </c>
      <c r="L50" s="198">
        <v>8.874</v>
      </c>
      <c r="M50" s="201">
        <v>39.9233</v>
      </c>
      <c r="N50" s="201">
        <v>365.57125</v>
      </c>
    </row>
    <row r="51" spans="2:14" ht="15" customHeight="1">
      <c r="B51" s="196">
        <v>2001</v>
      </c>
      <c r="C51" s="197">
        <v>8.038</v>
      </c>
      <c r="D51" s="198">
        <v>7.299</v>
      </c>
      <c r="E51" s="198">
        <v>75.75399999999999</v>
      </c>
      <c r="F51" s="198">
        <v>20.829</v>
      </c>
      <c r="G51" s="198">
        <v>71.504</v>
      </c>
      <c r="H51" s="198">
        <v>50.076</v>
      </c>
      <c r="I51" s="198">
        <v>14.392</v>
      </c>
      <c r="J51" s="198">
        <v>3.992</v>
      </c>
      <c r="K51" s="198">
        <v>3.282</v>
      </c>
      <c r="L51" s="198">
        <v>8.732</v>
      </c>
      <c r="M51" s="201">
        <v>39.3807</v>
      </c>
      <c r="N51" s="201">
        <v>372.739349</v>
      </c>
    </row>
    <row r="52" spans="2:14" ht="15" customHeight="1">
      <c r="B52" s="202">
        <v>2000</v>
      </c>
      <c r="C52" s="203">
        <v>7.754</v>
      </c>
      <c r="D52" s="204">
        <v>7.3</v>
      </c>
      <c r="E52" s="204">
        <v>75.404</v>
      </c>
      <c r="F52" s="204">
        <v>20.144</v>
      </c>
      <c r="G52" s="204">
        <v>69.866</v>
      </c>
      <c r="H52" s="204">
        <v>49.572</v>
      </c>
      <c r="I52" s="204">
        <v>14.666</v>
      </c>
      <c r="J52" s="204">
        <v>4.032</v>
      </c>
      <c r="K52" s="204">
        <v>3.405</v>
      </c>
      <c r="L52" s="204">
        <v>8.243</v>
      </c>
      <c r="M52" s="205">
        <v>38.4061</v>
      </c>
      <c r="N52" s="205">
        <v>370.7280999999999</v>
      </c>
    </row>
  </sheetData>
  <mergeCells count="9">
    <mergeCell ref="B37:N37"/>
    <mergeCell ref="B26:N26"/>
    <mergeCell ref="B1:C1"/>
    <mergeCell ref="B3:N3"/>
    <mergeCell ref="B27:N27"/>
    <mergeCell ref="B2:O2"/>
    <mergeCell ref="O4:P4"/>
    <mergeCell ref="O1:P1"/>
    <mergeCell ref="B24:N2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2009-04-28T08:35:14Z</cp:lastPrinted>
  <dcterms:created xsi:type="dcterms:W3CDTF">2003-09-05T14:33:05Z</dcterms:created>
  <dcterms:modified xsi:type="dcterms:W3CDTF">2009-05-19T10:15:27Z</dcterms:modified>
  <cp:category/>
  <cp:version/>
  <cp:contentType/>
  <cp:contentStatus/>
</cp:coreProperties>
</file>