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-840" yWindow="1350" windowWidth="17460" windowHeight="10575" tabRatio="921"/>
  </bookViews>
  <sheets>
    <sheet name="T2.6" sheetId="174" r:id="rId1"/>
    <sheet name="motorisation" sheetId="112" r:id="rId2"/>
    <sheet name="stock_cars" sheetId="113" r:id="rId3"/>
    <sheet name="stock_bus" sheetId="114" r:id="rId4"/>
    <sheet name="stock_goods" sheetId="115" r:id="rId5"/>
    <sheet name="stock_mbike" sheetId="116" r:id="rId6"/>
    <sheet name="car_reg" sheetId="117" r:id="rId7"/>
    <sheet name="comm_reg" sheetId="119" r:id="rId8"/>
    <sheet name="bus_reg" sheetId="120" r:id="rId9"/>
    <sheet name="mbike_reg" sheetId="118" r:id="rId10"/>
    <sheet name="moped_del" sheetId="170" r:id="rId11"/>
    <sheet name="sea_fleet_eu" sheetId="124" r:id="rId12"/>
    <sheet name="sea_world_region" sheetId="125" r:id="rId13"/>
    <sheet name="sea_world_type" sheetId="173" r:id="rId14"/>
    <sheet name="aircraft_passeng" sheetId="126" r:id="rId15"/>
    <sheet name="aircraft_other" sheetId="127" r:id="rId16"/>
    <sheet name="stock_loco" sheetId="121" r:id="rId17"/>
    <sheet name="stock_railcar" sheetId="122" r:id="rId18"/>
    <sheet name="stock_railgood" sheetId="123" r:id="rId19"/>
  </sheets>
  <definedNames>
    <definedName name="A" localSheetId="0">T2.6!$A$65501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15">aircraft_other!$B$1:$H$51</definedName>
    <definedName name="_xlnm.Print_Area" localSheetId="14">aircraft_passeng!$B$1:$H$48</definedName>
    <definedName name="_xlnm.Print_Area" localSheetId="8">bus_reg!$B$1:$AL$43</definedName>
    <definedName name="_xlnm.Print_Area" localSheetId="6">car_reg!$B$1:$V$45</definedName>
    <definedName name="_xlnm.Print_Area" localSheetId="7">comm_reg!$B$1:$AD$43</definedName>
    <definedName name="_xlnm.Print_Area" localSheetId="9">mbike_reg!$B$1:$S$48</definedName>
    <definedName name="_xlnm.Print_Area" localSheetId="10">moped_del!$B$1:$S$46</definedName>
    <definedName name="_xlnm.Print_Area" localSheetId="1">motorisation!$A$1:$AD$45</definedName>
    <definedName name="_xlnm.Print_Area" localSheetId="11">sea_fleet_eu!$B$1:$K$49</definedName>
    <definedName name="_xlnm.Print_Area" localSheetId="12">sea_world_region!$B$1:$L$24</definedName>
    <definedName name="_xlnm.Print_Area" localSheetId="13">sea_world_type!$B$1:$L$40</definedName>
    <definedName name="_xlnm.Print_Area" localSheetId="3">stock_bus!$B$1:$Z$48</definedName>
    <definedName name="_xlnm.Print_Area" localSheetId="2">stock_cars!$A$1:$Z$48</definedName>
    <definedName name="_xlnm.Print_Area" localSheetId="4">stock_goods!$B$1:$Z$48</definedName>
    <definedName name="_xlnm.Print_Area" localSheetId="16">stock_loco!#REF!</definedName>
    <definedName name="_xlnm.Print_Area" localSheetId="5">stock_mbike!$B$1:$S$48</definedName>
    <definedName name="_xlnm.Print_Area" localSheetId="17">stock_railcar!$B$1:$U$46</definedName>
    <definedName name="_xlnm.Print_Area" localSheetId="18">stock_railgood!$B$1:$N$47</definedName>
    <definedName name="_xlnm.Print_Area" localSheetId="0">T2.6!$A$1:$D$33</definedName>
    <definedName name="TABLE" localSheetId="16">stock_loco!#REF!</definedName>
    <definedName name="TABLE_2" localSheetId="16">stock_loco!#REF!</definedName>
  </definedNames>
  <calcPr calcId="145621"/>
</workbook>
</file>

<file path=xl/calcChain.xml><?xml version="1.0" encoding="utf-8"?>
<calcChain xmlns="http://schemas.openxmlformats.org/spreadsheetml/2006/main">
  <c r="Q11" i="118" l="1"/>
  <c r="J35" i="173" l="1"/>
  <c r="E35" i="173"/>
  <c r="R18" i="125"/>
  <c r="R17" i="125"/>
  <c r="Q17" i="125"/>
  <c r="R15" i="125"/>
  <c r="Q15" i="125"/>
  <c r="R12" i="125"/>
  <c r="Q12" i="125"/>
  <c r="R7" i="125"/>
  <c r="Q7" i="125"/>
  <c r="D39" i="124"/>
  <c r="C39" i="124"/>
  <c r="J38" i="124"/>
  <c r="I38" i="124"/>
  <c r="D38" i="124"/>
  <c r="C38" i="124"/>
  <c r="D20" i="124"/>
  <c r="C20" i="124"/>
  <c r="D11" i="124"/>
  <c r="C11" i="124"/>
  <c r="D10" i="124"/>
  <c r="C10" i="124"/>
  <c r="S7" i="123" l="1"/>
  <c r="S30" i="123"/>
  <c r="S16" i="123"/>
  <c r="S9" i="123"/>
  <c r="S27" i="123"/>
  <c r="U6" i="122"/>
  <c r="U7" i="122"/>
  <c r="U8" i="122"/>
  <c r="U9" i="122"/>
  <c r="U10" i="122"/>
  <c r="U11" i="122"/>
  <c r="U12" i="122"/>
  <c r="U13" i="122"/>
  <c r="U14" i="122"/>
  <c r="U15" i="122"/>
  <c r="U16" i="122"/>
  <c r="U17" i="122"/>
  <c r="U18" i="122"/>
  <c r="U19" i="122"/>
  <c r="U21" i="122"/>
  <c r="U22" i="122"/>
  <c r="U23" i="122"/>
  <c r="U24" i="122"/>
  <c r="U26" i="122"/>
  <c r="U27" i="122"/>
  <c r="U28" i="122"/>
  <c r="U29" i="122"/>
  <c r="U30" i="122"/>
  <c r="U31" i="122"/>
  <c r="U32" i="122"/>
  <c r="U33" i="122"/>
  <c r="U34" i="122"/>
  <c r="U35" i="122"/>
  <c r="U38" i="122"/>
  <c r="U39" i="122"/>
  <c r="U40" i="122"/>
  <c r="U42" i="122"/>
  <c r="U43" i="122"/>
  <c r="U5" i="122"/>
  <c r="S6" i="122"/>
  <c r="S5" i="122"/>
  <c r="S7" i="122" s="1"/>
  <c r="S43" i="122"/>
  <c r="S35" i="122"/>
  <c r="S24" i="122"/>
  <c r="S16" i="122"/>
  <c r="S27" i="122"/>
  <c r="V43" i="121"/>
  <c r="V42" i="121"/>
  <c r="V40" i="121"/>
  <c r="V39" i="121"/>
  <c r="V38" i="121"/>
  <c r="V35" i="121"/>
  <c r="V34" i="121"/>
  <c r="V33" i="121"/>
  <c r="V32" i="121"/>
  <c r="V31" i="121"/>
  <c r="V30" i="121"/>
  <c r="V29" i="121"/>
  <c r="V28" i="121"/>
  <c r="V27" i="121"/>
  <c r="V26" i="121"/>
  <c r="V24" i="121"/>
  <c r="V23" i="121"/>
  <c r="V22" i="121"/>
  <c r="V21" i="121"/>
  <c r="V19" i="121"/>
  <c r="V18" i="121"/>
  <c r="V17" i="121"/>
  <c r="V16" i="121"/>
  <c r="V15" i="121"/>
  <c r="V14" i="121"/>
  <c r="V13" i="121"/>
  <c r="V12" i="121"/>
  <c r="V11" i="121"/>
  <c r="V10" i="121"/>
  <c r="V9" i="121"/>
  <c r="V8" i="121"/>
  <c r="V7" i="121"/>
  <c r="V6" i="121"/>
  <c r="V5" i="121"/>
  <c r="S6" i="121"/>
  <c r="S7" i="121"/>
  <c r="S5" i="121"/>
  <c r="S43" i="121"/>
  <c r="S42" i="121"/>
  <c r="S40" i="121"/>
  <c r="S39" i="121"/>
  <c r="S38" i="121"/>
  <c r="S32" i="121"/>
  <c r="S31" i="121" l="1"/>
  <c r="S34" i="121"/>
  <c r="S30" i="121"/>
  <c r="R29" i="121"/>
  <c r="S29" i="121"/>
  <c r="S28" i="121"/>
  <c r="S26" i="121"/>
  <c r="S24" i="121"/>
  <c r="S23" i="121"/>
  <c r="S22" i="121"/>
  <c r="S21" i="121"/>
  <c r="S19" i="121"/>
  <c r="S18" i="121"/>
  <c r="S35" i="121"/>
  <c r="S17" i="121"/>
  <c r="S33" i="121"/>
  <c r="S16" i="121"/>
  <c r="S15" i="121"/>
  <c r="S14" i="121"/>
  <c r="S12" i="121"/>
  <c r="S11" i="121"/>
  <c r="S27" i="121"/>
  <c r="S10" i="121"/>
  <c r="S9" i="121"/>
  <c r="S8" i="121"/>
  <c r="U31" i="116" l="1"/>
  <c r="AE6" i="112" l="1"/>
  <c r="AE7" i="112"/>
  <c r="AE8" i="112"/>
  <c r="AE9" i="112"/>
  <c r="AE10" i="112"/>
  <c r="AE11" i="112"/>
  <c r="AE12" i="112"/>
  <c r="AE13" i="112"/>
  <c r="AE14" i="112"/>
  <c r="AE15" i="112"/>
  <c r="AE16" i="112"/>
  <c r="AE17" i="112"/>
  <c r="AE18" i="112"/>
  <c r="AE19" i="112"/>
  <c r="AE20" i="112"/>
  <c r="AE21" i="112"/>
  <c r="AE22" i="112"/>
  <c r="AE23" i="112"/>
  <c r="AE24" i="112"/>
  <c r="AE25" i="112"/>
  <c r="AE26" i="112"/>
  <c r="AE27" i="112"/>
  <c r="AE28" i="112"/>
  <c r="AE29" i="112"/>
  <c r="AE30" i="112"/>
  <c r="AE31" i="112"/>
  <c r="AE32" i="112"/>
  <c r="AE33" i="112"/>
  <c r="AE34" i="112"/>
  <c r="AE35" i="112"/>
  <c r="AE36" i="112"/>
  <c r="AE37" i="112"/>
  <c r="AE38" i="112"/>
  <c r="AE39" i="112"/>
  <c r="AE40" i="112"/>
  <c r="AE41" i="112"/>
  <c r="AE5" i="112"/>
  <c r="AE43" i="112"/>
  <c r="AE42" i="112"/>
  <c r="R44" i="170" l="1"/>
  <c r="R43" i="170"/>
  <c r="R41" i="170"/>
  <c r="R40" i="170"/>
  <c r="R36" i="170"/>
  <c r="R35" i="170"/>
  <c r="R34" i="170"/>
  <c r="R33" i="170"/>
  <c r="R32" i="170"/>
  <c r="R31" i="170"/>
  <c r="R30" i="170"/>
  <c r="R29" i="170"/>
  <c r="R28" i="170"/>
  <c r="R27" i="170"/>
  <c r="R24" i="170"/>
  <c r="R23" i="170"/>
  <c r="R22" i="170"/>
  <c r="R21" i="170"/>
  <c r="R20" i="170"/>
  <c r="R19" i="170"/>
  <c r="R18" i="170"/>
  <c r="R17" i="170"/>
  <c r="R16" i="170"/>
  <c r="R15" i="170"/>
  <c r="R14" i="170"/>
  <c r="R13" i="170"/>
  <c r="R12" i="170"/>
  <c r="R10" i="170"/>
  <c r="R9" i="170"/>
  <c r="Q7" i="170"/>
  <c r="R26" i="170"/>
  <c r="U27" i="116"/>
  <c r="R25" i="170"/>
  <c r="H10" i="170"/>
  <c r="R44" i="118"/>
  <c r="R43" i="118"/>
  <c r="R41" i="118"/>
  <c r="R40" i="118"/>
  <c r="R39" i="118"/>
  <c r="R32" i="118"/>
  <c r="R31" i="118"/>
  <c r="R30" i="118"/>
  <c r="R26" i="118"/>
  <c r="R24" i="118"/>
  <c r="R23" i="118"/>
  <c r="R22" i="118"/>
  <c r="R21" i="118"/>
  <c r="R19" i="118"/>
  <c r="R18" i="118"/>
  <c r="R17" i="118"/>
  <c r="R16" i="118"/>
  <c r="R13" i="118"/>
  <c r="R12" i="118"/>
  <c r="Q38" i="118"/>
  <c r="R38" i="118" s="1"/>
  <c r="Q7" i="118"/>
  <c r="R11" i="118"/>
  <c r="Q6" i="170" l="1"/>
  <c r="R11" i="170"/>
  <c r="Q10" i="118"/>
  <c r="P10" i="118"/>
  <c r="O10" i="118"/>
  <c r="N10" i="118"/>
  <c r="M10" i="118"/>
  <c r="L10" i="118"/>
  <c r="K10" i="118"/>
  <c r="I10" i="118"/>
  <c r="G10" i="118"/>
  <c r="F10" i="118"/>
  <c r="E10" i="118"/>
  <c r="D10" i="118"/>
  <c r="Q8" i="170" l="1"/>
  <c r="H10" i="118"/>
  <c r="R10" i="118"/>
  <c r="Q6" i="118"/>
  <c r="AS11" i="120"/>
  <c r="AR11" i="120"/>
  <c r="AQ11" i="120"/>
  <c r="AP11" i="120"/>
  <c r="AO11" i="120"/>
  <c r="AN11" i="120"/>
  <c r="AM11" i="120"/>
  <c r="AL11" i="120"/>
  <c r="AK11" i="120"/>
  <c r="Q8" i="118" l="1"/>
  <c r="AU40" i="120"/>
  <c r="AU39" i="120"/>
  <c r="AU38" i="120"/>
  <c r="AU37" i="120"/>
  <c r="AU36" i="120"/>
  <c r="AU35" i="120"/>
  <c r="AU34" i="120"/>
  <c r="AU33" i="120"/>
  <c r="AU32" i="120"/>
  <c r="AU31" i="120"/>
  <c r="AU30" i="120"/>
  <c r="AU29" i="120"/>
  <c r="AU28" i="120"/>
  <c r="AU27" i="120"/>
  <c r="AU26" i="120"/>
  <c r="AU25" i="120"/>
  <c r="AU24" i="120"/>
  <c r="AU23" i="120"/>
  <c r="AU22" i="120"/>
  <c r="AU21" i="120"/>
  <c r="AU20" i="120"/>
  <c r="AU19" i="120"/>
  <c r="AU18" i="120"/>
  <c r="AU17" i="120"/>
  <c r="AU16" i="120"/>
  <c r="AU15" i="120"/>
  <c r="AU14" i="120"/>
  <c r="AU13" i="120"/>
  <c r="AU12" i="120"/>
  <c r="AU10" i="120"/>
  <c r="AU8" i="120"/>
  <c r="AT8" i="120"/>
  <c r="AT40" i="120"/>
  <c r="AT39" i="120"/>
  <c r="AT38" i="120"/>
  <c r="AT37" i="120"/>
  <c r="AT36" i="120"/>
  <c r="AT35" i="120"/>
  <c r="AT34" i="120"/>
  <c r="AT33" i="120"/>
  <c r="AT32" i="120"/>
  <c r="AT31" i="120"/>
  <c r="AT30" i="120"/>
  <c r="AT29" i="120"/>
  <c r="AT28" i="120"/>
  <c r="AT27" i="120"/>
  <c r="AT26" i="120"/>
  <c r="AT25" i="120"/>
  <c r="AT24" i="120"/>
  <c r="AT23" i="120"/>
  <c r="AT22" i="120"/>
  <c r="AT21" i="120"/>
  <c r="AT20" i="120"/>
  <c r="AT19" i="120"/>
  <c r="AT18" i="120"/>
  <c r="AT17" i="120"/>
  <c r="AT16" i="120"/>
  <c r="AT15" i="120"/>
  <c r="AT14" i="120"/>
  <c r="AT13" i="120"/>
  <c r="AT12" i="120"/>
  <c r="AT11" i="120"/>
  <c r="AT7" i="120" s="1"/>
  <c r="AT9" i="120" s="1"/>
  <c r="AT10" i="120"/>
  <c r="AS20" i="120"/>
  <c r="X8" i="120"/>
  <c r="M8" i="120"/>
  <c r="AL40" i="119"/>
  <c r="AL39" i="119"/>
  <c r="AL38" i="119"/>
  <c r="AL37" i="119"/>
  <c r="AL36" i="119"/>
  <c r="AL35" i="119"/>
  <c r="AL34" i="119"/>
  <c r="AL33" i="119"/>
  <c r="AL32" i="119"/>
  <c r="AL31" i="119"/>
  <c r="AL30" i="119"/>
  <c r="AL29" i="119"/>
  <c r="AL28" i="119"/>
  <c r="AL26" i="119"/>
  <c r="AL25" i="119"/>
  <c r="AL24" i="119"/>
  <c r="AL23" i="119"/>
  <c r="AL21" i="119"/>
  <c r="AL20" i="119"/>
  <c r="AL19" i="119"/>
  <c r="AL18" i="119"/>
  <c r="AL17" i="119"/>
  <c r="AL16" i="119"/>
  <c r="AL15" i="119"/>
  <c r="AL14" i="119"/>
  <c r="AL13" i="119"/>
  <c r="AL12" i="119"/>
  <c r="AL10" i="119"/>
  <c r="AL8" i="119"/>
  <c r="AK8" i="119"/>
  <c r="Z12" i="119"/>
  <c r="Z13" i="119"/>
  <c r="Z40" i="119"/>
  <c r="Z39" i="119"/>
  <c r="Z38" i="119"/>
  <c r="Z37" i="119"/>
  <c r="Z36" i="119"/>
  <c r="Z35" i="119"/>
  <c r="Z34" i="119"/>
  <c r="Z33" i="119"/>
  <c r="Z32" i="119"/>
  <c r="Z31" i="119"/>
  <c r="Z30" i="119"/>
  <c r="Z29" i="119"/>
  <c r="Z28" i="119"/>
  <c r="Z26" i="119"/>
  <c r="Z25" i="119"/>
  <c r="Z24" i="119"/>
  <c r="Z23" i="119"/>
  <c r="Z21" i="119"/>
  <c r="Z20" i="119"/>
  <c r="Z19" i="119"/>
  <c r="Z18" i="119"/>
  <c r="Z17" i="119"/>
  <c r="Z16" i="119"/>
  <c r="Z15" i="119"/>
  <c r="Z14" i="119"/>
  <c r="Z10" i="119"/>
  <c r="Z8" i="119"/>
  <c r="Y8" i="119"/>
  <c r="N40" i="119"/>
  <c r="N39" i="119"/>
  <c r="N38" i="119"/>
  <c r="N37" i="119"/>
  <c r="N36" i="119"/>
  <c r="N35" i="119"/>
  <c r="N34" i="119"/>
  <c r="N33" i="119"/>
  <c r="N32" i="119"/>
  <c r="N31" i="119"/>
  <c r="N30" i="119"/>
  <c r="N29" i="119"/>
  <c r="N28" i="119"/>
  <c r="N27" i="119"/>
  <c r="N26" i="119"/>
  <c r="N25" i="119"/>
  <c r="N24" i="119"/>
  <c r="N23" i="119"/>
  <c r="N22" i="119"/>
  <c r="N21" i="119"/>
  <c r="N20" i="119"/>
  <c r="N19" i="119"/>
  <c r="N18" i="119"/>
  <c r="N17" i="119"/>
  <c r="N16" i="119"/>
  <c r="N15" i="119"/>
  <c r="N14" i="119"/>
  <c r="N13" i="119"/>
  <c r="N12" i="119"/>
  <c r="N11" i="119"/>
  <c r="N10" i="119"/>
  <c r="N8" i="119"/>
  <c r="M8" i="119"/>
  <c r="M7" i="119"/>
  <c r="M9" i="119" s="1"/>
  <c r="V44" i="117" l="1"/>
  <c r="V43" i="117"/>
  <c r="V42" i="117"/>
  <c r="V41" i="117"/>
  <c r="V36" i="117"/>
  <c r="V35" i="117"/>
  <c r="V34" i="117"/>
  <c r="V33" i="117"/>
  <c r="V32" i="117"/>
  <c r="V31" i="117"/>
  <c r="V30" i="117"/>
  <c r="V29" i="117"/>
  <c r="V28" i="117"/>
  <c r="V27" i="117"/>
  <c r="V26" i="117"/>
  <c r="V25" i="117"/>
  <c r="V24" i="117"/>
  <c r="V23" i="117"/>
  <c r="V22" i="117"/>
  <c r="V21" i="117"/>
  <c r="V20" i="117"/>
  <c r="V19" i="117"/>
  <c r="V18" i="117"/>
  <c r="V17" i="117"/>
  <c r="V16" i="117"/>
  <c r="V15" i="117"/>
  <c r="V14" i="117"/>
  <c r="V13" i="117"/>
  <c r="V12" i="117"/>
  <c r="V11" i="117"/>
  <c r="V10" i="117"/>
  <c r="V9" i="117"/>
  <c r="S39" i="117"/>
  <c r="V39" i="117" s="1"/>
  <c r="S38" i="117"/>
  <c r="V38" i="117" s="1"/>
  <c r="S7" i="117"/>
  <c r="S6" i="117"/>
  <c r="S8" i="117" s="1"/>
  <c r="G11" i="126" l="1"/>
  <c r="G12" i="126"/>
  <c r="G13" i="126"/>
  <c r="G14" i="126"/>
  <c r="G15" i="126"/>
  <c r="G16" i="126"/>
  <c r="G17" i="126"/>
  <c r="G18" i="126"/>
  <c r="G19" i="126"/>
  <c r="G20" i="126"/>
  <c r="G21" i="126"/>
  <c r="G22" i="126"/>
  <c r="G23" i="126"/>
  <c r="G24" i="126"/>
  <c r="G25" i="126"/>
  <c r="G26" i="126"/>
  <c r="G27" i="126"/>
  <c r="G28" i="126"/>
  <c r="G29" i="126"/>
  <c r="G30" i="126"/>
  <c r="G31" i="126"/>
  <c r="G32" i="126"/>
  <c r="G33" i="126"/>
  <c r="G34" i="126"/>
  <c r="G35" i="126"/>
  <c r="G36" i="126"/>
  <c r="G37" i="126"/>
  <c r="G41" i="126"/>
  <c r="G42" i="126"/>
  <c r="G43" i="126"/>
  <c r="G44" i="126"/>
  <c r="AC32" i="115"/>
  <c r="V45" i="116"/>
  <c r="V43" i="116"/>
  <c r="V40" i="116"/>
  <c r="V39" i="116"/>
  <c r="V38" i="116"/>
  <c r="V32" i="116"/>
  <c r="V23" i="116"/>
  <c r="V20" i="116"/>
  <c r="V16" i="116"/>
  <c r="V13" i="116"/>
  <c r="V12" i="116"/>
  <c r="V11" i="116"/>
  <c r="V10" i="116"/>
  <c r="U19" i="116"/>
  <c r="V19" i="116" s="1"/>
  <c r="D8" i="126" l="1"/>
  <c r="C7" i="126"/>
  <c r="G10" i="126"/>
  <c r="G7" i="126" s="1"/>
  <c r="C8" i="126"/>
  <c r="C9" i="126" s="1"/>
  <c r="D7" i="126"/>
  <c r="AC45" i="114"/>
  <c r="AC43" i="114"/>
  <c r="AC41" i="114"/>
  <c r="AC40" i="114"/>
  <c r="AC39" i="114"/>
  <c r="AC38" i="114"/>
  <c r="AC36" i="114"/>
  <c r="AC32" i="114"/>
  <c r="AC31" i="114"/>
  <c r="AC30" i="114"/>
  <c r="AC29" i="114"/>
  <c r="AC26" i="114"/>
  <c r="AC25" i="114"/>
  <c r="AC23" i="114"/>
  <c r="AC22" i="114"/>
  <c r="AC21" i="114"/>
  <c r="AC20" i="114"/>
  <c r="AC19" i="114"/>
  <c r="AC18" i="114"/>
  <c r="AC17" i="114"/>
  <c r="AC16" i="114"/>
  <c r="AC15" i="114"/>
  <c r="AC14" i="114"/>
  <c r="AC13" i="114"/>
  <c r="AC11" i="114"/>
  <c r="AC10" i="114"/>
  <c r="U46" i="116"/>
  <c r="V46" i="116" s="1"/>
  <c r="AC46" i="115"/>
  <c r="AC45" i="115"/>
  <c r="AC43" i="115"/>
  <c r="AC41" i="115"/>
  <c r="AC38" i="115"/>
  <c r="AC36" i="115"/>
  <c r="AC23" i="115"/>
  <c r="AC22" i="115"/>
  <c r="AC20" i="115"/>
  <c r="AC17" i="115"/>
  <c r="AC16" i="115"/>
  <c r="AC15" i="115"/>
  <c r="AC11" i="115"/>
  <c r="AC10" i="115"/>
  <c r="AB46" i="114"/>
  <c r="AC46" i="113"/>
  <c r="AC45" i="113"/>
  <c r="AC41" i="113"/>
  <c r="AC40" i="113"/>
  <c r="AC39" i="113"/>
  <c r="AC38" i="113"/>
  <c r="AC36" i="113"/>
  <c r="AC32" i="113"/>
  <c r="AC31" i="113"/>
  <c r="AC30" i="113"/>
  <c r="AC29" i="113"/>
  <c r="AC23" i="113"/>
  <c r="AC22" i="113"/>
  <c r="AC21" i="113"/>
  <c r="AC20" i="113"/>
  <c r="AC19" i="113"/>
  <c r="AC18" i="113"/>
  <c r="AC17" i="113"/>
  <c r="AC15" i="113"/>
  <c r="AC14" i="113"/>
  <c r="AC13" i="113"/>
  <c r="AC12" i="113"/>
  <c r="AC11" i="113"/>
  <c r="AC10" i="113"/>
  <c r="D9" i="126" l="1"/>
  <c r="E7" i="126"/>
  <c r="E8" i="126"/>
  <c r="G8" i="126"/>
  <c r="G9" i="126" s="1"/>
  <c r="U44" i="116"/>
  <c r="V44" i="116" s="1"/>
  <c r="AB44" i="115"/>
  <c r="AC44" i="115" s="1"/>
  <c r="AB44" i="114"/>
  <c r="AC44" i="114" s="1"/>
  <c r="AB44" i="113"/>
  <c r="AC44" i="113" s="1"/>
  <c r="U42" i="116"/>
  <c r="V42" i="116" s="1"/>
  <c r="AB42" i="115"/>
  <c r="AB42" i="114"/>
  <c r="AB42" i="113"/>
  <c r="AC42" i="113" s="1"/>
  <c r="U41" i="116"/>
  <c r="V41" i="116" s="1"/>
  <c r="AB40" i="115"/>
  <c r="AA40" i="115"/>
  <c r="Z40" i="115"/>
  <c r="Y40" i="115"/>
  <c r="X40" i="115"/>
  <c r="AB39" i="115"/>
  <c r="AC39" i="115" s="1"/>
  <c r="AA39" i="115"/>
  <c r="Z39" i="115"/>
  <c r="T37" i="116"/>
  <c r="U37" i="116"/>
  <c r="AB37" i="115"/>
  <c r="AB37" i="114"/>
  <c r="AB37" i="113"/>
  <c r="AC37" i="113" s="1"/>
  <c r="U36" i="116"/>
  <c r="U35" i="116"/>
  <c r="AB35" i="115"/>
  <c r="AC35" i="115" s="1"/>
  <c r="AB35" i="114"/>
  <c r="AC35" i="114" s="1"/>
  <c r="AB35" i="113"/>
  <c r="AC35" i="113" s="1"/>
  <c r="U34" i="116"/>
  <c r="V34" i="116" s="1"/>
  <c r="AB34" i="115"/>
  <c r="AC34" i="115" s="1"/>
  <c r="AB34" i="114"/>
  <c r="AC34" i="114" s="1"/>
  <c r="AB34" i="113"/>
  <c r="AC34" i="113" s="1"/>
  <c r="U33" i="116"/>
  <c r="V33" i="116" s="1"/>
  <c r="AB33" i="115"/>
  <c r="AC33" i="115" s="1"/>
  <c r="AB33" i="114"/>
  <c r="AC33" i="114" s="1"/>
  <c r="AB33" i="113"/>
  <c r="AC33" i="113" s="1"/>
  <c r="U30" i="116"/>
  <c r="V30" i="116" s="1"/>
  <c r="AB30" i="115"/>
  <c r="AC30" i="115" s="1"/>
  <c r="AB29" i="115"/>
  <c r="AC29" i="115" s="1"/>
  <c r="U29" i="116"/>
  <c r="Q28" i="116"/>
  <c r="R28" i="116"/>
  <c r="S28" i="116"/>
  <c r="T28" i="116"/>
  <c r="U28" i="116"/>
  <c r="AB28" i="115"/>
  <c r="AC28" i="115" s="1"/>
  <c r="AB28" i="114"/>
  <c r="AB28" i="113"/>
  <c r="AC28" i="113" s="1"/>
  <c r="AA27" i="113"/>
  <c r="AB27" i="113"/>
  <c r="AB27" i="115"/>
  <c r="AB27" i="114"/>
  <c r="U25" i="116"/>
  <c r="V25" i="116" s="1"/>
  <c r="U26" i="116"/>
  <c r="T26" i="116"/>
  <c r="S26" i="116"/>
  <c r="AB26" i="115"/>
  <c r="AA26" i="115"/>
  <c r="Z26" i="115"/>
  <c r="AB26" i="113"/>
  <c r="AC26" i="113" s="1"/>
  <c r="AA25" i="115"/>
  <c r="AB25" i="115"/>
  <c r="AC25" i="115" s="1"/>
  <c r="AB25" i="113"/>
  <c r="AA25" i="113"/>
  <c r="Z25" i="113"/>
  <c r="Y25" i="113"/>
  <c r="X25" i="113"/>
  <c r="W25" i="113"/>
  <c r="V25" i="113"/>
  <c r="U25" i="113"/>
  <c r="U24" i="116"/>
  <c r="V24" i="116" s="1"/>
  <c r="AB24" i="115"/>
  <c r="AC24" i="115" s="1"/>
  <c r="AB24" i="114"/>
  <c r="AB24" i="113"/>
  <c r="AC24" i="113" s="1"/>
  <c r="V26" i="116" l="1"/>
  <c r="V37" i="116"/>
  <c r="V28" i="116"/>
  <c r="AC26" i="115"/>
  <c r="AC40" i="115"/>
  <c r="AB8" i="114"/>
  <c r="AC25" i="113"/>
  <c r="AC27" i="113"/>
  <c r="E9" i="126"/>
  <c r="F8" i="126"/>
  <c r="F7" i="126"/>
  <c r="U22" i="116"/>
  <c r="T21" i="116"/>
  <c r="S21" i="116"/>
  <c r="U21" i="116"/>
  <c r="V21" i="116" s="1"/>
  <c r="AB21" i="115"/>
  <c r="AC21" i="115" s="1"/>
  <c r="F9" i="126" l="1"/>
  <c r="AB19" i="115"/>
  <c r="AA19" i="115"/>
  <c r="Z19" i="115"/>
  <c r="Y19" i="115"/>
  <c r="X19" i="115"/>
  <c r="U18" i="116"/>
  <c r="T18" i="116"/>
  <c r="V18" i="116" l="1"/>
  <c r="AC19" i="115"/>
  <c r="AB18" i="115"/>
  <c r="AA18" i="115"/>
  <c r="U17" i="116"/>
  <c r="V17" i="116" s="1"/>
  <c r="AB16" i="113"/>
  <c r="AA16" i="113"/>
  <c r="Z16" i="113"/>
  <c r="Y16" i="113"/>
  <c r="X16" i="113"/>
  <c r="W16" i="113"/>
  <c r="V16" i="113"/>
  <c r="U15" i="116"/>
  <c r="V15" i="116" s="1"/>
  <c r="U14" i="116"/>
  <c r="AB14" i="115"/>
  <c r="AC14" i="115" s="1"/>
  <c r="AB13" i="115"/>
  <c r="AB12" i="114"/>
  <c r="AA12" i="114"/>
  <c r="AB12" i="115"/>
  <c r="U8" i="116" l="1"/>
  <c r="U7" i="116"/>
  <c r="AC13" i="115"/>
  <c r="AB8" i="115"/>
  <c r="AB7" i="115"/>
  <c r="AC12" i="115"/>
  <c r="AC18" i="115"/>
  <c r="AC12" i="114"/>
  <c r="AB7" i="114"/>
  <c r="AB8" i="113"/>
  <c r="AC16" i="113"/>
  <c r="AB7" i="113"/>
  <c r="R7" i="123"/>
  <c r="Q7" i="123"/>
  <c r="Q9" i="123"/>
  <c r="R27" i="123"/>
  <c r="R5" i="122"/>
  <c r="R7" i="122" s="1"/>
  <c r="Q5" i="122"/>
  <c r="P5" i="122"/>
  <c r="P7" i="122" s="1"/>
  <c r="O5" i="122"/>
  <c r="N5" i="122"/>
  <c r="N7" i="122" s="1"/>
  <c r="M5" i="122"/>
  <c r="L5" i="122"/>
  <c r="L7" i="122" s="1"/>
  <c r="Q7" i="122"/>
  <c r="O7" i="122"/>
  <c r="M7" i="122"/>
  <c r="K7" i="122"/>
  <c r="J7" i="122"/>
  <c r="R6" i="122"/>
  <c r="Q6" i="122"/>
  <c r="P6" i="122"/>
  <c r="O6" i="122"/>
  <c r="N6" i="122"/>
  <c r="M6" i="122"/>
  <c r="L6" i="122"/>
  <c r="K6" i="122"/>
  <c r="J6" i="122"/>
  <c r="F6" i="122"/>
  <c r="F5" i="122"/>
  <c r="F7" i="122" s="1"/>
  <c r="F35" i="122"/>
  <c r="I6" i="122"/>
  <c r="I5" i="122"/>
  <c r="I7" i="122" s="1"/>
  <c r="I35" i="122"/>
  <c r="H6" i="122"/>
  <c r="H5" i="122"/>
  <c r="H7" i="122" s="1"/>
  <c r="H29" i="122"/>
  <c r="G7" i="122"/>
  <c r="G6" i="122"/>
  <c r="D6" i="122"/>
  <c r="C6" i="122"/>
  <c r="G5" i="122"/>
  <c r="G34" i="122"/>
  <c r="R40" i="122"/>
  <c r="R43" i="122"/>
  <c r="R19" i="122"/>
  <c r="R24" i="122"/>
  <c r="R35" i="122"/>
  <c r="R16" i="122"/>
  <c r="R9" i="122"/>
  <c r="Q9" i="122"/>
  <c r="U9" i="116" l="1"/>
  <c r="AB9" i="115"/>
  <c r="AB9" i="114"/>
  <c r="AB9" i="113"/>
  <c r="G9" i="127"/>
  <c r="F9" i="127"/>
  <c r="E9" i="127"/>
  <c r="D9" i="127"/>
  <c r="C9" i="127"/>
  <c r="G8" i="127"/>
  <c r="E8" i="127" l="1"/>
  <c r="E10" i="127" s="1"/>
  <c r="G10" i="127"/>
  <c r="F8" i="127"/>
  <c r="F10" i="127" s="1"/>
  <c r="D8" i="127"/>
  <c r="D10" i="127" s="1"/>
  <c r="J6" i="173"/>
  <c r="H16" i="173"/>
  <c r="C16" i="173"/>
  <c r="E7" i="173"/>
  <c r="P10" i="125"/>
  <c r="P11" i="125" s="1"/>
  <c r="O10" i="125"/>
  <c r="P12" i="125"/>
  <c r="P7" i="125"/>
  <c r="O15" i="125"/>
  <c r="O18" i="125" s="1"/>
  <c r="O12" i="125"/>
  <c r="O11" i="125"/>
  <c r="O7" i="125"/>
  <c r="O17" i="125"/>
  <c r="D29" i="124"/>
  <c r="C29" i="124"/>
  <c r="J20" i="124"/>
  <c r="I20" i="124"/>
  <c r="H8" i="124"/>
  <c r="G8" i="124"/>
  <c r="F8" i="124"/>
  <c r="E8" i="124"/>
  <c r="P7" i="170" l="1"/>
  <c r="R7" i="170" s="1"/>
  <c r="N7" i="170"/>
  <c r="L7" i="170"/>
  <c r="K7" i="170"/>
  <c r="J7" i="170"/>
  <c r="I7" i="170"/>
  <c r="H7" i="170"/>
  <c r="G7" i="170"/>
  <c r="F7" i="170"/>
  <c r="E7" i="170"/>
  <c r="D7" i="170"/>
  <c r="M7" i="170"/>
  <c r="O19" i="170"/>
  <c r="O44" i="170"/>
  <c r="O43" i="170"/>
  <c r="O41" i="170"/>
  <c r="O36" i="170"/>
  <c r="O34" i="170"/>
  <c r="O33" i="170"/>
  <c r="O32" i="170"/>
  <c r="O30" i="170"/>
  <c r="O29" i="170"/>
  <c r="O28" i="170"/>
  <c r="O27" i="170"/>
  <c r="O24" i="170"/>
  <c r="O23" i="170"/>
  <c r="O22" i="170"/>
  <c r="O21" i="170"/>
  <c r="O20" i="170"/>
  <c r="O18" i="170"/>
  <c r="O17" i="170"/>
  <c r="O16" i="170"/>
  <c r="O15" i="170"/>
  <c r="O14" i="170"/>
  <c r="O13" i="170"/>
  <c r="O11" i="170"/>
  <c r="O9" i="170"/>
  <c r="P6" i="170" l="1"/>
  <c r="O7" i="170"/>
  <c r="R40" i="117"/>
  <c r="V40" i="117" s="1"/>
  <c r="Q40" i="117"/>
  <c r="M7" i="118"/>
  <c r="L7" i="118"/>
  <c r="K7" i="118"/>
  <c r="J7" i="118"/>
  <c r="I7" i="118"/>
  <c r="H7" i="118"/>
  <c r="G7" i="118"/>
  <c r="F7" i="118"/>
  <c r="E7" i="118"/>
  <c r="D7" i="118"/>
  <c r="N23" i="118"/>
  <c r="P36" i="118"/>
  <c r="R36" i="118" s="1"/>
  <c r="P35" i="118"/>
  <c r="R35" i="118" s="1"/>
  <c r="P34" i="118"/>
  <c r="R34" i="118" s="1"/>
  <c r="O33" i="118"/>
  <c r="P33" i="118"/>
  <c r="R33" i="118" s="1"/>
  <c r="O30" i="118"/>
  <c r="P29" i="118"/>
  <c r="R29" i="118" s="1"/>
  <c r="P28" i="118"/>
  <c r="R28" i="118" s="1"/>
  <c r="P27" i="118"/>
  <c r="R27" i="118" s="1"/>
  <c r="O27" i="118"/>
  <c r="P25" i="118"/>
  <c r="R25" i="118" s="1"/>
  <c r="P20" i="118"/>
  <c r="R20" i="118" s="1"/>
  <c r="P15" i="118"/>
  <c r="R15" i="118" s="1"/>
  <c r="P14" i="118"/>
  <c r="R14" i="118" s="1"/>
  <c r="O12" i="118"/>
  <c r="P9" i="118"/>
  <c r="R9" i="118" s="1"/>
  <c r="O9" i="118"/>
  <c r="O44" i="118"/>
  <c r="O43" i="118"/>
  <c r="O41" i="118"/>
  <c r="O35" i="118"/>
  <c r="O34" i="118"/>
  <c r="O29" i="118"/>
  <c r="O28" i="118"/>
  <c r="O26" i="118"/>
  <c r="O25" i="118"/>
  <c r="O24" i="118"/>
  <c r="O22" i="118"/>
  <c r="O21" i="118"/>
  <c r="O20" i="118"/>
  <c r="O18" i="118"/>
  <c r="O17" i="118"/>
  <c r="O16" i="118"/>
  <c r="O15" i="118"/>
  <c r="O14" i="118"/>
  <c r="O13" i="118"/>
  <c r="AR26" i="120"/>
  <c r="AS22" i="120"/>
  <c r="AJ20" i="120"/>
  <c r="AK20" i="120"/>
  <c r="AL20" i="120"/>
  <c r="AM20" i="120"/>
  <c r="AN20" i="120"/>
  <c r="AO20" i="120"/>
  <c r="AP20" i="120"/>
  <c r="AQ20" i="120"/>
  <c r="AR20" i="120"/>
  <c r="AU11" i="120"/>
  <c r="AS40" i="120"/>
  <c r="AS39" i="120"/>
  <c r="AS38" i="120"/>
  <c r="AS37" i="120"/>
  <c r="AS36" i="120"/>
  <c r="AS35" i="120"/>
  <c r="AS34" i="120"/>
  <c r="AS33" i="120"/>
  <c r="AS32" i="120"/>
  <c r="AS31" i="120"/>
  <c r="AS30" i="120"/>
  <c r="AS29" i="120"/>
  <c r="AS28" i="120"/>
  <c r="AS27" i="120"/>
  <c r="AS26" i="120"/>
  <c r="AS25" i="120"/>
  <c r="AS24" i="120"/>
  <c r="AS23" i="120"/>
  <c r="AS21" i="120"/>
  <c r="AS19" i="120"/>
  <c r="AS18" i="120"/>
  <c r="AS17" i="120"/>
  <c r="AS16" i="120"/>
  <c r="AS15" i="120"/>
  <c r="AS14" i="120"/>
  <c r="AS13" i="120"/>
  <c r="AS12" i="120"/>
  <c r="AS10" i="120"/>
  <c r="AR40" i="120"/>
  <c r="AR39" i="120"/>
  <c r="AR38" i="120"/>
  <c r="AR37" i="120"/>
  <c r="AR36" i="120"/>
  <c r="AR35" i="120"/>
  <c r="AR34" i="120"/>
  <c r="AR33" i="120"/>
  <c r="AR32" i="120"/>
  <c r="AR31" i="120"/>
  <c r="AR30" i="120"/>
  <c r="AR29" i="120"/>
  <c r="AR28" i="120"/>
  <c r="AR27" i="120"/>
  <c r="AR25" i="120"/>
  <c r="AR24" i="120"/>
  <c r="AR23" i="120"/>
  <c r="AR22" i="120"/>
  <c r="AR21" i="120"/>
  <c r="AR19" i="120"/>
  <c r="AR18" i="120"/>
  <c r="AR17" i="120"/>
  <c r="AR16" i="120"/>
  <c r="AR15" i="120"/>
  <c r="AR14" i="120"/>
  <c r="AR13" i="120"/>
  <c r="AR12" i="120"/>
  <c r="AH8" i="120"/>
  <c r="AG8" i="120"/>
  <c r="AF8" i="120"/>
  <c r="AE8" i="120"/>
  <c r="AD8" i="120"/>
  <c r="AC8" i="120"/>
  <c r="AB8" i="120"/>
  <c r="AA8" i="120"/>
  <c r="Z8" i="120"/>
  <c r="Y8" i="120"/>
  <c r="W8" i="120"/>
  <c r="U8" i="120"/>
  <c r="T8" i="120"/>
  <c r="S8" i="120"/>
  <c r="R8" i="120"/>
  <c r="Q8" i="120"/>
  <c r="P8" i="120"/>
  <c r="O8" i="120"/>
  <c r="N8" i="120"/>
  <c r="L8" i="120"/>
  <c r="K8" i="120"/>
  <c r="J8" i="120"/>
  <c r="I8" i="120"/>
  <c r="H8" i="120"/>
  <c r="G8" i="120"/>
  <c r="F8" i="120"/>
  <c r="E8" i="120"/>
  <c r="D8" i="120"/>
  <c r="C8" i="120"/>
  <c r="V10" i="120"/>
  <c r="AR10" i="120" s="1"/>
  <c r="P8" i="170" l="1"/>
  <c r="R8" i="170" s="1"/>
  <c r="R6" i="170"/>
  <c r="O7" i="118"/>
  <c r="P6" i="118"/>
  <c r="P7" i="118"/>
  <c r="R7" i="118" s="1"/>
  <c r="V8" i="120"/>
  <c r="O6" i="118"/>
  <c r="AR8" i="120"/>
  <c r="AS8" i="120"/>
  <c r="AR7" i="120"/>
  <c r="AR9" i="120" s="1"/>
  <c r="AS7" i="120"/>
  <c r="AU7" i="120" s="1"/>
  <c r="AJ8" i="119"/>
  <c r="AI8" i="119"/>
  <c r="AH8" i="119"/>
  <c r="AG8" i="119"/>
  <c r="AF8" i="119"/>
  <c r="AE8" i="119"/>
  <c r="AD8" i="119"/>
  <c r="AC8" i="119"/>
  <c r="AB8" i="119"/>
  <c r="AA8" i="119"/>
  <c r="X8" i="119"/>
  <c r="W8" i="119"/>
  <c r="V8" i="119"/>
  <c r="U8" i="119"/>
  <c r="T8" i="119"/>
  <c r="S8" i="119"/>
  <c r="R8" i="119"/>
  <c r="Q8" i="119"/>
  <c r="P8" i="119"/>
  <c r="O8" i="119"/>
  <c r="L8" i="119"/>
  <c r="L7" i="119"/>
  <c r="N7" i="119" s="1"/>
  <c r="K8" i="119"/>
  <c r="J8" i="119"/>
  <c r="I8" i="119"/>
  <c r="H8" i="119"/>
  <c r="G8" i="119"/>
  <c r="F8" i="119"/>
  <c r="E8" i="119"/>
  <c r="K7" i="119"/>
  <c r="Q7" i="117"/>
  <c r="Q6" i="117"/>
  <c r="Q8" i="117" s="1"/>
  <c r="P8" i="118" l="1"/>
  <c r="R8" i="118" s="1"/>
  <c r="R6" i="118"/>
  <c r="O8" i="118"/>
  <c r="AS9" i="120"/>
  <c r="AU9" i="120" s="1"/>
  <c r="K9" i="119"/>
  <c r="L9" i="119"/>
  <c r="N9" i="119" s="1"/>
  <c r="T36" i="116" l="1"/>
  <c r="V36" i="116" s="1"/>
  <c r="T35" i="116"/>
  <c r="V35" i="116" s="1"/>
  <c r="T31" i="116"/>
  <c r="V31" i="116" s="1"/>
  <c r="T29" i="116"/>
  <c r="V29" i="116" s="1"/>
  <c r="T27" i="116"/>
  <c r="V27" i="116" s="1"/>
  <c r="S27" i="116"/>
  <c r="R27" i="116"/>
  <c r="T22" i="116" l="1"/>
  <c r="V22" i="116" s="1"/>
  <c r="T14" i="116"/>
  <c r="V14" i="116" s="1"/>
  <c r="T8" i="116" l="1"/>
  <c r="V8" i="116" s="1"/>
  <c r="T7" i="116"/>
  <c r="V7" i="116" s="1"/>
  <c r="G24" i="115"/>
  <c r="F24" i="115"/>
  <c r="AA42" i="115"/>
  <c r="AC42" i="115" s="1"/>
  <c r="AA37" i="115"/>
  <c r="AC37" i="115" s="1"/>
  <c r="T9" i="116" l="1"/>
  <c r="V9" i="116" s="1"/>
  <c r="AA27" i="115"/>
  <c r="AC27" i="115" s="1"/>
  <c r="Z27" i="115"/>
  <c r="Y27" i="115"/>
  <c r="AA31" i="115"/>
  <c r="AC31" i="115" s="1"/>
  <c r="C8" i="115"/>
  <c r="D8" i="115"/>
  <c r="E8" i="115"/>
  <c r="F8" i="115"/>
  <c r="G8" i="115"/>
  <c r="H8" i="115"/>
  <c r="I8" i="115"/>
  <c r="J8" i="115"/>
  <c r="K8" i="115"/>
  <c r="L8" i="115"/>
  <c r="M8" i="115"/>
  <c r="N8" i="115"/>
  <c r="O8" i="115"/>
  <c r="P8" i="115"/>
  <c r="Q8" i="115"/>
  <c r="R8" i="115"/>
  <c r="S8" i="115"/>
  <c r="T8" i="115"/>
  <c r="U8" i="115"/>
  <c r="V8" i="115"/>
  <c r="W8" i="115"/>
  <c r="X8" i="115"/>
  <c r="Y8" i="115"/>
  <c r="Z8" i="115"/>
  <c r="U7" i="115"/>
  <c r="V7" i="115"/>
  <c r="W7" i="115"/>
  <c r="X7" i="115"/>
  <c r="J7" i="115"/>
  <c r="K7" i="115"/>
  <c r="L7" i="115"/>
  <c r="M7" i="115"/>
  <c r="N7" i="115"/>
  <c r="O7" i="115"/>
  <c r="P7" i="115"/>
  <c r="Q7" i="115"/>
  <c r="R7" i="115"/>
  <c r="S7" i="115"/>
  <c r="T7" i="115"/>
  <c r="AA8" i="115" l="1"/>
  <c r="AC8" i="115" s="1"/>
  <c r="AA7" i="115"/>
  <c r="AC7" i="115" s="1"/>
  <c r="R9" i="115"/>
  <c r="P9" i="115"/>
  <c r="N9" i="115"/>
  <c r="L9" i="115"/>
  <c r="J9" i="115"/>
  <c r="T9" i="115"/>
  <c r="U9" i="115"/>
  <c r="S9" i="115"/>
  <c r="Q9" i="115"/>
  <c r="O9" i="115"/>
  <c r="M9" i="115"/>
  <c r="K9" i="115"/>
  <c r="X9" i="115"/>
  <c r="V9" i="115"/>
  <c r="W9" i="115"/>
  <c r="AA46" i="114"/>
  <c r="AC46" i="114" s="1"/>
  <c r="AA42" i="114"/>
  <c r="AC42" i="114" s="1"/>
  <c r="AA37" i="114"/>
  <c r="AC37" i="114" s="1"/>
  <c r="AA9" i="115" l="1"/>
  <c r="AC9" i="115" s="1"/>
  <c r="Y33" i="114"/>
  <c r="AA28" i="114"/>
  <c r="AC28" i="114" s="1"/>
  <c r="AA27" i="114"/>
  <c r="AC27" i="114" s="1"/>
  <c r="Y27" i="114"/>
  <c r="AA8" i="114" l="1"/>
  <c r="AC8" i="114" s="1"/>
  <c r="AA24" i="114"/>
  <c r="AC24" i="114" s="1"/>
  <c r="H8" i="114"/>
  <c r="G8" i="114"/>
  <c r="F8" i="114"/>
  <c r="E8" i="114"/>
  <c r="G27" i="114"/>
  <c r="F27" i="114"/>
  <c r="I23" i="114"/>
  <c r="H23" i="114"/>
  <c r="G23" i="114"/>
  <c r="F23" i="114"/>
  <c r="G12" i="114"/>
  <c r="F12" i="114"/>
  <c r="AA7" i="114" l="1"/>
  <c r="AC7" i="114" s="1"/>
  <c r="AA43" i="113"/>
  <c r="AC43" i="113" s="1"/>
  <c r="AA9" i="114" l="1"/>
  <c r="AC9" i="114" s="1"/>
  <c r="AA7" i="113" l="1"/>
  <c r="AC7" i="113" s="1"/>
  <c r="AA8" i="113"/>
  <c r="AC8" i="113" s="1"/>
  <c r="AA9" i="113" l="1"/>
  <c r="AC9" i="113" s="1"/>
  <c r="Q24" i="123"/>
  <c r="Q23" i="123"/>
  <c r="P7" i="123"/>
  <c r="Q21" i="122"/>
  <c r="Q15" i="122"/>
  <c r="Q14" i="122"/>
  <c r="Q13" i="122"/>
  <c r="S31" i="116" l="1"/>
  <c r="AQ40" i="120" l="1"/>
  <c r="AQ39" i="120"/>
  <c r="AQ38" i="120"/>
  <c r="AQ37" i="120"/>
  <c r="AQ36" i="120"/>
  <c r="AQ35" i="120"/>
  <c r="AQ34" i="120"/>
  <c r="AQ33" i="120"/>
  <c r="AQ32" i="120"/>
  <c r="AQ31" i="120"/>
  <c r="AQ30" i="120"/>
  <c r="AQ29" i="120"/>
  <c r="AQ28" i="120"/>
  <c r="AQ27" i="120"/>
  <c r="AQ26" i="120"/>
  <c r="AQ25" i="120"/>
  <c r="AQ24" i="120"/>
  <c r="AQ23" i="120"/>
  <c r="AQ21" i="120"/>
  <c r="AQ19" i="120"/>
  <c r="AQ18" i="120"/>
  <c r="AQ17" i="120"/>
  <c r="AQ16" i="120"/>
  <c r="AQ15" i="120"/>
  <c r="AQ14" i="120"/>
  <c r="AQ13" i="120"/>
  <c r="AQ12" i="120"/>
  <c r="AQ10" i="120"/>
  <c r="AQ8" i="120" s="1"/>
  <c r="AQ22" i="120"/>
  <c r="AK22" i="120"/>
  <c r="AL22" i="120"/>
  <c r="AM22" i="120"/>
  <c r="AN22" i="120"/>
  <c r="AO22" i="120"/>
  <c r="AP22" i="120"/>
  <c r="AJ22" i="120"/>
  <c r="J7" i="119"/>
  <c r="J9" i="119" s="1"/>
  <c r="AQ7" i="120" l="1"/>
  <c r="P26" i="117"/>
  <c r="P7" i="117"/>
  <c r="AQ9" i="120" l="1"/>
  <c r="P6" i="117"/>
  <c r="P8" i="117" s="1"/>
  <c r="L28" i="173" l="1"/>
  <c r="L30" i="173"/>
  <c r="L29" i="173"/>
  <c r="G30" i="173" l="1"/>
  <c r="G29" i="173"/>
  <c r="G28" i="173" l="1"/>
  <c r="N10" i="125"/>
  <c r="D34" i="124" l="1"/>
  <c r="C34" i="124"/>
  <c r="D33" i="124"/>
  <c r="C33" i="124"/>
  <c r="C13" i="124"/>
  <c r="C14" i="124"/>
  <c r="C15" i="124"/>
  <c r="C16" i="124"/>
  <c r="C17" i="124"/>
  <c r="C18" i="124"/>
  <c r="C19" i="124"/>
  <c r="C21" i="124"/>
  <c r="C22" i="124"/>
  <c r="C23" i="124"/>
  <c r="C24" i="124"/>
  <c r="C27" i="124"/>
  <c r="C28" i="124"/>
  <c r="C30" i="124"/>
  <c r="C31" i="124"/>
  <c r="C32" i="124"/>
  <c r="C35" i="124"/>
  <c r="C36" i="124"/>
  <c r="C37" i="124"/>
  <c r="C42" i="124"/>
  <c r="C43" i="124"/>
  <c r="C44" i="124"/>
  <c r="C45" i="124"/>
  <c r="C7" i="124" l="1"/>
  <c r="M6" i="170"/>
  <c r="O6" i="170" l="1"/>
  <c r="N6" i="170"/>
  <c r="H6" i="118"/>
  <c r="H8" i="118" s="1"/>
  <c r="I6" i="118"/>
  <c r="I8" i="118" s="1"/>
  <c r="J6" i="118"/>
  <c r="J8" i="118" s="1"/>
  <c r="K6" i="118"/>
  <c r="K8" i="118" s="1"/>
  <c r="L6" i="118"/>
  <c r="L8" i="118" s="1"/>
  <c r="M6" i="118"/>
  <c r="M8" i="118" s="1"/>
  <c r="N31" i="118"/>
  <c r="N44" i="118"/>
  <c r="N43" i="118"/>
  <c r="N41" i="118"/>
  <c r="N36" i="118"/>
  <c r="N35" i="118"/>
  <c r="N34" i="118"/>
  <c r="N33" i="118"/>
  <c r="N32" i="118"/>
  <c r="N6" i="118" l="1"/>
  <c r="N7" i="118"/>
  <c r="O8" i="170"/>
  <c r="N8" i="118" l="1"/>
  <c r="N8" i="170"/>
  <c r="S46" i="116" l="1"/>
  <c r="S44" i="116"/>
  <c r="S43" i="116"/>
  <c r="S42" i="116"/>
  <c r="S40" i="116"/>
  <c r="S20" i="116"/>
  <c r="S37" i="116"/>
  <c r="R37" i="116"/>
  <c r="S36" i="116" l="1"/>
  <c r="S35" i="116"/>
  <c r="S34" i="116"/>
  <c r="S33" i="116"/>
  <c r="S30" i="116"/>
  <c r="S29" i="116"/>
  <c r="S25" i="116" l="1"/>
  <c r="S24" i="116"/>
  <c r="S23" i="116"/>
  <c r="S22" i="116"/>
  <c r="S19" i="116"/>
  <c r="R19" i="116"/>
  <c r="R21" i="116"/>
  <c r="R22" i="116"/>
  <c r="R23" i="116"/>
  <c r="R24" i="116"/>
  <c r="R25" i="116"/>
  <c r="R29" i="116"/>
  <c r="R30" i="116"/>
  <c r="R31" i="116"/>
  <c r="R32" i="116"/>
  <c r="R33" i="116"/>
  <c r="R34" i="116"/>
  <c r="R35" i="116"/>
  <c r="R36" i="116"/>
  <c r="R20" i="116"/>
  <c r="R40" i="116"/>
  <c r="R42" i="116"/>
  <c r="R44" i="116"/>
  <c r="S18" i="116"/>
  <c r="R18" i="116"/>
  <c r="P18" i="116"/>
  <c r="O18" i="116"/>
  <c r="N18" i="116"/>
  <c r="S14" i="116"/>
  <c r="R16" i="116"/>
  <c r="R14" i="116"/>
  <c r="R13" i="116"/>
  <c r="R7" i="116" l="1"/>
  <c r="R8" i="116"/>
  <c r="S8" i="116"/>
  <c r="S7" i="116"/>
  <c r="Z44" i="115"/>
  <c r="Z42" i="115"/>
  <c r="R9" i="116" l="1"/>
  <c r="S9" i="116"/>
  <c r="Y42" i="115"/>
  <c r="Y44" i="115"/>
  <c r="Z43" i="113" l="1"/>
  <c r="O43" i="123" l="1"/>
  <c r="N43" i="123"/>
  <c r="L43" i="123"/>
  <c r="L40" i="123"/>
  <c r="L33" i="123"/>
  <c r="L32" i="123"/>
  <c r="L31" i="123"/>
  <c r="O30" i="123"/>
  <c r="N30" i="123"/>
  <c r="M30" i="123"/>
  <c r="L30" i="123"/>
  <c r="L29" i="123"/>
  <c r="O27" i="123"/>
  <c r="N27" i="123"/>
  <c r="M27" i="123"/>
  <c r="L27" i="123"/>
  <c r="N24" i="123"/>
  <c r="M24" i="123"/>
  <c r="L24" i="123"/>
  <c r="L23" i="123"/>
  <c r="O22" i="123"/>
  <c r="N22" i="123"/>
  <c r="M22" i="123"/>
  <c r="L22" i="123"/>
  <c r="L21" i="123"/>
  <c r="O19" i="123"/>
  <c r="N19" i="123"/>
  <c r="M19" i="123"/>
  <c r="L19" i="123"/>
  <c r="N17" i="123"/>
  <c r="L17" i="123"/>
  <c r="O16" i="123"/>
  <c r="N16" i="123"/>
  <c r="M16" i="123"/>
  <c r="L16" i="123"/>
  <c r="N15" i="123"/>
  <c r="M15" i="123"/>
  <c r="L15" i="123"/>
  <c r="L13" i="123"/>
  <c r="L12" i="123"/>
  <c r="L10" i="123"/>
  <c r="O9" i="123"/>
  <c r="N9" i="123"/>
  <c r="M9" i="123"/>
  <c r="L9" i="123"/>
  <c r="L8" i="123"/>
  <c r="O7" i="123"/>
  <c r="N7" i="123"/>
  <c r="M7" i="123"/>
  <c r="L7" i="123"/>
  <c r="K7" i="123"/>
  <c r="J7" i="123"/>
  <c r="I7" i="123"/>
  <c r="H7" i="123"/>
  <c r="G7" i="123"/>
  <c r="F7" i="123"/>
  <c r="E7" i="123"/>
  <c r="H6" i="123"/>
  <c r="G6" i="123"/>
  <c r="E6" i="123"/>
  <c r="D6" i="123"/>
  <c r="C6" i="123"/>
  <c r="H5" i="123"/>
  <c r="G5" i="123"/>
  <c r="O43" i="122"/>
  <c r="L43" i="122"/>
  <c r="K43" i="122"/>
  <c r="J43" i="122"/>
  <c r="I43" i="122"/>
  <c r="O35" i="122"/>
  <c r="M35" i="122"/>
  <c r="L35" i="122"/>
  <c r="K35" i="122"/>
  <c r="J35" i="122"/>
  <c r="O32" i="122"/>
  <c r="M32" i="122"/>
  <c r="L32" i="122"/>
  <c r="K32" i="122"/>
  <c r="J32" i="122"/>
  <c r="I32" i="122"/>
  <c r="O30" i="122"/>
  <c r="O29" i="122"/>
  <c r="M29" i="122"/>
  <c r="L29" i="122"/>
  <c r="K29" i="122"/>
  <c r="J29" i="122"/>
  <c r="I29" i="122"/>
  <c r="O27" i="122"/>
  <c r="M27" i="122"/>
  <c r="L27" i="122"/>
  <c r="K27" i="122"/>
  <c r="J27" i="122"/>
  <c r="I27" i="122"/>
  <c r="O24" i="122"/>
  <c r="M24" i="122"/>
  <c r="L24" i="122"/>
  <c r="K24" i="122"/>
  <c r="J24" i="122"/>
  <c r="I24" i="122"/>
  <c r="O19" i="122"/>
  <c r="M19" i="122"/>
  <c r="L19" i="122"/>
  <c r="K19" i="122"/>
  <c r="J19" i="122"/>
  <c r="I19" i="122"/>
  <c r="O17" i="122"/>
  <c r="M17" i="122"/>
  <c r="L17" i="122"/>
  <c r="K17" i="122"/>
  <c r="O16" i="122"/>
  <c r="M16" i="122"/>
  <c r="L16" i="122"/>
  <c r="K16" i="122"/>
  <c r="J16" i="122"/>
  <c r="I16" i="122"/>
  <c r="M15" i="122"/>
  <c r="L15" i="122"/>
  <c r="K15" i="122"/>
  <c r="J15" i="122"/>
  <c r="I12" i="122"/>
  <c r="O10" i="122"/>
  <c r="M10" i="122"/>
  <c r="L10" i="122"/>
  <c r="K10" i="122"/>
  <c r="O9" i="122"/>
  <c r="M9" i="122"/>
  <c r="L9" i="122"/>
  <c r="K9" i="122"/>
  <c r="J9" i="122"/>
  <c r="K5" i="122"/>
  <c r="J5" i="122"/>
  <c r="L35" i="173"/>
  <c r="G35" i="173"/>
  <c r="P7" i="116"/>
  <c r="P8" i="116"/>
  <c r="C8" i="127"/>
  <c r="C10" i="127" s="1"/>
  <c r="L23" i="173"/>
  <c r="G23" i="173"/>
  <c r="L22" i="173"/>
  <c r="L21" i="173"/>
  <c r="G21" i="173"/>
  <c r="L20" i="173"/>
  <c r="G20" i="173"/>
  <c r="L19" i="173"/>
  <c r="G19" i="173"/>
  <c r="L18" i="173"/>
  <c r="G18" i="173"/>
  <c r="L16" i="173"/>
  <c r="G22" i="173"/>
  <c r="L15" i="173"/>
  <c r="G15" i="173"/>
  <c r="L14" i="173"/>
  <c r="G14" i="173"/>
  <c r="L13" i="173"/>
  <c r="G13" i="173"/>
  <c r="L12" i="173"/>
  <c r="G12" i="173"/>
  <c r="G11" i="173"/>
  <c r="L10" i="173"/>
  <c r="G10" i="173"/>
  <c r="L9" i="173"/>
  <c r="G9" i="173"/>
  <c r="E6" i="173"/>
  <c r="C6" i="173"/>
  <c r="H6" i="173"/>
  <c r="L6" i="173" s="1"/>
  <c r="M18" i="125"/>
  <c r="L18" i="125"/>
  <c r="K18" i="125"/>
  <c r="J18" i="125"/>
  <c r="H18" i="125"/>
  <c r="G18" i="125"/>
  <c r="F18" i="125"/>
  <c r="E18" i="125"/>
  <c r="D18" i="125"/>
  <c r="C18" i="125"/>
  <c r="M17" i="125"/>
  <c r="L17" i="125"/>
  <c r="K17" i="125"/>
  <c r="J17" i="125"/>
  <c r="H17" i="125"/>
  <c r="G17" i="125"/>
  <c r="F17" i="125"/>
  <c r="E17" i="125"/>
  <c r="D17" i="125"/>
  <c r="C17" i="125"/>
  <c r="N15" i="125"/>
  <c r="N18" i="125" s="1"/>
  <c r="I15" i="125"/>
  <c r="I18" i="125"/>
  <c r="N13" i="125"/>
  <c r="N12" i="125"/>
  <c r="N11" i="125"/>
  <c r="N7" i="125"/>
  <c r="E7" i="124"/>
  <c r="E9" i="124" s="1"/>
  <c r="F7" i="124"/>
  <c r="F9" i="124" s="1"/>
  <c r="G7" i="124"/>
  <c r="G9" i="124" s="1"/>
  <c r="H7" i="124"/>
  <c r="H9" i="124" s="1"/>
  <c r="C8" i="124"/>
  <c r="J10" i="124"/>
  <c r="I11" i="124"/>
  <c r="D13" i="124"/>
  <c r="I13" i="124"/>
  <c r="J13" i="124"/>
  <c r="D14" i="124"/>
  <c r="I14" i="124"/>
  <c r="J14" i="124"/>
  <c r="D15" i="124"/>
  <c r="I15" i="124"/>
  <c r="J15" i="124"/>
  <c r="D16" i="124"/>
  <c r="I16" i="124"/>
  <c r="J16" i="124"/>
  <c r="D17" i="124"/>
  <c r="I17" i="124"/>
  <c r="J17" i="124"/>
  <c r="D18" i="124"/>
  <c r="I18" i="124"/>
  <c r="J18" i="124"/>
  <c r="D19" i="124"/>
  <c r="I19" i="124"/>
  <c r="J19" i="124"/>
  <c r="D21" i="124"/>
  <c r="I21" i="124"/>
  <c r="J21" i="124"/>
  <c r="D22" i="124"/>
  <c r="I22" i="124"/>
  <c r="J22" i="124"/>
  <c r="D23" i="124"/>
  <c r="I23" i="124"/>
  <c r="J23" i="124"/>
  <c r="D24" i="124"/>
  <c r="I24" i="124"/>
  <c r="J24" i="124"/>
  <c r="D27" i="124"/>
  <c r="I27" i="124"/>
  <c r="J27" i="124"/>
  <c r="D28" i="124"/>
  <c r="I28" i="124"/>
  <c r="J28" i="124"/>
  <c r="I29" i="124"/>
  <c r="J29" i="124"/>
  <c r="D30" i="124"/>
  <c r="J30" i="124" s="1"/>
  <c r="I30" i="124"/>
  <c r="D31" i="124"/>
  <c r="I31" i="124"/>
  <c r="J31" i="124"/>
  <c r="D32" i="124"/>
  <c r="I32" i="124"/>
  <c r="J32" i="124"/>
  <c r="I33" i="124"/>
  <c r="J33" i="124"/>
  <c r="D35" i="124"/>
  <c r="I35" i="124"/>
  <c r="J35" i="124"/>
  <c r="D36" i="124"/>
  <c r="I36" i="124"/>
  <c r="J36" i="124"/>
  <c r="D37" i="124"/>
  <c r="I37" i="124"/>
  <c r="J37" i="124"/>
  <c r="I39" i="124"/>
  <c r="J39" i="124"/>
  <c r="D42" i="124"/>
  <c r="I42" i="124"/>
  <c r="J42" i="124"/>
  <c r="D43" i="124"/>
  <c r="I43" i="124"/>
  <c r="J43" i="124"/>
  <c r="D44" i="124"/>
  <c r="I44" i="124"/>
  <c r="J44" i="124"/>
  <c r="D45" i="124"/>
  <c r="I45" i="124"/>
  <c r="J45" i="124"/>
  <c r="M8" i="170"/>
  <c r="AP40" i="120"/>
  <c r="AO40" i="120"/>
  <c r="AN40" i="120"/>
  <c r="AM40" i="120"/>
  <c r="AL40" i="120"/>
  <c r="AK40" i="120"/>
  <c r="AJ40" i="120"/>
  <c r="AP39" i="120"/>
  <c r="AO39" i="120"/>
  <c r="AN39" i="120"/>
  <c r="AM39" i="120"/>
  <c r="AL39" i="120"/>
  <c r="AK39" i="120"/>
  <c r="AJ39" i="120"/>
  <c r="AP38" i="120"/>
  <c r="AO38" i="120"/>
  <c r="AN38" i="120"/>
  <c r="AM38" i="120"/>
  <c r="AL38" i="120"/>
  <c r="AK38" i="120"/>
  <c r="AJ38" i="120"/>
  <c r="AP37" i="120"/>
  <c r="AO37" i="120"/>
  <c r="AN37" i="120"/>
  <c r="AM37" i="120"/>
  <c r="AL37" i="120"/>
  <c r="AK37" i="120"/>
  <c r="AJ37" i="120"/>
  <c r="AP36" i="120"/>
  <c r="AO36" i="120"/>
  <c r="AN36" i="120"/>
  <c r="AM36" i="120"/>
  <c r="AL36" i="120"/>
  <c r="AK36" i="120"/>
  <c r="AJ36" i="120"/>
  <c r="AP35" i="120"/>
  <c r="AO35" i="120"/>
  <c r="AN35" i="120"/>
  <c r="AM35" i="120"/>
  <c r="AL35" i="120"/>
  <c r="AK35" i="120"/>
  <c r="AJ35" i="120"/>
  <c r="AP34" i="120"/>
  <c r="AO34" i="120"/>
  <c r="AN34" i="120"/>
  <c r="AM34" i="120"/>
  <c r="AL34" i="120"/>
  <c r="AK34" i="120"/>
  <c r="AJ34" i="120"/>
  <c r="AP33" i="120"/>
  <c r="AO33" i="120"/>
  <c r="AN33" i="120"/>
  <c r="AM33" i="120"/>
  <c r="AL33" i="120"/>
  <c r="AK33" i="120"/>
  <c r="AJ33" i="120"/>
  <c r="AP32" i="120"/>
  <c r="AO32" i="120"/>
  <c r="AN32" i="120"/>
  <c r="AM32" i="120"/>
  <c r="AL32" i="120"/>
  <c r="AP31" i="120"/>
  <c r="AO31" i="120"/>
  <c r="AN31" i="120"/>
  <c r="AM31" i="120"/>
  <c r="AL31" i="120"/>
  <c r="AK31" i="120"/>
  <c r="AJ31" i="120"/>
  <c r="AP30" i="120"/>
  <c r="AO30" i="120"/>
  <c r="AN30" i="120"/>
  <c r="AM30" i="120"/>
  <c r="AL30" i="120"/>
  <c r="AK30" i="120"/>
  <c r="AJ30" i="120"/>
  <c r="AP29" i="120"/>
  <c r="AO29" i="120"/>
  <c r="AN29" i="120"/>
  <c r="AM29" i="120"/>
  <c r="AL29" i="120"/>
  <c r="AK29" i="120"/>
  <c r="AJ29" i="120"/>
  <c r="AP28" i="120"/>
  <c r="AO28" i="120"/>
  <c r="AN28" i="120"/>
  <c r="AM28" i="120"/>
  <c r="AL28" i="120"/>
  <c r="AK28" i="120"/>
  <c r="AJ28" i="120"/>
  <c r="AP27" i="120"/>
  <c r="AO27" i="120"/>
  <c r="AN27" i="120"/>
  <c r="AM27" i="120"/>
  <c r="AL27" i="120"/>
  <c r="AK27" i="120"/>
  <c r="AJ27" i="120"/>
  <c r="AP26" i="120"/>
  <c r="AO26" i="120"/>
  <c r="AN26" i="120"/>
  <c r="AP25" i="120"/>
  <c r="AO25" i="120"/>
  <c r="AN25" i="120"/>
  <c r="AM25" i="120"/>
  <c r="AL25" i="120"/>
  <c r="AK25" i="120"/>
  <c r="AJ25" i="120"/>
  <c r="AP24" i="120"/>
  <c r="AO24" i="120"/>
  <c r="AN24" i="120"/>
  <c r="AM24" i="120"/>
  <c r="AL24" i="120"/>
  <c r="AK24" i="120"/>
  <c r="AJ24" i="120"/>
  <c r="AP23" i="120"/>
  <c r="AO23" i="120"/>
  <c r="AN23" i="120"/>
  <c r="AM23" i="120"/>
  <c r="AL23" i="120"/>
  <c r="AK23" i="120"/>
  <c r="AJ23" i="120"/>
  <c r="AP21" i="120"/>
  <c r="AO21" i="120"/>
  <c r="AN21" i="120"/>
  <c r="AM21" i="120"/>
  <c r="AL21" i="120"/>
  <c r="AK21" i="120"/>
  <c r="AJ21" i="120"/>
  <c r="AP19" i="120"/>
  <c r="AO19" i="120"/>
  <c r="AN19" i="120"/>
  <c r="AM19" i="120"/>
  <c r="AL19" i="120"/>
  <c r="AK19" i="120"/>
  <c r="AJ19" i="120"/>
  <c r="AP18" i="120"/>
  <c r="AO18" i="120"/>
  <c r="AN18" i="120"/>
  <c r="AM18" i="120"/>
  <c r="AL18" i="120"/>
  <c r="AK18" i="120"/>
  <c r="AJ18" i="120"/>
  <c r="AP17" i="120"/>
  <c r="AO17" i="120"/>
  <c r="AN17" i="120"/>
  <c r="AM17" i="120"/>
  <c r="AL17" i="120"/>
  <c r="AK17" i="120"/>
  <c r="AJ17" i="120"/>
  <c r="AP16" i="120"/>
  <c r="AO16" i="120"/>
  <c r="AN16" i="120"/>
  <c r="AM16" i="120"/>
  <c r="AL16" i="120"/>
  <c r="AK16" i="120"/>
  <c r="AJ16" i="120"/>
  <c r="AP15" i="120"/>
  <c r="AO15" i="120"/>
  <c r="AN15" i="120"/>
  <c r="AM15" i="120"/>
  <c r="AL15" i="120"/>
  <c r="AK15" i="120"/>
  <c r="AJ15" i="120"/>
  <c r="AP14" i="120"/>
  <c r="AO14" i="120"/>
  <c r="AN14" i="120"/>
  <c r="AM14" i="120"/>
  <c r="AL14" i="120"/>
  <c r="AK14" i="120"/>
  <c r="AJ14" i="120"/>
  <c r="AP13" i="120"/>
  <c r="AO13" i="120"/>
  <c r="AN13" i="120"/>
  <c r="AM13" i="120"/>
  <c r="AL13" i="120"/>
  <c r="AK13" i="120"/>
  <c r="AJ13" i="120"/>
  <c r="AP12" i="120"/>
  <c r="AO12" i="120"/>
  <c r="AN12" i="120"/>
  <c r="AM12" i="120"/>
  <c r="AL12" i="120"/>
  <c r="AK12" i="120"/>
  <c r="AJ12" i="120"/>
  <c r="AP10" i="120"/>
  <c r="AO10" i="120"/>
  <c r="AN10" i="120"/>
  <c r="AM10" i="120"/>
  <c r="AL10" i="120"/>
  <c r="AK10" i="120"/>
  <c r="AK8" i="120" s="1"/>
  <c r="AJ10" i="120"/>
  <c r="AJ8" i="120" s="1"/>
  <c r="D8" i="119"/>
  <c r="C8" i="119"/>
  <c r="I7" i="119"/>
  <c r="I9" i="119" s="1"/>
  <c r="H7" i="119"/>
  <c r="H9" i="119" s="1"/>
  <c r="G7" i="119"/>
  <c r="G9" i="119" s="1"/>
  <c r="F7" i="119"/>
  <c r="F9" i="119" s="1"/>
  <c r="E7" i="119"/>
  <c r="E9" i="119" s="1"/>
  <c r="O26" i="117"/>
  <c r="O6" i="117" s="1"/>
  <c r="L26" i="117"/>
  <c r="K26" i="117"/>
  <c r="J26" i="117"/>
  <c r="I26" i="117"/>
  <c r="H26" i="117"/>
  <c r="M21" i="117"/>
  <c r="M6" i="117" s="1"/>
  <c r="L21" i="117"/>
  <c r="K21" i="117"/>
  <c r="K6" i="117" s="1"/>
  <c r="J21" i="117"/>
  <c r="I21" i="117"/>
  <c r="I6" i="117" s="1"/>
  <c r="H21" i="117"/>
  <c r="G21" i="117"/>
  <c r="F21" i="117"/>
  <c r="E21" i="117"/>
  <c r="R7" i="117"/>
  <c r="V7" i="117" s="1"/>
  <c r="O7" i="117"/>
  <c r="N7" i="117"/>
  <c r="M7" i="117"/>
  <c r="L7" i="117"/>
  <c r="K7" i="117"/>
  <c r="J7" i="117"/>
  <c r="I7" i="117"/>
  <c r="H7" i="117"/>
  <c r="G7" i="117"/>
  <c r="F7" i="117"/>
  <c r="E7" i="117"/>
  <c r="D7" i="117"/>
  <c r="C7" i="117"/>
  <c r="R6" i="117"/>
  <c r="V6" i="117" s="1"/>
  <c r="N6" i="117"/>
  <c r="N8" i="117" s="1"/>
  <c r="L6" i="117"/>
  <c r="L8" i="117" s="1"/>
  <c r="J6" i="117"/>
  <c r="J8" i="117" s="1"/>
  <c r="H6" i="117"/>
  <c r="H8" i="117" s="1"/>
  <c r="Q46" i="116"/>
  <c r="Q44" i="116"/>
  <c r="P44" i="116"/>
  <c r="O44" i="116"/>
  <c r="N44" i="116"/>
  <c r="M44" i="116"/>
  <c r="Q40" i="116"/>
  <c r="Q20" i="116"/>
  <c r="O20" i="116"/>
  <c r="Q37" i="116"/>
  <c r="O37" i="116"/>
  <c r="N37" i="116"/>
  <c r="Q36" i="116"/>
  <c r="O36" i="116"/>
  <c r="N36" i="116"/>
  <c r="M36" i="116"/>
  <c r="L36" i="116"/>
  <c r="K36" i="116"/>
  <c r="J36" i="116"/>
  <c r="I36" i="116"/>
  <c r="H36" i="116"/>
  <c r="G36" i="116"/>
  <c r="F36" i="116"/>
  <c r="E36" i="116"/>
  <c r="D36" i="116"/>
  <c r="C36" i="116"/>
  <c r="Q35" i="116"/>
  <c r="O35" i="116"/>
  <c r="N35" i="116"/>
  <c r="M35" i="116"/>
  <c r="L35" i="116"/>
  <c r="K35" i="116"/>
  <c r="J35" i="116"/>
  <c r="I35" i="116"/>
  <c r="H35" i="116"/>
  <c r="G35" i="116"/>
  <c r="F35" i="116"/>
  <c r="E35" i="116"/>
  <c r="D35" i="116"/>
  <c r="C35" i="116"/>
  <c r="Q33" i="116"/>
  <c r="O33" i="116"/>
  <c r="N33" i="116"/>
  <c r="M33" i="116"/>
  <c r="L33" i="116"/>
  <c r="K33" i="116"/>
  <c r="J33" i="116"/>
  <c r="Q32" i="116"/>
  <c r="O32" i="116"/>
  <c r="N32" i="116"/>
  <c r="M32" i="116"/>
  <c r="L32" i="116"/>
  <c r="K32" i="116"/>
  <c r="J32" i="116"/>
  <c r="I32" i="116"/>
  <c r="H32" i="116"/>
  <c r="G32" i="116"/>
  <c r="F32" i="116"/>
  <c r="E32" i="116"/>
  <c r="D32" i="116"/>
  <c r="C32" i="116"/>
  <c r="Q31" i="116"/>
  <c r="O31" i="116"/>
  <c r="N31" i="116"/>
  <c r="Q30" i="116"/>
  <c r="O30" i="116"/>
  <c r="N30" i="116"/>
  <c r="M30" i="116"/>
  <c r="Q29" i="116"/>
  <c r="O29" i="116"/>
  <c r="N29" i="116"/>
  <c r="M29" i="116"/>
  <c r="L29" i="116"/>
  <c r="K29" i="116"/>
  <c r="J29" i="116"/>
  <c r="I29" i="116"/>
  <c r="H29" i="116"/>
  <c r="G29" i="116"/>
  <c r="F29" i="116"/>
  <c r="E29" i="116"/>
  <c r="D29" i="116"/>
  <c r="C29" i="116"/>
  <c r="O28" i="116"/>
  <c r="N28" i="116"/>
  <c r="M28" i="116"/>
  <c r="L28" i="116"/>
  <c r="K28" i="116"/>
  <c r="J28" i="116"/>
  <c r="I28" i="116"/>
  <c r="H28" i="116"/>
  <c r="G28" i="116"/>
  <c r="F28" i="116"/>
  <c r="E28" i="116"/>
  <c r="D28" i="116"/>
  <c r="C28" i="116"/>
  <c r="Q27" i="116"/>
  <c r="N27" i="116"/>
  <c r="M27" i="116"/>
  <c r="L27" i="116"/>
  <c r="Q26" i="116"/>
  <c r="Q25" i="116"/>
  <c r="O25" i="116"/>
  <c r="N25" i="116"/>
  <c r="M25" i="116"/>
  <c r="L25" i="116"/>
  <c r="K25" i="116"/>
  <c r="J25" i="116"/>
  <c r="I25" i="116"/>
  <c r="H25" i="116"/>
  <c r="G25" i="116"/>
  <c r="F25" i="116"/>
  <c r="E25" i="116"/>
  <c r="D25" i="116"/>
  <c r="C25" i="116"/>
  <c r="Q24" i="116"/>
  <c r="O24" i="116"/>
  <c r="Q23" i="116"/>
  <c r="O23" i="116"/>
  <c r="N23" i="116"/>
  <c r="M23" i="116"/>
  <c r="L23" i="116"/>
  <c r="Q22" i="116"/>
  <c r="Q21" i="116"/>
  <c r="O21" i="116"/>
  <c r="N21" i="116"/>
  <c r="M21" i="116"/>
  <c r="L21" i="116"/>
  <c r="K21" i="116"/>
  <c r="J21" i="116"/>
  <c r="I21" i="116"/>
  <c r="H21" i="116"/>
  <c r="G21" i="116"/>
  <c r="F21" i="116"/>
  <c r="E21" i="116"/>
  <c r="D21" i="116"/>
  <c r="C21" i="116"/>
  <c r="Q19" i="116"/>
  <c r="O19" i="116"/>
  <c r="N19" i="116"/>
  <c r="M19" i="116"/>
  <c r="L19" i="116"/>
  <c r="K19" i="116"/>
  <c r="J19" i="116"/>
  <c r="I19" i="116"/>
  <c r="H19" i="116"/>
  <c r="G19" i="116"/>
  <c r="F19" i="116"/>
  <c r="E19" i="116"/>
  <c r="D19" i="116"/>
  <c r="C19" i="116"/>
  <c r="Q18" i="116"/>
  <c r="M18" i="116"/>
  <c r="L18" i="116"/>
  <c r="L8" i="116" s="1"/>
  <c r="K18" i="116"/>
  <c r="J18" i="116"/>
  <c r="J7" i="116" s="1"/>
  <c r="I18" i="116"/>
  <c r="Q15" i="116"/>
  <c r="Q14" i="116"/>
  <c r="O14" i="116"/>
  <c r="N14" i="116"/>
  <c r="M14" i="116"/>
  <c r="L14" i="116"/>
  <c r="K14" i="116"/>
  <c r="K8" i="116" s="1"/>
  <c r="J14" i="116"/>
  <c r="I14" i="116"/>
  <c r="I8" i="116" s="1"/>
  <c r="H14" i="116"/>
  <c r="G14" i="116"/>
  <c r="F14" i="116"/>
  <c r="E14" i="116"/>
  <c r="D14" i="116"/>
  <c r="C14" i="116"/>
  <c r="Q13" i="116"/>
  <c r="O13" i="116"/>
  <c r="O7" i="116" s="1"/>
  <c r="N13" i="116"/>
  <c r="M13" i="116"/>
  <c r="M8" i="116" s="1"/>
  <c r="Q11" i="116"/>
  <c r="Q8" i="116"/>
  <c r="X46" i="115"/>
  <c r="X45" i="115"/>
  <c r="X44" i="115"/>
  <c r="W44" i="115"/>
  <c r="V44" i="115"/>
  <c r="U44" i="115"/>
  <c r="T44" i="115"/>
  <c r="X43" i="115"/>
  <c r="T43" i="115"/>
  <c r="R43" i="115"/>
  <c r="Q43" i="115"/>
  <c r="P43" i="115"/>
  <c r="O43" i="115"/>
  <c r="N43" i="115"/>
  <c r="M43" i="115"/>
  <c r="L43" i="115"/>
  <c r="K43" i="115"/>
  <c r="J43" i="115"/>
  <c r="I43" i="115"/>
  <c r="H43" i="115"/>
  <c r="G43" i="115"/>
  <c r="F43" i="115"/>
  <c r="E43" i="115"/>
  <c r="X42" i="115"/>
  <c r="W42" i="115"/>
  <c r="V42" i="115"/>
  <c r="U42" i="115"/>
  <c r="T42" i="115"/>
  <c r="S42" i="115"/>
  <c r="R42" i="115"/>
  <c r="Q42" i="115"/>
  <c r="P42" i="115"/>
  <c r="O42" i="115"/>
  <c r="N42" i="115"/>
  <c r="M42" i="115"/>
  <c r="L42" i="115"/>
  <c r="K42" i="115"/>
  <c r="J42" i="115"/>
  <c r="I42" i="115"/>
  <c r="H42" i="115"/>
  <c r="G42" i="115"/>
  <c r="W40" i="115"/>
  <c r="V40" i="115"/>
  <c r="U40" i="115"/>
  <c r="T40" i="115"/>
  <c r="S40" i="115"/>
  <c r="R40" i="115"/>
  <c r="Y46" i="114"/>
  <c r="X46" i="114"/>
  <c r="W46" i="114"/>
  <c r="V46" i="114"/>
  <c r="U46" i="114"/>
  <c r="T46" i="114"/>
  <c r="S46" i="114"/>
  <c r="R46" i="114"/>
  <c r="Q46" i="114"/>
  <c r="P46" i="114"/>
  <c r="O46" i="114"/>
  <c r="X45" i="114"/>
  <c r="Y42" i="114"/>
  <c r="X42" i="114"/>
  <c r="W42" i="114"/>
  <c r="V42" i="114"/>
  <c r="U42" i="114"/>
  <c r="T42" i="114"/>
  <c r="S42" i="114"/>
  <c r="R42" i="114"/>
  <c r="Y40" i="114"/>
  <c r="X40" i="114"/>
  <c r="W40" i="114"/>
  <c r="V40" i="114"/>
  <c r="Y37" i="114"/>
  <c r="X37" i="114"/>
  <c r="W37" i="114"/>
  <c r="W8" i="114" s="1"/>
  <c r="V37" i="114"/>
  <c r="V8" i="114" s="1"/>
  <c r="U37" i="114"/>
  <c r="U8" i="114" s="1"/>
  <c r="T37" i="114"/>
  <c r="T8" i="114" s="1"/>
  <c r="S37" i="114"/>
  <c r="S8" i="114" s="1"/>
  <c r="R37" i="114"/>
  <c r="R8" i="114" s="1"/>
  <c r="Q37" i="114"/>
  <c r="Q8" i="114" s="1"/>
  <c r="P37" i="114"/>
  <c r="P8" i="114" s="1"/>
  <c r="O37" i="114"/>
  <c r="O8" i="114" s="1"/>
  <c r="N37" i="114"/>
  <c r="N8" i="114" s="1"/>
  <c r="M37" i="114"/>
  <c r="M8" i="114" s="1"/>
  <c r="L37" i="114"/>
  <c r="L8" i="114" s="1"/>
  <c r="K37" i="114"/>
  <c r="K8" i="114" s="1"/>
  <c r="J37" i="114"/>
  <c r="J8" i="114" s="1"/>
  <c r="I37" i="114"/>
  <c r="I8" i="114" s="1"/>
  <c r="X36" i="114"/>
  <c r="Y35" i="114"/>
  <c r="X35" i="114"/>
  <c r="Y34" i="114"/>
  <c r="X34" i="114"/>
  <c r="X32" i="114"/>
  <c r="V32" i="114"/>
  <c r="U32" i="114"/>
  <c r="T32" i="114"/>
  <c r="S32" i="114"/>
  <c r="R32" i="114"/>
  <c r="Q32" i="114"/>
  <c r="P32" i="114"/>
  <c r="O32" i="114"/>
  <c r="N32" i="114"/>
  <c r="M32" i="114"/>
  <c r="L32" i="114"/>
  <c r="K32" i="114"/>
  <c r="J32" i="114"/>
  <c r="I32" i="114"/>
  <c r="H32" i="114"/>
  <c r="G32" i="114"/>
  <c r="F32" i="114"/>
  <c r="E32" i="114"/>
  <c r="X31" i="114"/>
  <c r="Y29" i="114"/>
  <c r="Y28" i="114"/>
  <c r="X27" i="114"/>
  <c r="W27" i="114"/>
  <c r="V27" i="114"/>
  <c r="U27" i="114"/>
  <c r="T27" i="114"/>
  <c r="P27" i="114"/>
  <c r="O27" i="114"/>
  <c r="N27" i="114"/>
  <c r="M27" i="114"/>
  <c r="Y26" i="114"/>
  <c r="X25" i="114"/>
  <c r="Y24" i="114"/>
  <c r="X24" i="114"/>
  <c r="W24" i="114"/>
  <c r="V24" i="114"/>
  <c r="U24" i="114"/>
  <c r="T24" i="114"/>
  <c r="S24" i="114"/>
  <c r="R24" i="114"/>
  <c r="Q24" i="114"/>
  <c r="P24" i="114"/>
  <c r="O24" i="114"/>
  <c r="N24" i="114"/>
  <c r="M24" i="114"/>
  <c r="L24" i="114"/>
  <c r="K24" i="114"/>
  <c r="J24" i="114"/>
  <c r="X22" i="114"/>
  <c r="Y16" i="114"/>
  <c r="X16" i="114"/>
  <c r="Y14" i="114"/>
  <c r="Y13" i="114"/>
  <c r="X13" i="114"/>
  <c r="X8" i="114" s="1"/>
  <c r="Y12" i="114"/>
  <c r="X12" i="114"/>
  <c r="X7" i="114" s="1"/>
  <c r="W12" i="114"/>
  <c r="W7" i="114" s="1"/>
  <c r="W9" i="114" s="1"/>
  <c r="V12" i="114"/>
  <c r="V7" i="114" s="1"/>
  <c r="V9" i="114" s="1"/>
  <c r="U12" i="114"/>
  <c r="U7" i="114" s="1"/>
  <c r="U9" i="114" s="1"/>
  <c r="T12" i="114"/>
  <c r="T7" i="114" s="1"/>
  <c r="T9" i="114" s="1"/>
  <c r="S12" i="114"/>
  <c r="S7" i="114" s="1"/>
  <c r="S9" i="114" s="1"/>
  <c r="R12" i="114"/>
  <c r="R7" i="114" s="1"/>
  <c r="R9" i="114" s="1"/>
  <c r="Q12" i="114"/>
  <c r="Q7" i="114" s="1"/>
  <c r="Q9" i="114" s="1"/>
  <c r="P12" i="114"/>
  <c r="P7" i="114" s="1"/>
  <c r="P9" i="114" s="1"/>
  <c r="O12" i="114"/>
  <c r="O7" i="114" s="1"/>
  <c r="O9" i="114" s="1"/>
  <c r="N12" i="114"/>
  <c r="N7" i="114" s="1"/>
  <c r="N9" i="114" s="1"/>
  <c r="M12" i="114"/>
  <c r="M7" i="114" s="1"/>
  <c r="M9" i="114" s="1"/>
  <c r="L12" i="114"/>
  <c r="L7" i="114" s="1"/>
  <c r="L9" i="114" s="1"/>
  <c r="K12" i="114"/>
  <c r="K7" i="114" s="1"/>
  <c r="K9" i="114" s="1"/>
  <c r="J12" i="114"/>
  <c r="J7" i="114" s="1"/>
  <c r="J9" i="114" s="1"/>
  <c r="I12" i="114"/>
  <c r="H11" i="114"/>
  <c r="G11" i="114"/>
  <c r="F11" i="114"/>
  <c r="E11" i="114"/>
  <c r="E7" i="114" s="1"/>
  <c r="E9" i="114" s="1"/>
  <c r="D8" i="114"/>
  <c r="C8" i="114"/>
  <c r="X46" i="113"/>
  <c r="X45" i="113"/>
  <c r="Y42" i="113"/>
  <c r="X42" i="113"/>
  <c r="X40" i="113"/>
  <c r="W40" i="113"/>
  <c r="V40" i="113"/>
  <c r="U37" i="113"/>
  <c r="T37" i="113"/>
  <c r="S37" i="113"/>
  <c r="R37" i="113"/>
  <c r="Q37" i="113"/>
  <c r="P37" i="113"/>
  <c r="O37" i="113"/>
  <c r="N37" i="113"/>
  <c r="M37" i="113"/>
  <c r="U27" i="113"/>
  <c r="T27" i="113"/>
  <c r="S27" i="113"/>
  <c r="R27" i="113"/>
  <c r="Q27" i="113"/>
  <c r="P27" i="113"/>
  <c r="O27" i="113"/>
  <c r="N27" i="113"/>
  <c r="M27" i="113"/>
  <c r="L27" i="113"/>
  <c r="T25" i="113"/>
  <c r="U16" i="113"/>
  <c r="T16" i="113"/>
  <c r="S16" i="113"/>
  <c r="R16" i="113"/>
  <c r="Q16" i="113"/>
  <c r="P16" i="113"/>
  <c r="O16" i="113"/>
  <c r="N16" i="113"/>
  <c r="M16" i="113"/>
  <c r="L16" i="113"/>
  <c r="L8" i="113" s="1"/>
  <c r="K16" i="113"/>
  <c r="K8" i="113" s="1"/>
  <c r="J16" i="113"/>
  <c r="I16" i="113"/>
  <c r="I8" i="113" s="1"/>
  <c r="H16" i="113"/>
  <c r="H8" i="113" s="1"/>
  <c r="G16" i="113"/>
  <c r="G8" i="113" s="1"/>
  <c r="F16" i="113"/>
  <c r="E16" i="113"/>
  <c r="E8" i="113" s="1"/>
  <c r="X8" i="113"/>
  <c r="P8" i="113"/>
  <c r="J8" i="113"/>
  <c r="F8" i="113"/>
  <c r="D8" i="113"/>
  <c r="C8" i="113"/>
  <c r="J7" i="113"/>
  <c r="F7" i="113"/>
  <c r="L11" i="173"/>
  <c r="G16" i="173"/>
  <c r="L7" i="173"/>
  <c r="I17" i="125"/>
  <c r="N17" i="125"/>
  <c r="I8" i="117" l="1"/>
  <c r="K8" i="117"/>
  <c r="M8" i="117"/>
  <c r="O8" i="117"/>
  <c r="L7" i="116"/>
  <c r="L9" i="116" s="1"/>
  <c r="P7" i="113"/>
  <c r="P9" i="113" s="1"/>
  <c r="R8" i="117"/>
  <c r="V8" i="117" s="1"/>
  <c r="H8" i="116"/>
  <c r="H7" i="116"/>
  <c r="J8" i="116"/>
  <c r="J9" i="116" s="1"/>
  <c r="P9" i="116"/>
  <c r="T7" i="113"/>
  <c r="X9" i="114"/>
  <c r="N8" i="116"/>
  <c r="H24" i="114"/>
  <c r="H7" i="114" s="1"/>
  <c r="H9" i="114" s="1"/>
  <c r="F24" i="114"/>
  <c r="F7" i="114" s="1"/>
  <c r="F9" i="114" s="1"/>
  <c r="I24" i="114"/>
  <c r="I7" i="114" s="1"/>
  <c r="I9" i="114" s="1"/>
  <c r="G24" i="114"/>
  <c r="G7" i="114" s="1"/>
  <c r="G9" i="114" s="1"/>
  <c r="D8" i="124"/>
  <c r="AM7" i="120"/>
  <c r="AM8" i="120"/>
  <c r="AO7" i="120"/>
  <c r="AO8" i="120"/>
  <c r="AL7" i="120"/>
  <c r="AL8" i="120"/>
  <c r="AN7" i="120"/>
  <c r="AN8" i="120"/>
  <c r="AP7" i="120"/>
  <c r="AP8" i="120"/>
  <c r="Q7" i="116"/>
  <c r="Q9" i="116" s="1"/>
  <c r="I7" i="116"/>
  <c r="I9" i="116" s="1"/>
  <c r="K7" i="116"/>
  <c r="K9" i="116" s="1"/>
  <c r="M7" i="116"/>
  <c r="M9" i="116" s="1"/>
  <c r="O8" i="116"/>
  <c r="O9" i="116" s="1"/>
  <c r="N7" i="116"/>
  <c r="N9" i="116" s="1"/>
  <c r="H7" i="113"/>
  <c r="H9" i="113" s="1"/>
  <c r="L7" i="113"/>
  <c r="L9" i="113" s="1"/>
  <c r="M8" i="113"/>
  <c r="O8" i="113"/>
  <c r="Q8" i="113"/>
  <c r="S8" i="113"/>
  <c r="U8" i="113"/>
  <c r="W8" i="113"/>
  <c r="X7" i="113"/>
  <c r="X9" i="113" s="1"/>
  <c r="T8" i="113"/>
  <c r="T9" i="113" s="1"/>
  <c r="N7" i="113"/>
  <c r="R7" i="113"/>
  <c r="F9" i="113"/>
  <c r="J9" i="113"/>
  <c r="N8" i="113"/>
  <c r="R8" i="113"/>
  <c r="R9" i="113" s="1"/>
  <c r="G7" i="173"/>
  <c r="G6" i="173"/>
  <c r="C9" i="124"/>
  <c r="D7" i="124"/>
  <c r="J11" i="124"/>
  <c r="I10" i="124"/>
  <c r="V7" i="113"/>
  <c r="V8" i="113"/>
  <c r="E7" i="113"/>
  <c r="E9" i="113" s="1"/>
  <c r="G7" i="113"/>
  <c r="G9" i="113" s="1"/>
  <c r="I7" i="113"/>
  <c r="I9" i="113" s="1"/>
  <c r="K7" i="113"/>
  <c r="K9" i="113" s="1"/>
  <c r="M7" i="113"/>
  <c r="M9" i="113" s="1"/>
  <c r="O7" i="113"/>
  <c r="Q7" i="113"/>
  <c r="Q9" i="113" s="1"/>
  <c r="S7" i="113"/>
  <c r="U7" i="113"/>
  <c r="U9" i="113" s="1"/>
  <c r="W7" i="113"/>
  <c r="H9" i="116" l="1"/>
  <c r="AP9" i="120"/>
  <c r="AN9" i="120"/>
  <c r="AL9" i="120"/>
  <c r="AO9" i="120"/>
  <c r="AM9" i="120"/>
  <c r="D9" i="124"/>
  <c r="N9" i="113"/>
  <c r="W9" i="113"/>
  <c r="S9" i="113"/>
  <c r="O9" i="113"/>
  <c r="V9" i="113"/>
  <c r="Y8" i="113"/>
  <c r="Y7" i="113"/>
  <c r="Y7" i="115" l="1"/>
  <c r="Z7" i="115"/>
  <c r="Z8" i="114"/>
  <c r="Y9" i="113"/>
  <c r="Z7" i="113"/>
  <c r="Z8" i="113"/>
  <c r="Z9" i="115" l="1"/>
  <c r="Y9" i="115"/>
  <c r="Y7" i="114"/>
  <c r="Y8" i="114"/>
  <c r="Z7" i="114"/>
  <c r="Z9" i="113"/>
  <c r="Z9" i="114" l="1"/>
  <c r="Y9" i="114"/>
</calcChain>
</file>

<file path=xl/sharedStrings.xml><?xml version="1.0" encoding="utf-8"?>
<sst xmlns="http://schemas.openxmlformats.org/spreadsheetml/2006/main" count="1989" uniqueCount="277">
  <si>
    <t>Notes:</t>
  </si>
  <si>
    <t>MK</t>
  </si>
  <si>
    <t>change</t>
  </si>
  <si>
    <t>thousand</t>
  </si>
  <si>
    <t>Light commercial vehicles</t>
  </si>
  <si>
    <t>Commercial Vehicles</t>
  </si>
  <si>
    <t>Heavy Commercial Vehicles</t>
  </si>
  <si>
    <t>&lt; 3.5t</t>
  </si>
  <si>
    <t>&gt; 3,5t &amp; &lt; 16t</t>
  </si>
  <si>
    <t>&gt; 16t</t>
  </si>
  <si>
    <t>Number of passenger cars per 1000 inhabitants</t>
  </si>
  <si>
    <t>Road : Passenger Cars</t>
  </si>
  <si>
    <t>Stock of vehicles</t>
  </si>
  <si>
    <t>Road : Buses and Coaches</t>
  </si>
  <si>
    <t xml:space="preserve">    Road : Goods Vehicles</t>
  </si>
  <si>
    <t>Road : Powered Two-wheelers</t>
  </si>
  <si>
    <t>Rail : Locomotives and Railcars</t>
  </si>
  <si>
    <t>Rail : Passenger Transport Vehicles</t>
  </si>
  <si>
    <t>Rail : Goods Transport Wagons</t>
  </si>
  <si>
    <t>Sea : EU Merchant Fleet</t>
  </si>
  <si>
    <t>Total fleet controlled</t>
  </si>
  <si>
    <t>Number</t>
  </si>
  <si>
    <t>mio dwt</t>
  </si>
  <si>
    <t>Sea : World Merchant Fleet</t>
  </si>
  <si>
    <t>Europe*</t>
  </si>
  <si>
    <t>North America</t>
  </si>
  <si>
    <t>Latin America</t>
  </si>
  <si>
    <t>Asia/Oceania</t>
  </si>
  <si>
    <t>Africa</t>
  </si>
  <si>
    <t>Unknown</t>
  </si>
  <si>
    <t>(ships of 300 gt and over)</t>
  </si>
  <si>
    <t>Bulk carriers</t>
  </si>
  <si>
    <t>General cargo</t>
  </si>
  <si>
    <t>EU27</t>
  </si>
  <si>
    <t>(ships of 1000 gt and over)</t>
  </si>
  <si>
    <t xml:space="preserve">Passenger aircraft </t>
  </si>
  <si>
    <t>50 seats or less</t>
  </si>
  <si>
    <t>51 to 150 seats</t>
  </si>
  <si>
    <t>151 to 250 seats</t>
  </si>
  <si>
    <t>251 seats and more</t>
  </si>
  <si>
    <t>Freight / Cargo</t>
  </si>
  <si>
    <t>Quick-change convertible</t>
  </si>
  <si>
    <t xml:space="preserve">Special purpose / Ambulance </t>
  </si>
  <si>
    <t>Business / Corporate / Executive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</si>
  <si>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</si>
  <si>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</si>
  <si>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</si>
  <si>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</si>
  <si>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</si>
  <si>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</si>
  <si>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</si>
  <si>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</si>
  <si>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</si>
  <si>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</si>
  <si>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</si>
  <si>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</si>
  <si>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</si>
  <si>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</si>
  <si>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</si>
  <si>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</si>
  <si>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</si>
  <si>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</si>
  <si>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</si>
  <si>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</si>
  <si>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</si>
  <si>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</si>
  <si>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</si>
  <si>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</si>
  <si>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</si>
  <si>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</si>
  <si>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</si>
  <si>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</si>
  <si>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</si>
  <si>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</si>
  <si>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</si>
  <si>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</si>
  <si>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-</t>
  </si>
  <si>
    <t>HR</t>
  </si>
  <si>
    <t>World</t>
  </si>
  <si>
    <t>Total</t>
  </si>
  <si>
    <t>More than 30 000 small private planes not included.</t>
  </si>
  <si>
    <t>(1)</t>
  </si>
  <si>
    <t>Note:</t>
  </si>
  <si>
    <t xml:space="preserve">  </t>
  </si>
  <si>
    <t>LI</t>
  </si>
  <si>
    <t xml:space="preserve">   of which: </t>
  </si>
  <si>
    <t>Reefer</t>
  </si>
  <si>
    <t>No deadweight figure is given for cruise ships, since dwt is a measure of the weight admissible in the vessel.</t>
  </si>
  <si>
    <t>Ro-Ro: vehicles roll on to embark, vehicles roll off to disembark.</t>
  </si>
  <si>
    <t>Liquid gas tankers</t>
  </si>
  <si>
    <t>Ore/ bulk / oil carriers</t>
  </si>
  <si>
    <t>Container ships</t>
  </si>
  <si>
    <t>Reefer: refrigerated ships.</t>
  </si>
  <si>
    <t>New vehicle registrations</t>
  </si>
  <si>
    <t>Road : Motorcycles</t>
  </si>
  <si>
    <t>Road : Mopeds</t>
  </si>
  <si>
    <t>Number of Civil Aircraft In Service</t>
  </si>
  <si>
    <t>New vehicle deliveries</t>
  </si>
  <si>
    <t>On 1st January:</t>
  </si>
  <si>
    <t>Total controlled fleet by world region</t>
  </si>
  <si>
    <t>World region</t>
  </si>
  <si>
    <t>Share of EU in Total and of Foreign Flag in EU</t>
  </si>
  <si>
    <t>Light buses and coaches</t>
  </si>
  <si>
    <t>Buses and coaches</t>
  </si>
  <si>
    <t>Heavy buses and coaches</t>
  </si>
  <si>
    <t>&lt;3.5t</t>
  </si>
  <si>
    <t>%</t>
  </si>
  <si>
    <t>Data relate to main railways (UIC members)</t>
  </si>
  <si>
    <t>(passenger / cargo)</t>
  </si>
  <si>
    <t>mtow</t>
  </si>
  <si>
    <t>Multi-role</t>
  </si>
  <si>
    <r>
      <t>mtow</t>
    </r>
    <r>
      <rPr>
        <sz val="8"/>
        <rFont val="Arial"/>
        <family val="2"/>
      </rPr>
      <t>: maximum take-off weight</t>
    </r>
  </si>
  <si>
    <t>Total fleet</t>
  </si>
  <si>
    <t>2007*</t>
  </si>
  <si>
    <t>Stock of registered vehicles</t>
  </si>
  <si>
    <t>In this table blank means none.</t>
  </si>
  <si>
    <t>EUROPEAN UNION</t>
  </si>
  <si>
    <t>European Commission</t>
  </si>
  <si>
    <t>Means of Transport</t>
  </si>
  <si>
    <t>Road: Passenger Cars : Stock of Vehicles</t>
  </si>
  <si>
    <t>Road: Buses and Coaches : Stock of Vehicles</t>
  </si>
  <si>
    <t>Road: Goods Vehicles : Stock of Vehicles</t>
  </si>
  <si>
    <t>Road: Powered Two-wheelers : Stock of Vehicles</t>
  </si>
  <si>
    <t>Road: Passenger Cars : New Vehicle Registrations</t>
  </si>
  <si>
    <t>Road: Goods Vehicles : New Vehicle Registrations</t>
  </si>
  <si>
    <t>Road: Buses and Coaches : New Vehicle Registrations</t>
  </si>
  <si>
    <t>Road: Motorcycles : New Vehicle Registrations</t>
  </si>
  <si>
    <t>Road: Mopeds : New Vehicle Deliveries</t>
  </si>
  <si>
    <t>Sea:  EU Merchant Fleet</t>
  </si>
  <si>
    <t>Sea:  World Merchant Fleet by World Region</t>
  </si>
  <si>
    <t>Sea:  World Merchant Fleet by Type of Ship</t>
  </si>
  <si>
    <t>Rail: Passenger Transport Vehicles: Stocks of  Coaches, Railcars and Trailers</t>
  </si>
  <si>
    <t>Rail: Goods Transport Wagons : Stock of Vehicles</t>
  </si>
  <si>
    <r>
      <t xml:space="preserve">in co-operation with </t>
    </r>
    <r>
      <rPr>
        <b/>
        <sz val="10"/>
        <rFont val="Arial"/>
        <family val="2"/>
      </rPr>
      <t>Eurostat</t>
    </r>
  </si>
  <si>
    <r>
      <t>Source</t>
    </r>
    <r>
      <rPr>
        <sz val="8"/>
        <rFont val="Arial"/>
        <family val="2"/>
      </rPr>
      <t>: Association des Constructeurs Européens d'Automobiles (ACEA), national sources</t>
    </r>
  </si>
  <si>
    <r>
      <t>For transport of goods and passengers: fleet by type of ship and country of domicile</t>
    </r>
    <r>
      <rPr>
        <sz val="10"/>
        <rFont val="Arial"/>
        <family val="2"/>
      </rPr>
      <t xml:space="preserve">, numbers and deadweight </t>
    </r>
  </si>
  <si>
    <t>Tankers</t>
  </si>
  <si>
    <t>Passenger and passenger cargo</t>
  </si>
  <si>
    <t>Cargo passenger and Ro-Ro passenger ships</t>
  </si>
  <si>
    <t>2008*</t>
  </si>
  <si>
    <t>(1) figures included in other categories</t>
  </si>
  <si>
    <t>(1) Data included under "Light commercial vehicles"</t>
  </si>
  <si>
    <t>Road : Motorisation</t>
  </si>
  <si>
    <t>Directorate-General for Mobility and Transport</t>
  </si>
  <si>
    <t>TRANSPORT IN FIGURES</t>
  </si>
  <si>
    <t>Part 2  :  TRANSPORT</t>
  </si>
  <si>
    <t>Chapter 2.6  :</t>
  </si>
  <si>
    <t>2.6.1</t>
  </si>
  <si>
    <t>Road: Motorisation : Number of Passenger Cars per 1000 Inhabitants</t>
  </si>
  <si>
    <t>2.6.2</t>
  </si>
  <si>
    <t>2.6.3</t>
  </si>
  <si>
    <t>2.6.4</t>
  </si>
  <si>
    <t>2.6.5</t>
  </si>
  <si>
    <t>2.6.6</t>
  </si>
  <si>
    <t>2.6.7</t>
  </si>
  <si>
    <t>2.6.8</t>
  </si>
  <si>
    <t>2.6.9</t>
  </si>
  <si>
    <t>2.6.10</t>
  </si>
  <si>
    <t>2.6.11</t>
  </si>
  <si>
    <t>2.6.12a</t>
  </si>
  <si>
    <t>2.6.12b</t>
  </si>
  <si>
    <t>2.6.13</t>
  </si>
  <si>
    <t>Air:   Passenger Aircraft : Number in Service</t>
  </si>
  <si>
    <t>2.6.14</t>
  </si>
  <si>
    <t>Air:   Freight, Special,  Business Aircraft : Number in Service</t>
  </si>
  <si>
    <t>2.6.15</t>
  </si>
  <si>
    <t>Rail: Locomotives and Railcars : Stock of Vehicles</t>
  </si>
  <si>
    <t>2.6.16</t>
  </si>
  <si>
    <t>2.6.17</t>
  </si>
  <si>
    <t>Taxis are usually included.</t>
  </si>
  <si>
    <t>Only ships of 1000 gt and over</t>
  </si>
  <si>
    <r>
      <t>For transport of goods and passengers: passenger and passenger / cargo ships by registered flag</t>
    </r>
    <r>
      <rPr>
        <sz val="10"/>
        <rFont val="Arial"/>
        <family val="2"/>
      </rPr>
      <t>, numbers and gross tons</t>
    </r>
  </si>
  <si>
    <r>
      <t>Cruise ships by registered flag</t>
    </r>
    <r>
      <rPr>
        <sz val="10"/>
        <rFont val="Arial"/>
        <family val="2"/>
      </rPr>
      <t>, numbers and gross tons</t>
    </r>
  </si>
  <si>
    <t>Air : Passenger Aircraft</t>
  </si>
  <si>
    <t>Air : Freight, Special, Business Aircraft</t>
  </si>
  <si>
    <t xml:space="preserve">Stock of coaches, railcars and trailers  </t>
  </si>
  <si>
    <t>2009*</t>
  </si>
  <si>
    <r>
      <t>Source</t>
    </r>
    <r>
      <rPr>
        <sz val="8"/>
        <rFont val="Arial"/>
        <family val="2"/>
      </rPr>
      <t>: tables 2.6.2 and 1.5</t>
    </r>
  </si>
  <si>
    <r>
      <t>Notes:</t>
    </r>
    <r>
      <rPr>
        <b/>
        <sz val="8"/>
        <rFont val="Arial"/>
        <family val="2"/>
      </rPr>
      <t/>
    </r>
  </si>
  <si>
    <r>
      <t xml:space="preserve">Stock at end of year, except for </t>
    </r>
    <r>
      <rPr>
        <b/>
        <sz val="8"/>
        <rFont val="Arial"/>
        <family val="2"/>
      </rPr>
      <t>BE:</t>
    </r>
    <r>
      <rPr>
        <sz val="8"/>
        <rFont val="Arial"/>
        <family val="2"/>
      </rPr>
      <t xml:space="preserve"> 1 August, </t>
    </r>
    <r>
      <rPr>
        <b/>
        <sz val="8"/>
        <rFont val="Arial"/>
        <family val="2"/>
      </rPr>
      <t>CH:</t>
    </r>
    <r>
      <rPr>
        <sz val="8"/>
        <rFont val="Arial"/>
        <family val="2"/>
      </rPr>
      <t xml:space="preserve"> 30 September, </t>
    </r>
    <r>
      <rPr>
        <b/>
        <sz val="8"/>
        <rFont val="Arial"/>
        <family val="2"/>
      </rPr>
      <t>LI:</t>
    </r>
    <r>
      <rPr>
        <sz val="8"/>
        <rFont val="Arial"/>
        <family val="2"/>
      </rPr>
      <t xml:space="preserve"> 1 July.</t>
    </r>
    <r>
      <rPr>
        <b/>
        <sz val="8"/>
        <rFont val="Arial"/>
        <family val="2"/>
      </rPr>
      <t/>
    </r>
  </si>
  <si>
    <r>
      <t>Data include buses, coaches, minibuses and sometimes also trolleybuses.</t>
    </r>
    <r>
      <rPr>
        <b/>
        <sz val="8"/>
        <rFont val="Arial"/>
        <family val="2"/>
      </rPr>
      <t/>
    </r>
  </si>
  <si>
    <r>
      <t xml:space="preserve">Notes: </t>
    </r>
    <r>
      <rPr>
        <b/>
        <sz val="8"/>
        <rFont val="Arial"/>
        <family val="2"/>
      </rPr>
      <t/>
    </r>
  </si>
  <si>
    <r>
      <t>As a rule, data include heavy and light goods vehicles, lorries and road tractors; due to varying concepts of such vehicles, data are not fully comparable between countries.</t>
    </r>
    <r>
      <rPr>
        <b/>
        <sz val="8"/>
        <rFont val="Arial"/>
        <family val="2"/>
      </rPr>
      <t/>
    </r>
  </si>
  <si>
    <r>
      <t>Source:</t>
    </r>
    <r>
      <rPr>
        <sz val="8"/>
        <rFont val="Arial"/>
        <family val="2"/>
      </rPr>
      <t xml:space="preserve"> national statistics, Association des Constructeurs Européens de Motocycles (ACEM).</t>
    </r>
  </si>
  <si>
    <r>
      <t>National vehicle stock data do not always include all powered two-wheelers and are therefore not fully comparable between countries.</t>
    </r>
    <r>
      <rPr>
        <b/>
        <sz val="8"/>
        <rFont val="Arial"/>
        <family val="2"/>
      </rPr>
      <t/>
    </r>
  </si>
  <si>
    <r>
      <t>Tricycles and quads are sometimes included in the data.</t>
    </r>
    <r>
      <rPr>
        <b/>
        <sz val="8"/>
        <rFont val="Arial"/>
        <family val="2"/>
      </rPr>
      <t/>
    </r>
  </si>
  <si>
    <r>
      <t>Notes</t>
    </r>
    <r>
      <rPr>
        <sz val="8"/>
        <rFont val="Arial"/>
        <family val="2"/>
      </rPr>
      <t>:</t>
    </r>
  </si>
  <si>
    <r>
      <t>IT</t>
    </r>
    <r>
      <rPr>
        <sz val="8"/>
        <rFont val="Arial"/>
        <family val="2"/>
      </rPr>
      <t>: all two-wheelers over 50cc</t>
    </r>
  </si>
  <si>
    <r>
      <t>dwt</t>
    </r>
    <r>
      <rPr>
        <sz val="8"/>
        <rFont val="Arial"/>
        <family val="2"/>
      </rPr>
      <t xml:space="preserve"> (million)</t>
    </r>
  </si>
  <si>
    <r>
      <t>Notes:</t>
    </r>
    <r>
      <rPr>
        <sz val="8"/>
        <rFont val="Arial"/>
        <family val="2"/>
      </rPr>
      <t xml:space="preserve"> </t>
    </r>
  </si>
  <si>
    <r>
      <t xml:space="preserve">dwt </t>
    </r>
    <r>
      <rPr>
        <sz val="8"/>
        <rFont val="Arial"/>
        <family val="2"/>
      </rPr>
      <t>(1000)</t>
    </r>
  </si>
  <si>
    <r>
      <t xml:space="preserve">gt </t>
    </r>
    <r>
      <rPr>
        <sz val="8"/>
        <rFont val="Arial"/>
        <family val="2"/>
      </rPr>
      <t>(1000)</t>
    </r>
  </si>
  <si>
    <r>
      <t>Source</t>
    </r>
    <r>
      <rPr>
        <sz val="8"/>
        <rFont val="Arial"/>
        <family val="2"/>
      </rPr>
      <t>: Institute for Shipping Economics and Logistics, Bremen</t>
    </r>
  </si>
  <si>
    <r>
      <t>Source</t>
    </r>
    <r>
      <rPr>
        <sz val="8"/>
        <rFont val="Arial"/>
        <family val="2"/>
      </rPr>
      <t>: Ascend</t>
    </r>
  </si>
  <si>
    <r>
      <t>Special purpose / Ambulance</t>
    </r>
    <r>
      <rPr>
        <sz val="8"/>
        <rFont val="Arial"/>
        <family val="2"/>
      </rPr>
      <t>: contains data about Hospital / Ambulance / Medevac and Special Role / Operations / Mission aircraft.</t>
    </r>
  </si>
  <si>
    <r>
      <rPr>
        <b/>
        <sz val="8"/>
        <rFont val="Arial"/>
        <family val="2"/>
      </rPr>
      <t>CY</t>
    </r>
    <r>
      <rPr>
        <sz val="8"/>
        <rFont val="Arial"/>
        <family val="2"/>
      </rPr>
      <t>: new and used</t>
    </r>
  </si>
  <si>
    <t xml:space="preserve">Passenger (not Ro-Ro) </t>
  </si>
  <si>
    <r>
      <rPr>
        <b/>
        <sz val="8"/>
        <rFont val="Arial"/>
        <family val="2"/>
      </rPr>
      <t>HR:</t>
    </r>
    <r>
      <rPr>
        <sz val="8"/>
        <rFont val="Arial"/>
        <family val="2"/>
      </rPr>
      <t xml:space="preserve"> from 2009 light vans are included in passenger cars and no longer in Good Vehicles</t>
    </r>
  </si>
  <si>
    <t>Road: Goods vehicles</t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</si>
  <si>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</t>
    </r>
    <r>
      <rPr>
        <sz val="8"/>
        <rFont val="Arial"/>
        <family val="2"/>
      </rPr>
      <t>: 1970=5</t>
    </r>
    <r>
      <rPr>
        <i/>
        <sz val="8"/>
        <rFont val="Arial"/>
        <family val="2"/>
      </rPr>
      <t>000</t>
    </r>
    <r>
      <rPr>
        <sz val="8"/>
        <rFont val="Arial"/>
        <family val="2"/>
      </rPr>
      <t>;   1980=4506;   1990=6331</t>
    </r>
  </si>
  <si>
    <r>
      <t>CS:</t>
    </r>
    <r>
      <rPr>
        <sz val="8"/>
        <rFont val="Arial"/>
        <family val="2"/>
      </rPr>
      <t xml:space="preserve"> 1970: 4998;  1990: 6010</t>
    </r>
  </si>
  <si>
    <r>
      <t>Source</t>
    </r>
    <r>
      <rPr>
        <sz val="8"/>
        <rFont val="Arial"/>
        <family val="2"/>
      </rPr>
      <t>:  Union Internationale des Chemins de Fer, national statistics, estimates</t>
    </r>
    <r>
      <rPr>
        <i/>
        <sz val="8"/>
        <rFont val="Arial"/>
        <family val="2"/>
      </rPr>
      <t xml:space="preserve"> (in italics)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</si>
  <si>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</t>
    </r>
    <r>
      <rPr>
        <sz val="8"/>
        <rFont val="Arial"/>
        <family val="2"/>
      </rPr>
      <t>: 1970=</t>
    </r>
    <r>
      <rPr>
        <i/>
        <sz val="8"/>
        <rFont val="Arial"/>
        <family val="2"/>
      </rPr>
      <t>10000</t>
    </r>
    <r>
      <rPr>
        <sz val="8"/>
        <rFont val="Arial"/>
        <family val="2"/>
      </rPr>
      <t>,  1980=10761,  1990=9635</t>
    </r>
  </si>
  <si>
    <r>
      <t>CS:</t>
    </r>
    <r>
      <rPr>
        <sz val="8"/>
        <rFont val="Arial"/>
        <family val="2"/>
      </rPr>
      <t xml:space="preserve"> 1970=10145   1990=8597</t>
    </r>
  </si>
  <si>
    <t>2010*</t>
  </si>
  <si>
    <r>
      <t>Source</t>
    </r>
    <r>
      <rPr>
        <sz val="8"/>
        <rFont val="Arial"/>
        <family val="2"/>
      </rPr>
      <t xml:space="preserve">:  Union Internationale des Chemins de Fer, national statistics (own estimates in </t>
    </r>
    <r>
      <rPr>
        <i/>
        <sz val="8"/>
        <rFont val="Arial"/>
        <family val="2"/>
      </rPr>
      <t>italics</t>
    </r>
    <r>
      <rPr>
        <sz val="8"/>
        <rFont val="Arial"/>
        <family val="2"/>
      </rPr>
      <t>)</t>
    </r>
  </si>
  <si>
    <r>
      <t>*</t>
    </r>
    <r>
      <rPr>
        <sz val="8"/>
        <rFont val="Arial"/>
        <family val="2"/>
      </rPr>
      <t>: not including private-owners' vehicles; not fully comparable with data of previous years.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</si>
  <si>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</t>
    </r>
    <r>
      <rPr>
        <sz val="8"/>
        <rFont val="Arial"/>
        <family val="2"/>
      </rPr>
      <t xml:space="preserve">: 1970=137 984;  1980=142 202;  1990=163 158 </t>
    </r>
  </si>
  <si>
    <r>
      <t>Source</t>
    </r>
    <r>
      <rPr>
        <sz val="8"/>
        <rFont val="Arial"/>
        <family val="2"/>
      </rPr>
      <t xml:space="preserve">: Eurostat, National statistics, United Nations Economic Commission for Europe,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</si>
  <si>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Eurostat, national statistics, United Nations Economic Commission for Europe,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</si>
  <si>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 xml:space="preserve">:  Eurostat, national statistics, United Nations Economic Commission for Europe, estimates </t>
    </r>
    <r>
      <rPr>
        <i/>
        <sz val="8"/>
        <rFont val="Arial"/>
        <family val="2"/>
      </rPr>
      <t>(in italics)</t>
    </r>
  </si>
  <si>
    <r>
      <t xml:space="preserve">Break in time series due to inclusion of mopeds from 2001 in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 xml:space="preserve">, from 2002 in </t>
    </r>
    <r>
      <rPr>
        <b/>
        <sz val="8"/>
        <rFont val="Arial"/>
        <family val="2"/>
      </rPr>
      <t xml:space="preserve">SI </t>
    </r>
    <r>
      <rPr>
        <sz val="8"/>
        <rFont val="Arial"/>
        <family val="2"/>
      </rPr>
      <t xml:space="preserve">and </t>
    </r>
    <r>
      <rPr>
        <b/>
        <sz val="8"/>
        <rFont val="Arial"/>
        <family val="2"/>
      </rPr>
      <t>HR</t>
    </r>
    <r>
      <rPr>
        <sz val="8"/>
        <rFont val="Arial"/>
        <family val="2"/>
      </rPr>
      <t xml:space="preserve">, from 2004 in </t>
    </r>
    <r>
      <rPr>
        <b/>
        <sz val="8"/>
        <rFont val="Arial"/>
        <family val="2"/>
      </rPr>
      <t>LV</t>
    </r>
    <r>
      <rPr>
        <sz val="8"/>
        <rFont val="Arial"/>
        <family val="2"/>
      </rPr>
      <t xml:space="preserve">, from 2005 in </t>
    </r>
    <r>
      <rPr>
        <b/>
        <sz val="8"/>
        <rFont val="Arial"/>
        <family val="2"/>
      </rPr>
      <t>PL</t>
    </r>
    <r>
      <rPr>
        <sz val="8"/>
        <rFont val="Arial"/>
        <family val="2"/>
      </rPr>
      <t xml:space="preserve">, from 2007 in </t>
    </r>
    <r>
      <rPr>
        <b/>
        <sz val="8"/>
        <rFont val="Arial"/>
        <family val="2"/>
      </rPr>
      <t xml:space="preserve">LT, </t>
    </r>
    <r>
      <rPr>
        <sz val="8"/>
        <rFont val="Arial"/>
        <family val="2"/>
      </rPr>
      <t xml:space="preserve">from 2011 in </t>
    </r>
    <r>
      <rPr>
        <b/>
        <sz val="8"/>
        <rFont val="Arial"/>
        <family val="2"/>
      </rPr>
      <t>EE</t>
    </r>
  </si>
  <si>
    <t>Ships of 1000 gt and over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</si>
  <si>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</si>
  <si>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National flag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</si>
  <si>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  <r>
      <rPr>
        <sz val="8"/>
        <rFont val="Arial"/>
        <family val="2"/>
      </rPr>
      <t xml:space="preserve"> including international registers like NIS and DIS. Including vessels registered at territorial dependencies.</t>
    </r>
  </si>
  <si>
    <r>
      <t>Source</t>
    </r>
    <r>
      <rPr>
        <sz val="8"/>
        <rFont val="Arial"/>
        <family val="2"/>
      </rPr>
      <t>: ISL, based on quarterly updates from IHS Fairplay</t>
    </r>
  </si>
  <si>
    <r>
      <t xml:space="preserve">Foreign flag         </t>
    </r>
    <r>
      <rPr>
        <sz val="8"/>
        <rFont val="Arial"/>
        <family val="2"/>
      </rPr>
      <t>(including other EU)</t>
    </r>
  </si>
  <si>
    <r>
      <t>Source</t>
    </r>
    <r>
      <rPr>
        <sz val="8"/>
        <rFont val="Arial"/>
        <family val="2"/>
      </rPr>
      <t xml:space="preserve">:  Union Internationale des Chemins de Fer, </t>
    </r>
    <r>
      <rPr>
        <i/>
        <sz val="8"/>
        <rFont val="Arial"/>
        <family val="2"/>
      </rPr>
      <t>estimates (in italics)</t>
    </r>
  </si>
  <si>
    <t>2011*</t>
  </si>
  <si>
    <t xml:space="preserve">% of foreign flag in total fleet </t>
  </si>
  <si>
    <r>
      <t>Source</t>
    </r>
    <r>
      <rPr>
        <sz val="8"/>
        <rFont val="Arial"/>
        <family val="2"/>
      </rPr>
      <t xml:space="preserve">: Association des Constructeurs Européens d'Automobiles (ACEA), Eurostat, national sources, </t>
    </r>
    <r>
      <rPr>
        <i/>
        <sz val="8"/>
        <rFont val="Arial"/>
        <family val="2"/>
      </rPr>
      <t>estimates (in italics)</t>
    </r>
  </si>
  <si>
    <t>RS</t>
  </si>
  <si>
    <t>ME</t>
  </si>
  <si>
    <r>
      <t xml:space="preserve">Stock at end of year, except for </t>
    </r>
    <r>
      <rPr>
        <b/>
        <sz val="8"/>
        <rFont val="Arial"/>
        <family val="2"/>
      </rPr>
      <t>BE:</t>
    </r>
    <r>
      <rPr>
        <sz val="8"/>
        <rFont val="Arial"/>
        <family val="2"/>
      </rPr>
      <t xml:space="preserve"> 1 August (1 July in 2012), </t>
    </r>
    <r>
      <rPr>
        <b/>
        <sz val="8"/>
        <rFont val="Arial"/>
        <family val="2"/>
      </rPr>
      <t>CH:</t>
    </r>
    <r>
      <rPr>
        <sz val="8"/>
        <rFont val="Arial"/>
        <family val="2"/>
      </rPr>
      <t xml:space="preserve"> 30 September, </t>
    </r>
    <r>
      <rPr>
        <b/>
        <sz val="8"/>
        <rFont val="Arial"/>
        <family val="2"/>
      </rPr>
      <t>LI:</t>
    </r>
    <r>
      <rPr>
        <sz val="8"/>
        <rFont val="Arial"/>
        <family val="2"/>
      </rPr>
      <t xml:space="preserve"> 1 July.</t>
    </r>
  </si>
  <si>
    <r>
      <rPr>
        <b/>
        <sz val="8"/>
        <rFont val="Arial"/>
        <family val="2"/>
      </rPr>
      <t>HR:</t>
    </r>
    <r>
      <rPr>
        <sz val="8"/>
        <rFont val="Arial"/>
        <family val="2"/>
      </rPr>
      <t xml:space="preserve"> from 2009 light vans are included in passenger cars and no longer in Goods Vehicles</t>
    </r>
  </si>
  <si>
    <r>
      <t xml:space="preserve">Stock at end of year, except for </t>
    </r>
    <r>
      <rPr>
        <b/>
        <sz val="8"/>
        <rFont val="Arial"/>
        <family val="2"/>
      </rPr>
      <t>CH:</t>
    </r>
    <r>
      <rPr>
        <sz val="8"/>
        <rFont val="Arial"/>
        <family val="2"/>
      </rPr>
      <t xml:space="preserve"> 30 September, </t>
    </r>
    <r>
      <rPr>
        <b/>
        <sz val="8"/>
        <rFont val="Arial"/>
        <family val="2"/>
      </rPr>
      <t>LI:</t>
    </r>
    <r>
      <rPr>
        <sz val="8"/>
        <rFont val="Arial"/>
        <family val="2"/>
      </rPr>
      <t xml:space="preserve"> 1 July.</t>
    </r>
    <r>
      <rPr>
        <b/>
        <sz val="8"/>
        <rFont val="Arial"/>
        <family val="2"/>
      </rPr>
      <t/>
    </r>
  </si>
  <si>
    <r>
      <t>Source</t>
    </r>
    <r>
      <rPr>
        <sz val="8"/>
        <rFont val="Arial"/>
        <family val="2"/>
      </rPr>
      <t xml:space="preserve">: Association des Constructeurs Européens d'Automobiles (ACEA), national sources, estimates </t>
    </r>
    <r>
      <rPr>
        <i/>
        <sz val="8"/>
        <rFont val="Arial"/>
        <family val="2"/>
      </rPr>
      <t>(italics)</t>
    </r>
  </si>
  <si>
    <t>(took ratio  stock P2W CY/MT)</t>
  </si>
  <si>
    <t>(from Galina)</t>
  </si>
  <si>
    <r>
      <t>*:</t>
    </r>
    <r>
      <rPr>
        <sz val="8"/>
        <rFont val="Arial"/>
        <family val="2"/>
      </rPr>
      <t xml:space="preserve"> In this table Europe includes EU-28, EFTA, Monaco, Gibraltar, Andorra, Turkey, Western Balkan countries, Russia, Ukraine and Moldavia</t>
    </r>
  </si>
  <si>
    <r>
      <t xml:space="preserve">***: </t>
    </r>
    <r>
      <rPr>
        <sz val="8"/>
        <rFont val="Arial"/>
        <family val="2"/>
      </rPr>
      <t>foreign flag share includes ships registered by EU countries in other EU countries</t>
    </r>
  </si>
  <si>
    <t>On 31 December 2013</t>
  </si>
  <si>
    <t>2012*</t>
  </si>
  <si>
    <t>AL</t>
  </si>
  <si>
    <t>change 12/13</t>
  </si>
  <si>
    <t>EU-28</t>
  </si>
  <si>
    <t>of which:  EU-28**</t>
  </si>
  <si>
    <t>EU-28** control of total</t>
  </si>
  <si>
    <t>EU-28** : Foreign flag share ***</t>
  </si>
  <si>
    <t>**: EU-28 since 2012</t>
  </si>
  <si>
    <t>EU-15</t>
  </si>
  <si>
    <t>of which:  EU-15</t>
  </si>
  <si>
    <t>EU-15 control of total</t>
  </si>
  <si>
    <t>EU-15 : Foreign flag share ***</t>
  </si>
  <si>
    <t>EU-13</t>
  </si>
  <si>
    <t>On 31 December 2014</t>
  </si>
  <si>
    <t>change 13/14 (%)</t>
  </si>
  <si>
    <t>13/14</t>
  </si>
  <si>
    <t>change 12/13 
%</t>
  </si>
  <si>
    <r>
      <t xml:space="preserve">Source: </t>
    </r>
    <r>
      <rPr>
        <sz val="8"/>
        <rFont val="Arial"/>
        <family val="2"/>
      </rPr>
      <t>Association des Constructeurs Européens de Motocycles (ACEM), Eurostat, national sources, estimates</t>
    </r>
    <r>
      <rPr>
        <i/>
        <sz val="8"/>
        <rFont val="Arial"/>
        <family val="2"/>
      </rPr>
      <t xml:space="preserve"> (in italics)</t>
    </r>
  </si>
  <si>
    <t xml:space="preserve">New vehicle registrations </t>
  </si>
  <si>
    <t>ACEM overview 2013</t>
  </si>
  <si>
    <r>
      <t>Source</t>
    </r>
    <r>
      <rPr>
        <sz val="8"/>
        <rFont val="Arial"/>
        <family val="2"/>
      </rPr>
      <t xml:space="preserve">: Association des Constructeurs Européens de Motocycles (ACEM), national sources, estimates </t>
    </r>
    <r>
      <rPr>
        <i/>
        <sz val="8"/>
        <rFont val="Arial"/>
        <family val="2"/>
      </rPr>
      <t>(in italics)</t>
    </r>
    <r>
      <rPr>
        <sz val="8"/>
        <rFont val="Arial"/>
        <family val="2"/>
      </rPr>
      <t xml:space="preserve">. Official statistics on mopeds are often unavailable, therefore data and estimates should be considered as indicative. </t>
    </r>
  </si>
  <si>
    <t>Estimate from CZ stock</t>
  </si>
  <si>
    <t>Estimated!</t>
  </si>
  <si>
    <t>(from Trafikanalys)</t>
  </si>
  <si>
    <t>change 12/13 %</t>
  </si>
  <si>
    <r>
      <t xml:space="preserve">Notes: </t>
    </r>
    <r>
      <rPr>
        <sz val="8"/>
        <rFont val="Arial"/>
        <family val="2"/>
      </rPr>
      <t>Passenger car stock at end of year n divided by the population on 1 January of year n+1</t>
    </r>
  </si>
  <si>
    <t>under 
100 000lbs</t>
  </si>
  <si>
    <t>over 
100 000lbs</t>
  </si>
  <si>
    <t>Change 12/13</t>
  </si>
  <si>
    <t>Data relates to main railways (UIC members). From 2010 a new split between "railcars" and "trainset" has been introduced by UIC. Values on this table consider the declared values of locomotives (diesel + electric) and railcars (diesel + electric).</t>
  </si>
  <si>
    <t>2013*</t>
  </si>
  <si>
    <t>On January 1st, 2014</t>
  </si>
  <si>
    <r>
      <t>Russia</t>
    </r>
    <r>
      <rPr>
        <sz val="8"/>
        <rFont val="Arial"/>
        <family val="2"/>
      </rPr>
      <t xml:space="preserve">: 1547 ships, 22.498 mio dwt; </t>
    </r>
    <r>
      <rPr>
        <b/>
        <sz val="8"/>
        <rFont val="Arial"/>
        <family val="2"/>
      </rPr>
      <t>Monaco</t>
    </r>
    <r>
      <rPr>
        <sz val="8"/>
        <rFont val="Arial"/>
        <family val="2"/>
      </rPr>
      <t xml:space="preserve">: 38 ships, 2.234 mio dwt; </t>
    </r>
    <r>
      <rPr>
        <b/>
        <sz val="8"/>
        <rFont val="Arial"/>
        <family val="2"/>
      </rPr>
      <t>Ukraine</t>
    </r>
    <r>
      <rPr>
        <sz val="8"/>
        <rFont val="Arial"/>
        <family val="2"/>
      </rPr>
      <t xml:space="preserve">: 352 ships, 3.387 mio dwt; </t>
    </r>
    <r>
      <rPr>
        <b/>
        <sz val="8"/>
        <rFont val="Arial"/>
        <family val="2"/>
      </rPr>
      <t>Gibraltar</t>
    </r>
    <r>
      <rPr>
        <sz val="8"/>
        <rFont val="Arial"/>
        <family val="2"/>
      </rPr>
      <t>: 6 ships, 0.030 mio dwt</t>
    </r>
  </si>
  <si>
    <r>
      <t>Source:</t>
    </r>
    <r>
      <rPr>
        <sz val="8"/>
        <rFont val="Arial"/>
        <family val="2"/>
      </rPr>
      <t xml:space="preserve"> ISL, up to 2011 based on quarterly updates from IHS Fairplay, since 2012 on Clarkson Research Services Limited (CRSL)</t>
    </r>
  </si>
  <si>
    <t>Crude oil and oil product tankers</t>
  </si>
  <si>
    <t>Oil / chemical tankers</t>
  </si>
  <si>
    <t>Conventional cargo</t>
  </si>
  <si>
    <t>Special cargo (*)</t>
  </si>
  <si>
    <t>Pure car carriers</t>
  </si>
  <si>
    <t>Ro-Ro cargo</t>
  </si>
  <si>
    <t>(*) Including open hatch carriers.</t>
  </si>
  <si>
    <t>On mid 2014 (**)</t>
  </si>
  <si>
    <r>
      <t xml:space="preserve">Notes: RO </t>
    </r>
    <r>
      <rPr>
        <sz val="8"/>
        <rFont val="Arial"/>
        <family val="2"/>
      </rPr>
      <t>based on sales.</t>
    </r>
  </si>
  <si>
    <t>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</si>
</sst>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#,##0.0"/>
    <numFmt numFmtId="165" formatCode="#,##0.000"/>
    <numFmt numFmtId="166" formatCode="0.0"/>
    <numFmt numFmtId="167" formatCode="#\ ##0"/>
    <numFmt numFmtId="168" formatCode="0.000"/>
    <numFmt numFmtId="169" formatCode="0.0%"/>
    <numFmt numFmtId="170" formatCode="#,##0.0\ \ "/>
    <numFmt numFmtId="171" formatCode="#,###,##0"/>
    <numFmt numFmtId="172" formatCode="0.0\ \ \ "/>
    <numFmt numFmtId="173" formatCode="0.00\ "/>
    <numFmt numFmtId="174" formatCode="#,##0\ "/>
    <numFmt numFmtId="175" formatCode="##0\ "/>
    <numFmt numFmtId="176" formatCode="dd\.mm\.yy"/>
    <numFmt numFmtId="177" formatCode="_-* #,##0.00\ _F_t_-;\-* #,##0.00\ _F_t_-;_-* &quot;-&quot;??\ _F_t_-;_-@_-"/>
    <numFmt numFmtId="179" formatCode="#\ ##0.0"/>
    <numFmt numFmtId="180" formatCode="#\ ###\ ###\ ###\ ##0"/>
    <numFmt numFmtId="181" formatCode="#\ ##0.000"/>
    <numFmt numFmtId="182" formatCode="#\ ###\ ##0"/>
  </numFmts>
  <fonts count="4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Times"/>
      <family val="1"/>
    </font>
    <font>
      <b/>
      <sz val="10"/>
      <name val="Times"/>
      <family val="1"/>
    </font>
    <font>
      <b/>
      <sz val="8"/>
      <name val="Times"/>
      <family val="1"/>
    </font>
    <font>
      <b/>
      <sz val="10"/>
      <name val="Times"/>
      <family val="1"/>
    </font>
    <font>
      <b/>
      <i/>
      <sz val="10"/>
      <name val="Times"/>
      <family val="1"/>
    </font>
    <font>
      <sz val="8"/>
      <name val="Times"/>
      <family val="1"/>
    </font>
    <font>
      <i/>
      <sz val="8"/>
      <name val="Times"/>
      <family val="1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0"/>
      <name val="Times New Roman CE"/>
      <charset val="238"/>
    </font>
    <font>
      <sz val="11"/>
      <name val="Arial"/>
      <family val="2"/>
    </font>
    <font>
      <b/>
      <vertAlign val="superscript"/>
      <sz val="8"/>
      <name val="Arial"/>
      <family val="2"/>
    </font>
    <font>
      <sz val="10"/>
      <color indexed="8"/>
      <name val="Arial"/>
      <family val="2"/>
    </font>
    <font>
      <b/>
      <sz val="6"/>
      <color indexed="18"/>
      <name val="Arial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37"/>
      <name val="Arial"/>
      <family val="2"/>
    </font>
    <font>
      <b/>
      <sz val="12"/>
      <color indexed="8"/>
      <name val="Arial"/>
      <family val="2"/>
    </font>
    <font>
      <b/>
      <i/>
      <sz val="12"/>
      <color indexed="10"/>
      <name val="Arial"/>
      <family val="2"/>
    </font>
    <font>
      <b/>
      <u/>
      <sz val="10"/>
      <color indexed="9"/>
      <name val="Arial"/>
      <family val="2"/>
    </font>
    <font>
      <b/>
      <i/>
      <sz val="10"/>
      <color indexed="18"/>
      <name val="Arial"/>
      <family val="2"/>
    </font>
    <font>
      <b/>
      <i/>
      <sz val="10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indexed="9"/>
        <bgColor indexed="9"/>
      </patternFill>
    </fill>
    <fill>
      <patternFill patternType="lightGray">
        <fgColor indexed="13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36">
    <xf numFmtId="0" fontId="0" fillId="0" borderId="0"/>
    <xf numFmtId="0" fontId="6" fillId="0" borderId="0"/>
    <xf numFmtId="0" fontId="14" fillId="2" borderId="0" applyNumberFormat="0" applyBorder="0">
      <protection locked="0"/>
    </xf>
    <xf numFmtId="0" fontId="15" fillId="3" borderId="0" applyNumberFormat="0" applyBorder="0">
      <protection locked="0"/>
    </xf>
    <xf numFmtId="0" fontId="34" fillId="0" borderId="0"/>
    <xf numFmtId="0" fontId="1" fillId="0" borderId="0"/>
    <xf numFmtId="0" fontId="35" fillId="0" borderId="0"/>
    <xf numFmtId="0" fontId="36" fillId="0" borderId="0"/>
    <xf numFmtId="177" fontId="36" fillId="0" borderId="0" applyFont="0" applyFill="0" applyBorder="0" applyAlignment="0" applyProtection="0"/>
    <xf numFmtId="0" fontId="1" fillId="0" borderId="0"/>
    <xf numFmtId="0" fontId="37" fillId="0" borderId="0"/>
    <xf numFmtId="171" fontId="39" fillId="2" borderId="0" applyNumberFormat="0" applyBorder="0">
      <protection locked="0"/>
    </xf>
    <xf numFmtId="171" fontId="40" fillId="3" borderId="0" applyNumberFormat="0" applyBorder="0">
      <alignment horizontal="left"/>
      <protection locked="0"/>
    </xf>
    <xf numFmtId="171" fontId="39" fillId="9" borderId="0" applyNumberFormat="0" applyBorder="0">
      <alignment horizontal="right"/>
      <protection locked="0"/>
    </xf>
    <xf numFmtId="171" fontId="41" fillId="9" borderId="0" applyNumberFormat="0" applyBorder="0">
      <alignment horizontal="right"/>
      <protection locked="0"/>
    </xf>
    <xf numFmtId="171" fontId="42" fillId="9" borderId="0" applyNumberFormat="0" applyBorder="0">
      <alignment horizontal="right"/>
      <protection locked="0"/>
    </xf>
    <xf numFmtId="171" fontId="43" fillId="10" borderId="0" applyNumberFormat="0" applyBorder="0">
      <alignment horizontal="center"/>
      <protection locked="0"/>
    </xf>
    <xf numFmtId="171" fontId="15" fillId="9" borderId="0" applyNumberFormat="0" applyBorder="0">
      <alignment horizontal="left"/>
      <protection locked="0"/>
    </xf>
    <xf numFmtId="171" fontId="44" fillId="2" borderId="0" applyNumberFormat="0" applyBorder="0">
      <alignment horizontal="center"/>
      <protection locked="0"/>
    </xf>
    <xf numFmtId="171" fontId="44" fillId="9" borderId="0" applyNumberFormat="0" applyBorder="0">
      <alignment horizontal="left"/>
      <protection locked="0"/>
    </xf>
    <xf numFmtId="171" fontId="14" fillId="2" borderId="0" applyNumberFormat="0" applyBorder="0">
      <protection locked="0"/>
    </xf>
    <xf numFmtId="171" fontId="15" fillId="11" borderId="0" applyNumberFormat="0" applyBorder="0">
      <alignment horizontal="left"/>
      <protection locked="0"/>
    </xf>
    <xf numFmtId="171" fontId="45" fillId="2" borderId="0" applyNumberFormat="0" applyBorder="0">
      <protection locked="0"/>
    </xf>
    <xf numFmtId="171" fontId="15" fillId="12" borderId="0" applyNumberFormat="0" applyBorder="0">
      <alignment horizontal="right"/>
      <protection locked="0"/>
    </xf>
    <xf numFmtId="171" fontId="15" fillId="3" borderId="0" applyNumberFormat="0" applyBorder="0">
      <protection locked="0"/>
    </xf>
    <xf numFmtId="171" fontId="46" fillId="13" borderId="0" applyNumberFormat="0" applyBorder="0">
      <protection locked="0"/>
    </xf>
    <xf numFmtId="171" fontId="47" fillId="13" borderId="0" applyNumberFormat="0" applyBorder="0">
      <protection locked="0"/>
    </xf>
    <xf numFmtId="171" fontId="15" fillId="9" borderId="0" applyNumberFormat="0" applyBorder="0">
      <protection locked="0"/>
    </xf>
    <xf numFmtId="171" fontId="15" fillId="9" borderId="0" applyNumberFormat="0" applyBorder="0">
      <protection locked="0"/>
    </xf>
    <xf numFmtId="171" fontId="15" fillId="9" borderId="0" applyNumberFormat="0" applyBorder="0">
      <protection locked="0"/>
    </xf>
    <xf numFmtId="171" fontId="48" fillId="14" borderId="0" applyNumberFormat="0" applyBorder="0">
      <protection locked="0"/>
    </xf>
    <xf numFmtId="0" fontId="34" fillId="0" borderId="0"/>
    <xf numFmtId="0" fontId="39" fillId="0" borderId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1" fillId="0" borderId="0"/>
  </cellStyleXfs>
  <cellXfs count="1056">
    <xf numFmtId="0" fontId="0" fillId="0" borderId="0" xfId="0"/>
    <xf numFmtId="0" fontId="0" fillId="0" borderId="0" xfId="0" applyBorder="1"/>
    <xf numFmtId="0" fontId="4" fillId="0" borderId="0" xfId="0" applyFont="1" applyBorder="1"/>
    <xf numFmtId="0" fontId="4" fillId="0" borderId="0" xfId="0" applyFont="1"/>
    <xf numFmtId="0" fontId="0" fillId="0" borderId="0" xfId="0" applyFill="1" applyBorder="1"/>
    <xf numFmtId="0" fontId="0" fillId="0" borderId="0" xfId="0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/>
    <xf numFmtId="0" fontId="6" fillId="0" borderId="0" xfId="0" applyFont="1" applyBorder="1"/>
    <xf numFmtId="0" fontId="7" fillId="0" borderId="0" xfId="0" quotePrefix="1" applyFont="1" applyAlignment="1">
      <alignment horizontal="right" vertical="top"/>
    </xf>
    <xf numFmtId="0" fontId="7" fillId="0" borderId="0" xfId="0" quotePrefix="1" applyFont="1" applyBorder="1" applyAlignment="1">
      <alignment horizontal="right" vertical="top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Fill="1" applyBorder="1"/>
    <xf numFmtId="0" fontId="4" fillId="0" borderId="0" xfId="0" applyFont="1" applyFill="1"/>
    <xf numFmtId="0" fontId="9" fillId="0" borderId="0" xfId="0" applyFont="1"/>
    <xf numFmtId="9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right" vertical="top"/>
    </xf>
    <xf numFmtId="0" fontId="9" fillId="0" borderId="0" xfId="0" applyFont="1" applyBorder="1" applyAlignment="1">
      <alignment vertical="top"/>
    </xf>
    <xf numFmtId="9" fontId="7" fillId="0" borderId="0" xfId="0" quotePrefix="1" applyNumberFormat="1" applyFont="1" applyAlignment="1">
      <alignment horizontal="right" vertical="top"/>
    </xf>
    <xf numFmtId="0" fontId="4" fillId="0" borderId="0" xfId="0" applyFont="1" applyBorder="1" applyAlignment="1"/>
    <xf numFmtId="0" fontId="4" fillId="0" borderId="4" xfId="0" applyFont="1" applyBorder="1" applyAlignment="1">
      <alignment horizontal="right" vertical="center"/>
    </xf>
    <xf numFmtId="1" fontId="16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Border="1" applyAlignment="1" applyProtection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166" fontId="4" fillId="0" borderId="0" xfId="0" applyNumberFormat="1" applyFont="1"/>
    <xf numFmtId="0" fontId="0" fillId="0" borderId="0" xfId="0" applyAlignment="1">
      <alignment vertical="top"/>
    </xf>
    <xf numFmtId="1" fontId="5" fillId="4" borderId="8" xfId="0" applyNumberFormat="1" applyFont="1" applyFill="1" applyBorder="1" applyAlignment="1">
      <alignment horizontal="center" vertical="center"/>
    </xf>
    <xf numFmtId="1" fontId="5" fillId="4" borderId="4" xfId="0" applyNumberFormat="1" applyFont="1" applyFill="1" applyBorder="1" applyAlignment="1">
      <alignment horizontal="center" vertical="center"/>
    </xf>
    <xf numFmtId="1" fontId="5" fillId="4" borderId="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" fontId="5" fillId="4" borderId="10" xfId="0" applyNumberFormat="1" applyFont="1" applyFill="1" applyBorder="1" applyAlignment="1">
      <alignment horizontal="center" vertical="center"/>
    </xf>
    <xf numFmtId="1" fontId="5" fillId="4" borderId="11" xfId="0" applyNumberFormat="1" applyFont="1" applyFill="1" applyBorder="1" applyAlignment="1">
      <alignment horizontal="center" vertical="center"/>
    </xf>
    <xf numFmtId="1" fontId="5" fillId="4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3" fontId="5" fillId="4" borderId="8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5" borderId="0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5" fillId="5" borderId="17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71" fontId="5" fillId="5" borderId="13" xfId="0" applyNumberFormat="1" applyFont="1" applyFill="1" applyBorder="1" applyAlignment="1">
      <alignment horizontal="right" vertical="center"/>
    </xf>
    <xf numFmtId="171" fontId="5" fillId="5" borderId="5" xfId="0" applyNumberFormat="1" applyFont="1" applyFill="1" applyBorder="1" applyAlignment="1">
      <alignment horizontal="right" vertical="center"/>
    </xf>
    <xf numFmtId="171" fontId="5" fillId="5" borderId="14" xfId="0" applyNumberFormat="1" applyFont="1" applyFill="1" applyBorder="1" applyAlignment="1">
      <alignment horizontal="right" vertical="center"/>
    </xf>
    <xf numFmtId="171" fontId="5" fillId="5" borderId="0" xfId="0" applyNumberFormat="1" applyFont="1" applyFill="1" applyBorder="1" applyAlignment="1">
      <alignment horizontal="right" vertical="center"/>
    </xf>
    <xf numFmtId="171" fontId="4" fillId="0" borderId="13" xfId="0" applyNumberFormat="1" applyFont="1" applyFill="1" applyBorder="1" applyAlignment="1">
      <alignment vertical="center"/>
    </xf>
    <xf numFmtId="171" fontId="4" fillId="0" borderId="5" xfId="0" applyNumberFormat="1" applyFont="1" applyFill="1" applyBorder="1" applyAlignment="1">
      <alignment vertical="center"/>
    </xf>
    <xf numFmtId="171" fontId="4" fillId="5" borderId="14" xfId="0" applyNumberFormat="1" applyFont="1" applyFill="1" applyBorder="1" applyAlignment="1">
      <alignment vertical="center"/>
    </xf>
    <xf numFmtId="171" fontId="4" fillId="5" borderId="0" xfId="0" applyNumberFormat="1" applyFont="1" applyFill="1" applyBorder="1" applyAlignment="1">
      <alignment vertical="center"/>
    </xf>
    <xf numFmtId="171" fontId="4" fillId="0" borderId="14" xfId="0" quotePrefix="1" applyNumberFormat="1" applyFont="1" applyFill="1" applyBorder="1" applyAlignment="1">
      <alignment horizontal="right" vertical="center"/>
    </xf>
    <xf numFmtId="171" fontId="4" fillId="0" borderId="0" xfId="0" quotePrefix="1" applyNumberFormat="1" applyFont="1" applyFill="1" applyBorder="1" applyAlignment="1">
      <alignment horizontal="right" vertical="center"/>
    </xf>
    <xf numFmtId="171" fontId="4" fillId="0" borderId="0" xfId="0" applyNumberFormat="1" applyFont="1" applyFill="1" applyBorder="1" applyAlignment="1">
      <alignment vertical="center"/>
    </xf>
    <xf numFmtId="171" fontId="4" fillId="0" borderId="14" xfId="0" applyNumberFormat="1" applyFont="1" applyFill="1" applyBorder="1" applyAlignment="1">
      <alignment vertical="center"/>
    </xf>
    <xf numFmtId="171" fontId="4" fillId="0" borderId="0" xfId="0" applyNumberFormat="1" applyFont="1" applyFill="1" applyBorder="1" applyAlignment="1">
      <alignment horizontal="right" vertical="center"/>
    </xf>
    <xf numFmtId="171" fontId="4" fillId="0" borderId="14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top"/>
    </xf>
    <xf numFmtId="0" fontId="1" fillId="0" borderId="0" xfId="0" applyFont="1"/>
    <xf numFmtId="0" fontId="0" fillId="0" borderId="0" xfId="0" applyAlignment="1">
      <alignment vertical="center"/>
    </xf>
    <xf numFmtId="0" fontId="4" fillId="0" borderId="0" xfId="0" applyFont="1" applyBorder="1" applyAlignment="1">
      <alignment vertical="top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 wrapText="1"/>
    </xf>
    <xf numFmtId="1" fontId="5" fillId="4" borderId="0" xfId="0" applyNumberFormat="1" applyFont="1" applyFill="1" applyBorder="1" applyAlignment="1">
      <alignment horizontal="center" vertical="center"/>
    </xf>
    <xf numFmtId="1" fontId="5" fillId="4" borderId="13" xfId="0" applyNumberFormat="1" applyFont="1" applyFill="1" applyBorder="1" applyAlignment="1">
      <alignment horizontal="center"/>
    </xf>
    <xf numFmtId="1" fontId="5" fillId="4" borderId="5" xfId="0" applyNumberFormat="1" applyFont="1" applyFill="1" applyBorder="1" applyAlignment="1">
      <alignment horizontal="center"/>
    </xf>
    <xf numFmtId="175" fontId="13" fillId="5" borderId="5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top"/>
    </xf>
    <xf numFmtId="174" fontId="4" fillId="5" borderId="6" xfId="0" applyNumberFormat="1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174" fontId="4" fillId="0" borderId="0" xfId="0" applyNumberFormat="1" applyFont="1"/>
    <xf numFmtId="175" fontId="12" fillId="0" borderId="0" xfId="0" applyNumberFormat="1" applyFont="1" applyFill="1" applyBorder="1" applyAlignment="1">
      <alignment horizontal="right" vertical="center"/>
    </xf>
    <xf numFmtId="0" fontId="4" fillId="4" borderId="6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top" wrapText="1"/>
    </xf>
    <xf numFmtId="0" fontId="17" fillId="0" borderId="0" xfId="0" quotePrefix="1" applyFont="1" applyAlignment="1">
      <alignment horizontal="left"/>
    </xf>
    <xf numFmtId="0" fontId="0" fillId="0" borderId="6" xfId="0" applyFill="1" applyBorder="1"/>
    <xf numFmtId="0" fontId="0" fillId="0" borderId="7" xfId="0" applyFill="1" applyBorder="1"/>
    <xf numFmtId="0" fontId="16" fillId="4" borderId="1" xfId="0" applyFont="1" applyFill="1" applyBorder="1" applyAlignment="1">
      <alignment horizontal="center" wrapText="1"/>
    </xf>
    <xf numFmtId="1" fontId="5" fillId="4" borderId="1" xfId="0" applyNumberFormat="1" applyFont="1" applyFill="1" applyBorder="1" applyAlignment="1">
      <alignment horizontal="center"/>
    </xf>
    <xf numFmtId="1" fontId="5" fillId="4" borderId="2" xfId="0" applyNumberFormat="1" applyFont="1" applyFill="1" applyBorder="1" applyAlignment="1">
      <alignment horizontal="center" vertical="center"/>
    </xf>
    <xf numFmtId="1" fontId="5" fillId="4" borderId="20" xfId="0" applyNumberFormat="1" applyFont="1" applyFill="1" applyBorder="1" applyAlignment="1">
      <alignment horizontal="center" vertical="center"/>
    </xf>
    <xf numFmtId="175" fontId="13" fillId="5" borderId="1" xfId="0" applyNumberFormat="1" applyFont="1" applyFill="1" applyBorder="1" applyAlignment="1">
      <alignment horizontal="right" vertical="center"/>
    </xf>
    <xf numFmtId="175" fontId="13" fillId="5" borderId="3" xfId="0" applyNumberFormat="1" applyFont="1" applyFill="1" applyBorder="1" applyAlignment="1">
      <alignment horizontal="right" vertical="center"/>
    </xf>
    <xf numFmtId="0" fontId="21" fillId="0" borderId="0" xfId="0" applyFont="1"/>
    <xf numFmtId="0" fontId="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/>
    <xf numFmtId="17" fontId="3" fillId="0" borderId="0" xfId="0" quotePrefix="1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49" fontId="2" fillId="0" borderId="0" xfId="0" applyNumberFormat="1" applyFont="1" applyAlignment="1">
      <alignment horizontal="left" vertical="center"/>
    </xf>
    <xf numFmtId="172" fontId="2" fillId="0" borderId="0" xfId="0" quotePrefix="1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quotePrefix="1" applyFont="1" applyAlignment="1">
      <alignment horizontal="left" vertical="center"/>
    </xf>
    <xf numFmtId="173" fontId="2" fillId="0" borderId="0" xfId="0" quotePrefix="1" applyNumberFormat="1" applyFont="1" applyAlignment="1">
      <alignment horizontal="left" vertic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 vertical="center"/>
    </xf>
    <xf numFmtId="0" fontId="27" fillId="0" borderId="0" xfId="0" applyFont="1"/>
    <xf numFmtId="169" fontId="4" fillId="0" borderId="0" xfId="0" applyNumberFormat="1" applyFont="1"/>
    <xf numFmtId="3" fontId="0" fillId="0" borderId="0" xfId="0" applyNumberFormat="1" applyBorder="1"/>
    <xf numFmtId="3" fontId="0" fillId="0" borderId="0" xfId="0" applyNumberFormat="1" applyBorder="1" applyAlignment="1">
      <alignment vertical="top"/>
    </xf>
    <xf numFmtId="174" fontId="5" fillId="5" borderId="7" xfId="0" applyNumberFormat="1" applyFont="1" applyFill="1" applyBorder="1" applyAlignment="1">
      <alignment horizontal="right" vertical="center"/>
    </xf>
    <xf numFmtId="174" fontId="4" fillId="0" borderId="6" xfId="0" applyNumberFormat="1" applyFont="1" applyFill="1" applyBorder="1" applyAlignment="1">
      <alignment horizontal="right" vertical="center"/>
    </xf>
    <xf numFmtId="166" fontId="6" fillId="0" borderId="1" xfId="0" applyNumberFormat="1" applyFont="1" applyBorder="1"/>
    <xf numFmtId="166" fontId="6" fillId="0" borderId="2" xfId="0" applyNumberFormat="1" applyFont="1" applyBorder="1"/>
    <xf numFmtId="166" fontId="6" fillId="0" borderId="3" xfId="0" applyNumberFormat="1" applyFont="1" applyBorder="1"/>
    <xf numFmtId="166" fontId="4" fillId="0" borderId="5" xfId="0" applyNumberFormat="1" applyFont="1" applyFill="1" applyBorder="1" applyAlignment="1">
      <alignment horizontal="right" vertical="center"/>
    </xf>
    <xf numFmtId="166" fontId="4" fillId="5" borderId="0" xfId="0" applyNumberFormat="1" applyFont="1" applyFill="1" applyBorder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6" fontId="4" fillId="0" borderId="4" xfId="0" applyNumberFormat="1" applyFont="1" applyFill="1" applyBorder="1" applyAlignment="1">
      <alignment horizontal="right" vertical="center"/>
    </xf>
    <xf numFmtId="1" fontId="5" fillId="4" borderId="14" xfId="0" applyNumberFormat="1" applyFont="1" applyFill="1" applyBorder="1" applyAlignment="1">
      <alignment horizontal="center" vertical="center"/>
    </xf>
    <xf numFmtId="166" fontId="4" fillId="0" borderId="13" xfId="0" applyNumberFormat="1" applyFont="1" applyFill="1" applyBorder="1" applyAlignment="1">
      <alignment horizontal="right" vertical="center"/>
    </xf>
    <xf numFmtId="166" fontId="4" fillId="5" borderId="14" xfId="0" applyNumberFormat="1" applyFont="1" applyFill="1" applyBorder="1" applyAlignment="1">
      <alignment horizontal="right" vertical="center"/>
    </xf>
    <xf numFmtId="166" fontId="4" fillId="0" borderId="14" xfId="0" applyNumberFormat="1" applyFont="1" applyFill="1" applyBorder="1" applyAlignment="1">
      <alignment horizontal="right" vertical="center"/>
    </xf>
    <xf numFmtId="0" fontId="9" fillId="0" borderId="0" xfId="0" applyFont="1" applyBorder="1"/>
    <xf numFmtId="166" fontId="9" fillId="0" borderId="0" xfId="0" applyNumberFormat="1" applyFont="1"/>
    <xf numFmtId="166" fontId="0" fillId="0" borderId="0" xfId="0" applyNumberFormat="1"/>
    <xf numFmtId="166" fontId="7" fillId="0" borderId="0" xfId="0" quotePrefix="1" applyNumberFormat="1" applyFont="1" applyAlignment="1">
      <alignment horizontal="right" vertical="top"/>
    </xf>
    <xf numFmtId="166" fontId="4" fillId="0" borderId="0" xfId="0" applyNumberFormat="1" applyFont="1" applyFill="1" applyBorder="1"/>
    <xf numFmtId="166" fontId="4" fillId="0" borderId="0" xfId="0" applyNumberFormat="1" applyFont="1" applyBorder="1" applyAlignment="1">
      <alignment horizontal="right" vertical="top"/>
    </xf>
    <xf numFmtId="175" fontId="13" fillId="5" borderId="13" xfId="0" applyNumberFormat="1" applyFont="1" applyFill="1" applyBorder="1" applyAlignment="1">
      <alignment horizontal="right" vertical="center"/>
    </xf>
    <xf numFmtId="175" fontId="13" fillId="5" borderId="8" xfId="0" applyNumberFormat="1" applyFont="1" applyFill="1" applyBorder="1" applyAlignment="1">
      <alignment horizontal="right" vertical="center"/>
    </xf>
    <xf numFmtId="166" fontId="4" fillId="0" borderId="1" xfId="0" applyNumberFormat="1" applyFont="1" applyFill="1" applyBorder="1" applyAlignment="1">
      <alignment horizontal="right" vertical="center"/>
    </xf>
    <xf numFmtId="166" fontId="4" fillId="5" borderId="2" xfId="0" applyNumberFormat="1" applyFont="1" applyFill="1" applyBorder="1" applyAlignment="1">
      <alignment horizontal="right" vertical="center"/>
    </xf>
    <xf numFmtId="166" fontId="4" fillId="0" borderId="2" xfId="0" applyNumberFormat="1" applyFont="1" applyFill="1" applyBorder="1" applyAlignment="1">
      <alignment horizontal="right" vertical="center"/>
    </xf>
    <xf numFmtId="166" fontId="4" fillId="0" borderId="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175" fontId="5" fillId="5" borderId="5" xfId="0" applyNumberFormat="1" applyFont="1" applyFill="1" applyBorder="1" applyAlignment="1">
      <alignment horizontal="right" vertical="center"/>
    </xf>
    <xf numFmtId="175" fontId="5" fillId="5" borderId="2" xfId="0" applyNumberFormat="1" applyFont="1" applyFill="1" applyBorder="1" applyAlignment="1">
      <alignment horizontal="right" vertical="center"/>
    </xf>
    <xf numFmtId="175" fontId="5" fillId="5" borderId="14" xfId="0" applyNumberFormat="1" applyFont="1" applyFill="1" applyBorder="1" applyAlignment="1">
      <alignment horizontal="right" vertical="center"/>
    </xf>
    <xf numFmtId="175" fontId="5" fillId="5" borderId="0" xfId="0" applyNumberFormat="1" applyFont="1" applyFill="1" applyBorder="1" applyAlignment="1">
      <alignment horizontal="right" vertical="center"/>
    </xf>
    <xf numFmtId="175" fontId="5" fillId="5" borderId="4" xfId="0" applyNumberFormat="1" applyFont="1" applyFill="1" applyBorder="1" applyAlignment="1">
      <alignment horizontal="right" vertical="center"/>
    </xf>
    <xf numFmtId="175" fontId="4" fillId="0" borderId="1" xfId="0" applyNumberFormat="1" applyFont="1" applyFill="1" applyBorder="1" applyAlignment="1">
      <alignment horizontal="right" vertical="center"/>
    </xf>
    <xf numFmtId="175" fontId="4" fillId="0" borderId="13" xfId="0" applyNumberFormat="1" applyFont="1" applyFill="1" applyBorder="1" applyAlignment="1">
      <alignment horizontal="right" vertical="center"/>
    </xf>
    <xf numFmtId="175" fontId="4" fillId="0" borderId="5" xfId="0" applyNumberFormat="1" applyFont="1" applyFill="1" applyBorder="1" applyAlignment="1">
      <alignment horizontal="right" vertical="center"/>
    </xf>
    <xf numFmtId="175" fontId="4" fillId="5" borderId="2" xfId="0" applyNumberFormat="1" applyFont="1" applyFill="1" applyBorder="1" applyAlignment="1">
      <alignment horizontal="right" vertical="center"/>
    </xf>
    <xf numFmtId="175" fontId="4" fillId="5" borderId="14" xfId="0" applyNumberFormat="1" applyFont="1" applyFill="1" applyBorder="1" applyAlignment="1">
      <alignment horizontal="right" vertical="center"/>
    </xf>
    <xf numFmtId="175" fontId="4" fillId="5" borderId="0" xfId="0" applyNumberFormat="1" applyFont="1" applyFill="1" applyBorder="1" applyAlignment="1">
      <alignment horizontal="right" vertical="center"/>
    </xf>
    <xf numFmtId="175" fontId="4" fillId="5" borderId="15" xfId="0" applyNumberFormat="1" applyFont="1" applyFill="1" applyBorder="1" applyAlignment="1">
      <alignment horizontal="right" vertical="center"/>
    </xf>
    <xf numFmtId="175" fontId="4" fillId="0" borderId="2" xfId="0" applyNumberFormat="1" applyFont="1" applyFill="1" applyBorder="1" applyAlignment="1">
      <alignment horizontal="right" vertical="center"/>
    </xf>
    <xf numFmtId="175" fontId="4" fillId="0" borderId="14" xfId="0" applyNumberFormat="1" applyFont="1" applyFill="1" applyBorder="1" applyAlignment="1">
      <alignment horizontal="right" vertical="center"/>
    </xf>
    <xf numFmtId="175" fontId="4" fillId="0" borderId="0" xfId="0" applyNumberFormat="1" applyFont="1" applyFill="1" applyBorder="1" applyAlignment="1">
      <alignment horizontal="right" vertical="center"/>
    </xf>
    <xf numFmtId="175" fontId="4" fillId="0" borderId="16" xfId="0" applyNumberFormat="1" applyFont="1" applyFill="1" applyBorder="1" applyAlignment="1">
      <alignment horizontal="right" vertical="center"/>
    </xf>
    <xf numFmtId="175" fontId="4" fillId="0" borderId="15" xfId="0" applyNumberFormat="1" applyFont="1" applyFill="1" applyBorder="1" applyAlignment="1">
      <alignment horizontal="right" vertical="center"/>
    </xf>
    <xf numFmtId="175" fontId="4" fillId="0" borderId="3" xfId="0" applyNumberFormat="1" applyFont="1" applyFill="1" applyBorder="1" applyAlignment="1">
      <alignment horizontal="right" vertical="center"/>
    </xf>
    <xf numFmtId="175" fontId="4" fillId="0" borderId="8" xfId="0" applyNumberFormat="1" applyFont="1" applyFill="1" applyBorder="1" applyAlignment="1">
      <alignment horizontal="right" vertical="center"/>
    </xf>
    <xf numFmtId="175" fontId="4" fillId="0" borderId="4" xfId="0" applyNumberFormat="1" applyFont="1" applyFill="1" applyBorder="1" applyAlignment="1">
      <alignment horizontal="right" vertical="center"/>
    </xf>
    <xf numFmtId="0" fontId="5" fillId="0" borderId="0" xfId="0" applyFont="1" applyBorder="1" applyAlignment="1"/>
    <xf numFmtId="0" fontId="7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9" fontId="9" fillId="0" borderId="0" xfId="0" applyNumberFormat="1" applyFont="1" applyAlignment="1">
      <alignment horizontal="center"/>
    </xf>
    <xf numFmtId="0" fontId="16" fillId="4" borderId="17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vertical="top"/>
    </xf>
    <xf numFmtId="0" fontId="5" fillId="7" borderId="1" xfId="0" applyFont="1" applyFill="1" applyBorder="1" applyAlignment="1">
      <alignment horizontal="center" vertical="center"/>
    </xf>
    <xf numFmtId="166" fontId="5" fillId="7" borderId="5" xfId="0" applyNumberFormat="1" applyFont="1" applyFill="1" applyBorder="1" applyAlignment="1">
      <alignment horizontal="right"/>
    </xf>
    <xf numFmtId="0" fontId="5" fillId="7" borderId="2" xfId="0" applyFont="1" applyFill="1" applyBorder="1" applyAlignment="1">
      <alignment horizontal="center" vertical="center"/>
    </xf>
    <xf numFmtId="166" fontId="5" fillId="7" borderId="0" xfId="0" applyNumberFormat="1" applyFont="1" applyFill="1" applyBorder="1" applyAlignment="1">
      <alignment horizontal="right"/>
    </xf>
    <xf numFmtId="0" fontId="5" fillId="7" borderId="3" xfId="0" applyFont="1" applyFill="1" applyBorder="1" applyAlignment="1">
      <alignment horizontal="center" vertical="center"/>
    </xf>
    <xf numFmtId="166" fontId="5" fillId="7" borderId="4" xfId="0" applyNumberFormat="1" applyFont="1" applyFill="1" applyBorder="1" applyAlignment="1">
      <alignment horizontal="right"/>
    </xf>
    <xf numFmtId="167" fontId="4" fillId="0" borderId="2" xfId="0" applyNumberFormat="1" applyFont="1" applyFill="1" applyBorder="1" applyAlignment="1">
      <alignment horizontal="right" vertical="center"/>
    </xf>
    <xf numFmtId="167" fontId="4" fillId="7" borderId="2" xfId="0" applyNumberFormat="1" applyFont="1" applyFill="1" applyBorder="1" applyAlignment="1">
      <alignment horizontal="right" vertical="center"/>
    </xf>
    <xf numFmtId="166" fontId="5" fillId="7" borderId="0" xfId="0" applyNumberFormat="1" applyFont="1" applyFill="1" applyBorder="1" applyAlignment="1">
      <alignment horizontal="right" vertical="center"/>
    </xf>
    <xf numFmtId="167" fontId="4" fillId="7" borderId="3" xfId="0" applyNumberFormat="1" applyFont="1" applyFill="1" applyBorder="1" applyAlignment="1">
      <alignment horizontal="right" vertical="center"/>
    </xf>
    <xf numFmtId="0" fontId="5" fillId="0" borderId="0" xfId="0" applyFont="1" applyBorder="1"/>
    <xf numFmtId="1" fontId="5" fillId="4" borderId="17" xfId="0" applyNumberFormat="1" applyFont="1" applyFill="1" applyBorder="1" applyAlignment="1">
      <alignment horizontal="center"/>
    </xf>
    <xf numFmtId="166" fontId="5" fillId="7" borderId="1" xfId="0" applyNumberFormat="1" applyFont="1" applyFill="1" applyBorder="1" applyAlignment="1">
      <alignment horizontal="right"/>
    </xf>
    <xf numFmtId="166" fontId="13" fillId="7" borderId="5" xfId="0" applyNumberFormat="1" applyFont="1" applyFill="1" applyBorder="1" applyAlignment="1">
      <alignment horizontal="right"/>
    </xf>
    <xf numFmtId="166" fontId="5" fillId="7" borderId="2" xfId="0" applyNumberFormat="1" applyFont="1" applyFill="1" applyBorder="1" applyAlignment="1">
      <alignment horizontal="right"/>
    </xf>
    <xf numFmtId="166" fontId="13" fillId="7" borderId="0" xfId="0" applyNumberFormat="1" applyFont="1" applyFill="1" applyBorder="1" applyAlignment="1">
      <alignment horizontal="right"/>
    </xf>
    <xf numFmtId="166" fontId="5" fillId="7" borderId="3" xfId="0" applyNumberFormat="1" applyFont="1" applyFill="1" applyBorder="1" applyAlignment="1">
      <alignment horizontal="right"/>
    </xf>
    <xf numFmtId="166" fontId="5" fillId="7" borderId="7" xfId="0" applyNumberFormat="1" applyFont="1" applyFill="1" applyBorder="1" applyAlignment="1">
      <alignment horizontal="right"/>
    </xf>
    <xf numFmtId="2" fontId="4" fillId="0" borderId="2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2" fontId="4" fillId="7" borderId="2" xfId="0" applyNumberFormat="1" applyFont="1" applyFill="1" applyBorder="1" applyAlignment="1">
      <alignment horizontal="right" vertical="center"/>
    </xf>
    <xf numFmtId="2" fontId="4" fillId="7" borderId="3" xfId="0" applyNumberFormat="1" applyFont="1" applyFill="1" applyBorder="1" applyAlignment="1">
      <alignment horizontal="right" vertical="center"/>
    </xf>
    <xf numFmtId="2" fontId="4" fillId="0" borderId="3" xfId="0" applyNumberFormat="1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center" vertical="center"/>
    </xf>
    <xf numFmtId="166" fontId="4" fillId="7" borderId="0" xfId="0" applyNumberFormat="1" applyFont="1" applyFill="1" applyBorder="1" applyAlignment="1">
      <alignment horizontal="right" vertical="center"/>
    </xf>
    <xf numFmtId="166" fontId="12" fillId="7" borderId="0" xfId="0" applyNumberFormat="1" applyFont="1" applyFill="1" applyBorder="1" applyAlignment="1">
      <alignment horizontal="right" vertical="center"/>
    </xf>
    <xf numFmtId="166" fontId="4" fillId="7" borderId="6" xfId="0" applyNumberFormat="1" applyFont="1" applyFill="1" applyBorder="1" applyAlignment="1">
      <alignment horizontal="right" vertical="center"/>
    </xf>
    <xf numFmtId="166" fontId="4" fillId="0" borderId="6" xfId="0" applyNumberFormat="1" applyFont="1" applyFill="1" applyBorder="1" applyAlignment="1">
      <alignment horizontal="right" vertical="center"/>
    </xf>
    <xf numFmtId="166" fontId="4" fillId="7" borderId="7" xfId="0" applyNumberFormat="1" applyFont="1" applyFill="1" applyBorder="1" applyAlignment="1">
      <alignment horizontal="right" vertical="center"/>
    </xf>
    <xf numFmtId="166" fontId="4" fillId="7" borderId="2" xfId="0" applyNumberFormat="1" applyFont="1" applyFill="1" applyBorder="1" applyAlignment="1">
      <alignment horizontal="right" vertical="center"/>
    </xf>
    <xf numFmtId="166" fontId="12" fillId="7" borderId="2" xfId="0" applyNumberFormat="1" applyFont="1" applyFill="1" applyBorder="1" applyAlignment="1">
      <alignment horizontal="right" vertical="center"/>
    </xf>
    <xf numFmtId="166" fontId="4" fillId="7" borderId="3" xfId="0" applyNumberFormat="1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center" vertical="top"/>
    </xf>
    <xf numFmtId="166" fontId="5" fillId="5" borderId="1" xfId="0" applyNumberFormat="1" applyFont="1" applyFill="1" applyBorder="1" applyAlignment="1">
      <alignment horizontal="right" vertical="center"/>
    </xf>
    <xf numFmtId="166" fontId="5" fillId="5" borderId="2" xfId="0" applyNumberFormat="1" applyFont="1" applyFill="1" applyBorder="1" applyAlignment="1">
      <alignment horizontal="right" vertical="center"/>
    </xf>
    <xf numFmtId="166" fontId="5" fillId="5" borderId="3" xfId="0" applyNumberFormat="1" applyFont="1" applyFill="1" applyBorder="1" applyAlignment="1">
      <alignment horizontal="right" vertical="center"/>
    </xf>
    <xf numFmtId="1" fontId="29" fillId="4" borderId="10" xfId="0" applyNumberFormat="1" applyFont="1" applyFill="1" applyBorder="1" applyAlignment="1">
      <alignment horizontal="center" vertical="center"/>
    </xf>
    <xf numFmtId="1" fontId="29" fillId="4" borderId="11" xfId="0" applyNumberFormat="1" applyFont="1" applyFill="1" applyBorder="1" applyAlignment="1">
      <alignment horizontal="center" vertical="center"/>
    </xf>
    <xf numFmtId="1" fontId="29" fillId="4" borderId="12" xfId="0" applyNumberFormat="1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center" vertical="center"/>
    </xf>
    <xf numFmtId="166" fontId="5" fillId="5" borderId="13" xfId="0" applyNumberFormat="1" applyFont="1" applyFill="1" applyBorder="1" applyAlignment="1">
      <alignment horizontal="right" vertical="center"/>
    </xf>
    <xf numFmtId="166" fontId="5" fillId="5" borderId="5" xfId="0" applyNumberFormat="1" applyFont="1" applyFill="1" applyBorder="1" applyAlignment="1">
      <alignment horizontal="right" vertical="center"/>
    </xf>
    <xf numFmtId="0" fontId="29" fillId="5" borderId="2" xfId="0" applyFont="1" applyFill="1" applyBorder="1" applyAlignment="1">
      <alignment horizontal="center" vertical="center"/>
    </xf>
    <xf numFmtId="166" fontId="5" fillId="5" borderId="14" xfId="0" applyNumberFormat="1" applyFont="1" applyFill="1" applyBorder="1" applyAlignment="1">
      <alignment horizontal="right" vertical="center"/>
    </xf>
    <xf numFmtId="166" fontId="5" fillId="5" borderId="8" xfId="0" applyNumberFormat="1" applyFont="1" applyFill="1" applyBorder="1" applyAlignment="1">
      <alignment horizontal="right" vertical="center"/>
    </xf>
    <xf numFmtId="166" fontId="5" fillId="5" borderId="4" xfId="0" applyNumberFormat="1" applyFont="1" applyFill="1" applyBorder="1" applyAlignment="1">
      <alignment horizontal="right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5" borderId="6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166" fontId="4" fillId="0" borderId="8" xfId="0" applyNumberFormat="1" applyFont="1" applyFill="1" applyBorder="1" applyAlignment="1">
      <alignment horizontal="right" vertical="center"/>
    </xf>
    <xf numFmtId="166" fontId="4" fillId="0" borderId="7" xfId="0" applyNumberFormat="1" applyFont="1" applyFill="1" applyBorder="1" applyAlignment="1">
      <alignment horizontal="right" vertical="center"/>
    </xf>
    <xf numFmtId="0" fontId="29" fillId="0" borderId="7" xfId="0" applyFont="1" applyFill="1" applyBorder="1" applyAlignment="1">
      <alignment horizontal="center" vertical="center"/>
    </xf>
    <xf numFmtId="1" fontId="29" fillId="6" borderId="1" xfId="0" quotePrefix="1" applyNumberFormat="1" applyFont="1" applyFill="1" applyBorder="1" applyAlignment="1">
      <alignment horizontal="center" vertical="center"/>
    </xf>
    <xf numFmtId="1" fontId="29" fillId="6" borderId="2" xfId="0" quotePrefix="1" applyNumberFormat="1" applyFont="1" applyFill="1" applyBorder="1" applyAlignment="1">
      <alignment horizontal="center" vertical="center"/>
    </xf>
    <xf numFmtId="1" fontId="29" fillId="4" borderId="8" xfId="0" applyNumberFormat="1" applyFont="1" applyFill="1" applyBorder="1" applyAlignment="1">
      <alignment horizontal="center" vertical="center"/>
    </xf>
    <xf numFmtId="1" fontId="29" fillId="4" borderId="4" xfId="0" applyNumberFormat="1" applyFont="1" applyFill="1" applyBorder="1" applyAlignment="1">
      <alignment horizontal="center" vertical="center"/>
    </xf>
    <xf numFmtId="1" fontId="29" fillId="4" borderId="7" xfId="0" applyNumberFormat="1" applyFont="1" applyFill="1" applyBorder="1" applyAlignment="1">
      <alignment horizontal="center" vertical="center"/>
    </xf>
    <xf numFmtId="169" fontId="13" fillId="5" borderId="2" xfId="0" applyNumberFormat="1" applyFont="1" applyFill="1" applyBorder="1" applyAlignment="1">
      <alignment horizontal="right" vertical="center"/>
    </xf>
    <xf numFmtId="3" fontId="5" fillId="5" borderId="0" xfId="0" applyNumberFormat="1" applyFont="1" applyFill="1" applyBorder="1" applyAlignment="1">
      <alignment horizontal="right" vertical="center"/>
    </xf>
    <xf numFmtId="169" fontId="19" fillId="0" borderId="17" xfId="3" applyNumberFormat="1" applyFont="1" applyFill="1" applyBorder="1" applyAlignment="1">
      <alignment vertical="center"/>
      <protection locked="0"/>
    </xf>
    <xf numFmtId="169" fontId="19" fillId="5" borderId="6" xfId="3" applyNumberFormat="1" applyFont="1" applyFill="1" applyBorder="1" applyAlignment="1">
      <alignment vertical="center"/>
      <protection locked="0"/>
    </xf>
    <xf numFmtId="169" fontId="19" fillId="0" borderId="6" xfId="3" applyNumberFormat="1" applyFont="1" applyFill="1" applyBorder="1" applyAlignment="1">
      <alignment vertical="center"/>
      <protection locked="0"/>
    </xf>
    <xf numFmtId="169" fontId="19" fillId="0" borderId="7" xfId="3" applyNumberFormat="1" applyFont="1" applyFill="1" applyBorder="1" applyAlignment="1">
      <alignment vertical="center"/>
      <protection locked="0"/>
    </xf>
    <xf numFmtId="0" fontId="5" fillId="0" borderId="0" xfId="0" applyFont="1"/>
    <xf numFmtId="0" fontId="30" fillId="0" borderId="0" xfId="0" applyFont="1" applyAlignment="1">
      <alignment vertical="top"/>
    </xf>
    <xf numFmtId="169" fontId="19" fillId="0" borderId="1" xfId="3" applyNumberFormat="1" applyFont="1" applyFill="1" applyBorder="1" applyAlignment="1">
      <alignment vertical="center"/>
      <protection locked="0"/>
    </xf>
    <xf numFmtId="169" fontId="5" fillId="5" borderId="2" xfId="0" applyNumberFormat="1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169" fontId="19" fillId="7" borderId="6" xfId="3" applyNumberFormat="1" applyFont="1" applyFill="1" applyBorder="1" applyAlignment="1">
      <alignment vertical="center"/>
      <protection locked="0"/>
    </xf>
    <xf numFmtId="1" fontId="5" fillId="6" borderId="17" xfId="0" quotePrefix="1" applyNumberFormat="1" applyFont="1" applyFill="1" applyBorder="1" applyAlignment="1">
      <alignment horizontal="center" vertical="center"/>
    </xf>
    <xf numFmtId="1" fontId="5" fillId="6" borderId="6" xfId="0" quotePrefix="1" applyNumberFormat="1" applyFont="1" applyFill="1" applyBorder="1" applyAlignment="1">
      <alignment horizontal="center" vertical="center"/>
    </xf>
    <xf numFmtId="1" fontId="5" fillId="6" borderId="7" xfId="0" quotePrefix="1" applyNumberFormat="1" applyFont="1" applyFill="1" applyBorder="1" applyAlignment="1">
      <alignment horizontal="center" vertical="center"/>
    </xf>
    <xf numFmtId="169" fontId="5" fillId="5" borderId="6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31" fillId="0" borderId="0" xfId="0" quotePrefix="1" applyFont="1" applyAlignment="1">
      <alignment horizontal="right" vertical="top"/>
    </xf>
    <xf numFmtId="0" fontId="28" fillId="0" borderId="0" xfId="0" applyFont="1" applyBorder="1" applyAlignment="1">
      <alignment horizontal="right" vertical="top"/>
    </xf>
    <xf numFmtId="165" fontId="5" fillId="5" borderId="14" xfId="0" applyNumberFormat="1" applyFont="1" applyFill="1" applyBorder="1" applyAlignment="1">
      <alignment horizontal="right" vertical="center"/>
    </xf>
    <xf numFmtId="165" fontId="5" fillId="5" borderId="8" xfId="0" applyNumberFormat="1" applyFont="1" applyFill="1" applyBorder="1" applyAlignment="1">
      <alignment horizontal="right" vertical="center"/>
    </xf>
    <xf numFmtId="165" fontId="4" fillId="0" borderId="13" xfId="0" applyNumberFormat="1" applyFont="1" applyFill="1" applyBorder="1" applyAlignment="1">
      <alignment horizontal="right" vertical="center"/>
    </xf>
    <xf numFmtId="165" fontId="4" fillId="5" borderId="14" xfId="0" applyNumberFormat="1" applyFont="1" applyFill="1" applyBorder="1" applyAlignment="1">
      <alignment horizontal="right" vertical="center"/>
    </xf>
    <xf numFmtId="165" fontId="4" fillId="0" borderId="14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4" fillId="0" borderId="8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horizontal="center"/>
    </xf>
    <xf numFmtId="0" fontId="16" fillId="4" borderId="12" xfId="0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vertical="center"/>
    </xf>
    <xf numFmtId="165" fontId="5" fillId="5" borderId="13" xfId="0" applyNumberFormat="1" applyFont="1" applyFill="1" applyBorder="1" applyAlignment="1">
      <alignment horizontal="right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textRotation="90"/>
    </xf>
    <xf numFmtId="168" fontId="5" fillId="5" borderId="6" xfId="0" applyNumberFormat="1" applyFont="1" applyFill="1" applyBorder="1" applyAlignment="1">
      <alignment horizontal="right"/>
    </xf>
    <xf numFmtId="168" fontId="5" fillId="5" borderId="7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168" fontId="4" fillId="8" borderId="17" xfId="0" applyNumberFormat="1" applyFont="1" applyFill="1" applyBorder="1" applyAlignment="1">
      <alignment horizontal="right"/>
    </xf>
    <xf numFmtId="168" fontId="4" fillId="7" borderId="6" xfId="0" applyNumberFormat="1" applyFont="1" applyFill="1" applyBorder="1" applyAlignment="1">
      <alignment horizontal="right"/>
    </xf>
    <xf numFmtId="168" fontId="4" fillId="8" borderId="6" xfId="0" applyNumberFormat="1" applyFont="1" applyFill="1" applyBorder="1" applyAlignment="1">
      <alignment horizontal="right"/>
    </xf>
    <xf numFmtId="168" fontId="4" fillId="7" borderId="7" xfId="0" applyNumberFormat="1" applyFont="1" applyFill="1" applyBorder="1" applyAlignment="1">
      <alignment horizontal="right"/>
    </xf>
    <xf numFmtId="169" fontId="4" fillId="8" borderId="5" xfId="0" applyNumberFormat="1" applyFont="1" applyFill="1" applyBorder="1" applyAlignment="1">
      <alignment horizontal="right"/>
    </xf>
    <xf numFmtId="169" fontId="4" fillId="7" borderId="0" xfId="0" applyNumberFormat="1" applyFont="1" applyFill="1" applyBorder="1" applyAlignment="1">
      <alignment horizontal="right"/>
    </xf>
    <xf numFmtId="169" fontId="4" fillId="8" borderId="0" xfId="0" applyNumberFormat="1" applyFont="1" applyFill="1" applyBorder="1" applyAlignment="1">
      <alignment horizontal="right"/>
    </xf>
    <xf numFmtId="169" fontId="4" fillId="8" borderId="17" xfId="0" applyNumberFormat="1" applyFont="1" applyFill="1" applyBorder="1" applyAlignment="1">
      <alignment horizontal="right"/>
    </xf>
    <xf numFmtId="169" fontId="4" fillId="7" borderId="6" xfId="0" applyNumberFormat="1" applyFont="1" applyFill="1" applyBorder="1" applyAlignment="1">
      <alignment horizontal="right"/>
    </xf>
    <xf numFmtId="169" fontId="4" fillId="8" borderId="6" xfId="0" applyNumberFormat="1" applyFont="1" applyFill="1" applyBorder="1" applyAlignment="1">
      <alignment horizontal="right"/>
    </xf>
    <xf numFmtId="169" fontId="4" fillId="7" borderId="7" xfId="0" applyNumberFormat="1" applyFont="1" applyFill="1" applyBorder="1" applyAlignment="1">
      <alignment horizontal="right"/>
    </xf>
    <xf numFmtId="0" fontId="32" fillId="0" borderId="0" xfId="0" applyFont="1" applyFill="1"/>
    <xf numFmtId="0" fontId="4" fillId="4" borderId="14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left" vertical="center"/>
    </xf>
    <xf numFmtId="168" fontId="4" fillId="0" borderId="13" xfId="0" applyNumberFormat="1" applyFont="1" applyFill="1" applyBorder="1" applyAlignment="1">
      <alignment horizontal="right" vertical="center"/>
    </xf>
    <xf numFmtId="168" fontId="4" fillId="0" borderId="5" xfId="0" applyNumberFormat="1" applyFont="1" applyBorder="1" applyAlignment="1">
      <alignment vertical="center"/>
    </xf>
    <xf numFmtId="168" fontId="4" fillId="0" borderId="17" xfId="0" applyNumberFormat="1" applyFont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168" fontId="4" fillId="5" borderId="14" xfId="0" applyNumberFormat="1" applyFont="1" applyFill="1" applyBorder="1" applyAlignment="1">
      <alignment horizontal="right" vertical="center"/>
    </xf>
    <xf numFmtId="168" fontId="4" fillId="5" borderId="0" xfId="0" applyNumberFormat="1" applyFont="1" applyFill="1" applyBorder="1" applyAlignment="1">
      <alignment vertical="center"/>
    </xf>
    <xf numFmtId="168" fontId="4" fillId="5" borderId="6" xfId="0" applyNumberFormat="1" applyFont="1" applyFill="1" applyBorder="1" applyAlignment="1">
      <alignment vertical="center"/>
    </xf>
    <xf numFmtId="0" fontId="5" fillId="5" borderId="2" xfId="0" applyFont="1" applyFill="1" applyBorder="1" applyAlignment="1">
      <alignment horizontal="left" vertical="center"/>
    </xf>
    <xf numFmtId="168" fontId="4" fillId="0" borderId="14" xfId="0" applyNumberFormat="1" applyFont="1" applyFill="1" applyBorder="1" applyAlignment="1">
      <alignment horizontal="right" vertical="center"/>
    </xf>
    <xf numFmtId="168" fontId="4" fillId="0" borderId="0" xfId="0" applyNumberFormat="1" applyFont="1" applyBorder="1" applyAlignment="1">
      <alignment vertical="center"/>
    </xf>
    <xf numFmtId="168" fontId="4" fillId="0" borderId="0" xfId="0" applyNumberFormat="1" applyFont="1" applyFill="1" applyBorder="1" applyAlignment="1">
      <alignment vertical="center"/>
    </xf>
    <xf numFmtId="168" fontId="4" fillId="0" borderId="6" xfId="0" applyNumberFormat="1" applyFont="1" applyBorder="1" applyAlignment="1">
      <alignment vertical="center"/>
    </xf>
    <xf numFmtId="168" fontId="4" fillId="0" borderId="14" xfId="0" applyNumberFormat="1" applyFont="1" applyBorder="1" applyAlignment="1">
      <alignment vertical="center"/>
    </xf>
    <xf numFmtId="0" fontId="5" fillId="5" borderId="20" xfId="0" applyFont="1" applyFill="1" applyBorder="1" applyAlignment="1">
      <alignment horizontal="center" vertical="center" wrapText="1"/>
    </xf>
    <xf numFmtId="165" fontId="5" fillId="5" borderId="12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169" fontId="4" fillId="0" borderId="5" xfId="0" applyNumberFormat="1" applyFont="1" applyFill="1" applyBorder="1" applyAlignment="1">
      <alignment horizontal="center" vertical="center"/>
    </xf>
    <xf numFmtId="169" fontId="4" fillId="0" borderId="5" xfId="0" applyNumberFormat="1" applyFont="1" applyFill="1" applyBorder="1" applyAlignment="1">
      <alignment horizontal="right" vertical="center"/>
    </xf>
    <xf numFmtId="169" fontId="4" fillId="0" borderId="17" xfId="0" applyNumberFormat="1" applyFont="1" applyFill="1" applyBorder="1" applyAlignment="1">
      <alignment horizontal="center" vertical="center"/>
    </xf>
    <xf numFmtId="169" fontId="4" fillId="0" borderId="27" xfId="0" applyNumberFormat="1" applyFont="1" applyFill="1" applyBorder="1" applyAlignment="1">
      <alignment horizontal="center" vertical="center"/>
    </xf>
    <xf numFmtId="169" fontId="4" fillId="0" borderId="28" xfId="0" applyNumberFormat="1" applyFont="1" applyFill="1" applyBorder="1" applyAlignment="1">
      <alignment horizontal="center" vertical="center"/>
    </xf>
    <xf numFmtId="169" fontId="4" fillId="0" borderId="28" xfId="0" applyNumberFormat="1" applyFont="1" applyFill="1" applyBorder="1" applyAlignment="1">
      <alignment horizontal="right" vertical="center"/>
    </xf>
    <xf numFmtId="169" fontId="4" fillId="0" borderId="29" xfId="0" applyNumberFormat="1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center" vertical="center"/>
    </xf>
    <xf numFmtId="169" fontId="4" fillId="0" borderId="30" xfId="0" applyNumberFormat="1" applyFont="1" applyFill="1" applyBorder="1" applyAlignment="1">
      <alignment horizontal="center" vertical="center"/>
    </xf>
    <xf numFmtId="169" fontId="4" fillId="0" borderId="30" xfId="0" applyNumberFormat="1" applyFont="1" applyFill="1" applyBorder="1" applyAlignment="1">
      <alignment horizontal="right" vertical="center"/>
    </xf>
    <xf numFmtId="169" fontId="4" fillId="0" borderId="31" xfId="0" applyNumberFormat="1" applyFont="1" applyFill="1" applyBorder="1" applyAlignment="1">
      <alignment horizontal="center" vertical="center"/>
    </xf>
    <xf numFmtId="169" fontId="4" fillId="0" borderId="8" xfId="0" applyNumberFormat="1" applyFont="1" applyFill="1" applyBorder="1" applyAlignment="1">
      <alignment horizontal="center" vertical="center"/>
    </xf>
    <xf numFmtId="169" fontId="4" fillId="0" borderId="4" xfId="0" applyNumberFormat="1" applyFont="1" applyFill="1" applyBorder="1" applyAlignment="1">
      <alignment horizontal="center" vertical="center"/>
    </xf>
    <xf numFmtId="169" fontId="4" fillId="0" borderId="4" xfId="0" applyNumberFormat="1" applyFont="1" applyFill="1" applyBorder="1" applyAlignment="1">
      <alignment horizontal="right" vertical="center"/>
    </xf>
    <xf numFmtId="169" fontId="4" fillId="0" borderId="7" xfId="0" applyNumberFormat="1" applyFont="1" applyFill="1" applyBorder="1" applyAlignment="1">
      <alignment horizontal="center" vertical="center"/>
    </xf>
    <xf numFmtId="168" fontId="0" fillId="0" borderId="0" xfId="0" applyNumberFormat="1"/>
    <xf numFmtId="0" fontId="4" fillId="4" borderId="1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5" borderId="20" xfId="0" applyFont="1" applyFill="1" applyBorder="1" applyAlignment="1">
      <alignment horizontal="left" vertical="center" wrapText="1"/>
    </xf>
    <xf numFmtId="3" fontId="5" fillId="5" borderId="11" xfId="0" applyNumberFormat="1" applyFont="1" applyFill="1" applyBorder="1" applyAlignment="1">
      <alignment horizontal="right" vertical="center"/>
    </xf>
    <xf numFmtId="9" fontId="4" fillId="5" borderId="12" xfId="0" applyNumberFormat="1" applyFont="1" applyFill="1" applyBorder="1" applyAlignment="1">
      <alignment horizontal="right" vertical="center" wrapText="1"/>
    </xf>
    <xf numFmtId="0" fontId="5" fillId="5" borderId="2" xfId="0" applyFont="1" applyFill="1" applyBorder="1" applyAlignment="1">
      <alignment horizontal="left" vertical="center" wrapText="1"/>
    </xf>
    <xf numFmtId="9" fontId="4" fillId="5" borderId="17" xfId="0" applyNumberFormat="1" applyFont="1" applyFill="1" applyBorder="1" applyAlignment="1">
      <alignment horizontal="right" vertical="center" wrapText="1"/>
    </xf>
    <xf numFmtId="9" fontId="4" fillId="5" borderId="6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center" wrapText="1"/>
    </xf>
    <xf numFmtId="9" fontId="4" fillId="0" borderId="6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/>
    </xf>
    <xf numFmtId="9" fontId="4" fillId="0" borderId="6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left" vertical="center" wrapText="1"/>
    </xf>
    <xf numFmtId="3" fontId="4" fillId="5" borderId="5" xfId="0" applyNumberFormat="1" applyFont="1" applyFill="1" applyBorder="1" applyAlignment="1">
      <alignment horizontal="right" vertical="center"/>
    </xf>
    <xf numFmtId="0" fontId="4" fillId="5" borderId="5" xfId="0" applyFont="1" applyFill="1" applyBorder="1" applyAlignment="1">
      <alignment horizontal="right" vertical="center"/>
    </xf>
    <xf numFmtId="9" fontId="4" fillId="5" borderId="17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right" vertical="center"/>
    </xf>
    <xf numFmtId="9" fontId="4" fillId="0" borderId="7" xfId="0" applyNumberFormat="1" applyFont="1" applyFill="1" applyBorder="1" applyAlignment="1">
      <alignment horizontal="right" vertical="center"/>
    </xf>
    <xf numFmtId="3" fontId="4" fillId="5" borderId="11" xfId="0" applyNumberFormat="1" applyFont="1" applyFill="1" applyBorder="1" applyAlignment="1">
      <alignment horizontal="right" vertical="center"/>
    </xf>
    <xf numFmtId="9" fontId="4" fillId="5" borderId="12" xfId="0" applyNumberFormat="1" applyFont="1" applyFill="1" applyBorder="1" applyAlignment="1">
      <alignment horizontal="right" vertical="center"/>
    </xf>
    <xf numFmtId="9" fontId="4" fillId="5" borderId="6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 wrapText="1"/>
    </xf>
    <xf numFmtId="9" fontId="12" fillId="0" borderId="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 wrapText="1"/>
    </xf>
    <xf numFmtId="9" fontId="4" fillId="0" borderId="7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horizontal="right" vertical="center"/>
    </xf>
    <xf numFmtId="9" fontId="4" fillId="0" borderId="5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/>
    </xf>
    <xf numFmtId="9" fontId="4" fillId="0" borderId="5" xfId="0" applyNumberFormat="1" applyFont="1" applyFill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right" vertical="center"/>
    </xf>
    <xf numFmtId="3" fontId="5" fillId="0" borderId="37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/>
    <xf numFmtId="0" fontId="7" fillId="0" borderId="0" xfId="0" quotePrefix="1" applyFont="1" applyFill="1" applyBorder="1" applyAlignment="1">
      <alignment horizontal="right" vertical="top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174" fontId="5" fillId="5" borderId="17" xfId="0" applyNumberFormat="1" applyFont="1" applyFill="1" applyBorder="1" applyAlignment="1">
      <alignment horizontal="right" vertical="center"/>
    </xf>
    <xf numFmtId="174" fontId="5" fillId="5" borderId="17" xfId="0" applyNumberFormat="1" applyFont="1" applyFill="1" applyBorder="1" applyAlignment="1">
      <alignment horizontal="center" vertical="center"/>
    </xf>
    <xf numFmtId="174" fontId="5" fillId="5" borderId="6" xfId="0" applyNumberFormat="1" applyFont="1" applyFill="1" applyBorder="1" applyAlignment="1">
      <alignment horizontal="right" vertical="center"/>
    </xf>
    <xf numFmtId="174" fontId="5" fillId="5" borderId="6" xfId="0" applyNumberFormat="1" applyFont="1" applyFill="1" applyBorder="1" applyAlignment="1">
      <alignment horizontal="center" vertical="center"/>
    </xf>
    <xf numFmtId="174" fontId="5" fillId="5" borderId="7" xfId="0" applyNumberFormat="1" applyFont="1" applyFill="1" applyBorder="1" applyAlignment="1">
      <alignment horizontal="center" vertical="center"/>
    </xf>
    <xf numFmtId="174" fontId="4" fillId="0" borderId="17" xfId="0" applyNumberFormat="1" applyFont="1" applyFill="1" applyBorder="1" applyAlignment="1">
      <alignment horizontal="right" vertical="center"/>
    </xf>
    <xf numFmtId="174" fontId="4" fillId="0" borderId="17" xfId="0" applyNumberFormat="1" applyFont="1" applyFill="1" applyBorder="1" applyAlignment="1">
      <alignment horizontal="center" vertical="center"/>
    </xf>
    <xf numFmtId="174" fontId="4" fillId="5" borderId="6" xfId="0" applyNumberFormat="1" applyFont="1" applyFill="1" applyBorder="1" applyAlignment="1">
      <alignment horizontal="center" vertical="center"/>
    </xf>
    <xf numFmtId="174" fontId="4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/>
    </xf>
    <xf numFmtId="0" fontId="5" fillId="4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166" fontId="5" fillId="5" borderId="1" xfId="0" applyNumberFormat="1" applyFont="1" applyFill="1" applyBorder="1" applyAlignment="1">
      <alignment horizontal="center" vertical="center"/>
    </xf>
    <xf numFmtId="166" fontId="5" fillId="5" borderId="2" xfId="0" applyNumberFormat="1" applyFont="1" applyFill="1" applyBorder="1" applyAlignment="1">
      <alignment horizontal="center" vertical="center"/>
    </xf>
    <xf numFmtId="166" fontId="5" fillId="5" borderId="3" xfId="0" applyNumberFormat="1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166" fontId="4" fillId="7" borderId="23" xfId="0" applyNumberFormat="1" applyFont="1" applyFill="1" applyBorder="1" applyAlignment="1">
      <alignment horizontal="right" vertical="center"/>
    </xf>
    <xf numFmtId="166" fontId="4" fillId="0" borderId="23" xfId="0" applyNumberFormat="1" applyFont="1" applyFill="1" applyBorder="1" applyAlignment="1">
      <alignment horizontal="right" vertical="center"/>
    </xf>
    <xf numFmtId="166" fontId="5" fillId="0" borderId="3" xfId="0" applyNumberFormat="1" applyFont="1" applyFill="1" applyBorder="1" applyAlignment="1">
      <alignment horizontal="center" vertical="center"/>
    </xf>
    <xf numFmtId="166" fontId="4" fillId="7" borderId="4" xfId="0" applyNumberFormat="1" applyFont="1" applyFill="1" applyBorder="1" applyAlignment="1">
      <alignment horizontal="right" vertical="center"/>
    </xf>
    <xf numFmtId="166" fontId="4" fillId="0" borderId="17" xfId="0" applyNumberFormat="1" applyFont="1" applyFill="1" applyBorder="1" applyAlignment="1">
      <alignment horizontal="right" vertical="center"/>
    </xf>
    <xf numFmtId="166" fontId="28" fillId="0" borderId="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20" xfId="0" applyFont="1" applyBorder="1" applyAlignment="1">
      <alignment horizontal="center" vertical="center" wrapText="1"/>
    </xf>
    <xf numFmtId="1" fontId="5" fillId="4" borderId="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5" fillId="0" borderId="0" xfId="0" applyFont="1" applyBorder="1" applyAlignment="1">
      <alignment vertical="top"/>
    </xf>
    <xf numFmtId="9" fontId="7" fillId="0" borderId="0" xfId="0" quotePrefix="1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/>
    <xf numFmtId="0" fontId="5" fillId="4" borderId="0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175" fontId="4" fillId="0" borderId="25" xfId="0" applyNumberFormat="1" applyFont="1" applyFill="1" applyBorder="1" applyAlignment="1">
      <alignment horizontal="right" vertical="center"/>
    </xf>
    <xf numFmtId="164" fontId="4" fillId="0" borderId="0" xfId="0" applyNumberFormat="1" applyFont="1"/>
    <xf numFmtId="0" fontId="34" fillId="0" borderId="0" xfId="4"/>
    <xf numFmtId="0" fontId="1" fillId="0" borderId="0" xfId="4" applyNumberFormat="1" applyFont="1" applyFill="1" applyBorder="1" applyAlignment="1"/>
    <xf numFmtId="176" fontId="1" fillId="0" borderId="0" xfId="4" applyNumberFormat="1" applyFont="1" applyFill="1" applyBorder="1" applyAlignment="1"/>
    <xf numFmtId="0" fontId="34" fillId="0" borderId="0" xfId="4"/>
    <xf numFmtId="0" fontId="1" fillId="0" borderId="0" xfId="4" applyNumberFormat="1" applyFont="1" applyFill="1" applyBorder="1" applyAlignment="1"/>
    <xf numFmtId="176" fontId="1" fillId="0" borderId="0" xfId="4" applyNumberFormat="1" applyFont="1" applyFill="1" applyBorder="1" applyAlignment="1"/>
    <xf numFmtId="0" fontId="7" fillId="0" borderId="0" xfId="0" quotePrefix="1" applyFont="1" applyAlignment="1">
      <alignment horizontal="right" vertical="top"/>
    </xf>
    <xf numFmtId="0" fontId="7" fillId="0" borderId="0" xfId="0" quotePrefix="1" applyFont="1" applyAlignment="1">
      <alignment horizontal="right" vertical="top"/>
    </xf>
    <xf numFmtId="166" fontId="4" fillId="7" borderId="25" xfId="0" applyNumberFormat="1" applyFont="1" applyFill="1" applyBorder="1" applyAlignment="1">
      <alignment horizontal="right" vertical="center"/>
    </xf>
    <xf numFmtId="166" fontId="4" fillId="5" borderId="6" xfId="0" applyNumberFormat="1" applyFont="1" applyFill="1" applyBorder="1" applyAlignment="1">
      <alignment horizontal="right" vertical="center"/>
    </xf>
    <xf numFmtId="164" fontId="5" fillId="5" borderId="2" xfId="0" applyNumberFormat="1" applyFont="1" applyFill="1" applyBorder="1" applyAlignment="1">
      <alignment horizontal="right" vertical="center"/>
    </xf>
    <xf numFmtId="164" fontId="5" fillId="5" borderId="3" xfId="0" applyNumberFormat="1" applyFont="1" applyFill="1" applyBorder="1" applyAlignment="1">
      <alignment horizontal="right" vertical="center"/>
    </xf>
    <xf numFmtId="164" fontId="5" fillId="5" borderId="1" xfId="0" applyNumberFormat="1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169" fontId="4" fillId="8" borderId="14" xfId="0" applyNumberFormat="1" applyFont="1" applyFill="1" applyBorder="1" applyAlignment="1">
      <alignment horizontal="right"/>
    </xf>
    <xf numFmtId="169" fontId="5" fillId="5" borderId="13" xfId="0" applyNumberFormat="1" applyFont="1" applyFill="1" applyBorder="1" applyAlignment="1">
      <alignment horizontal="right"/>
    </xf>
    <xf numFmtId="169" fontId="5" fillId="5" borderId="17" xfId="0" applyNumberFormat="1" applyFont="1" applyFill="1" applyBorder="1" applyAlignment="1">
      <alignment horizontal="right"/>
    </xf>
    <xf numFmtId="169" fontId="5" fillId="5" borderId="14" xfId="0" applyNumberFormat="1" applyFont="1" applyFill="1" applyBorder="1" applyAlignment="1">
      <alignment horizontal="right"/>
    </xf>
    <xf numFmtId="169" fontId="5" fillId="5" borderId="6" xfId="0" applyNumberFormat="1" applyFont="1" applyFill="1" applyBorder="1" applyAlignment="1">
      <alignment horizontal="right"/>
    </xf>
    <xf numFmtId="169" fontId="5" fillId="5" borderId="4" xfId="0" applyNumberFormat="1" applyFont="1" applyFill="1" applyBorder="1" applyAlignment="1">
      <alignment horizontal="right"/>
    </xf>
    <xf numFmtId="0" fontId="5" fillId="4" borderId="5" xfId="0" applyFont="1" applyFill="1" applyBorder="1" applyAlignment="1">
      <alignment horizontal="center" vertical="center" wrapText="1"/>
    </xf>
    <xf numFmtId="1" fontId="5" fillId="6" borderId="3" xfId="0" quotePrefix="1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174" fontId="4" fillId="0" borderId="0" xfId="0" applyNumberFormat="1" applyFont="1" applyBorder="1"/>
    <xf numFmtId="166" fontId="12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166" fontId="4" fillId="0" borderId="2" xfId="0" applyNumberFormat="1" applyFont="1" applyFill="1" applyBorder="1" applyAlignment="1">
      <alignment horizontal="right" vertical="center" wrapText="1"/>
    </xf>
    <xf numFmtId="166" fontId="12" fillId="0" borderId="0" xfId="0" applyNumberFormat="1" applyFont="1" applyFill="1" applyBorder="1" applyAlignment="1">
      <alignment horizontal="right" vertical="center"/>
    </xf>
    <xf numFmtId="166" fontId="13" fillId="7" borderId="4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 vertical="center" wrapText="1"/>
    </xf>
    <xf numFmtId="166" fontId="5" fillId="7" borderId="2" xfId="0" applyNumberFormat="1" applyFont="1" applyFill="1" applyBorder="1" applyAlignment="1">
      <alignment horizontal="center" vertical="center"/>
    </xf>
    <xf numFmtId="4" fontId="4" fillId="7" borderId="2" xfId="0" applyNumberFormat="1" applyFont="1" applyFill="1" applyBorder="1" applyAlignment="1">
      <alignment horizontal="right" vertical="center"/>
    </xf>
    <xf numFmtId="166" fontId="12" fillId="7" borderId="23" xfId="0" applyNumberFormat="1" applyFont="1" applyFill="1" applyBorder="1" applyAlignment="1">
      <alignment horizontal="right" vertical="center"/>
    </xf>
    <xf numFmtId="166" fontId="12" fillId="7" borderId="4" xfId="0" applyNumberFormat="1" applyFont="1" applyFill="1" applyBorder="1" applyAlignment="1">
      <alignment horizontal="right" vertical="center"/>
    </xf>
    <xf numFmtId="166" fontId="12" fillId="7" borderId="24" xfId="0" applyNumberFormat="1" applyFont="1" applyFill="1" applyBorder="1" applyAlignment="1">
      <alignment horizontal="right" vertical="center"/>
    </xf>
    <xf numFmtId="166" fontId="5" fillId="7" borderId="3" xfId="0" applyNumberFormat="1" applyFont="1" applyFill="1" applyBorder="1" applyAlignment="1">
      <alignment horizontal="center" vertical="center"/>
    </xf>
    <xf numFmtId="0" fontId="34" fillId="0" borderId="0" xfId="4"/>
    <xf numFmtId="0" fontId="1" fillId="0" borderId="0" xfId="4" applyNumberFormat="1" applyFont="1" applyFill="1" applyBorder="1" applyAlignment="1"/>
    <xf numFmtId="3" fontId="4" fillId="0" borderId="0" xfId="0" applyNumberFormat="1" applyFont="1" applyBorder="1"/>
    <xf numFmtId="0" fontId="5" fillId="7" borderId="6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right" vertical="top"/>
    </xf>
    <xf numFmtId="0" fontId="29" fillId="7" borderId="2" xfId="0" applyFont="1" applyFill="1" applyBorder="1" applyAlignment="1">
      <alignment horizontal="center" vertical="center"/>
    </xf>
    <xf numFmtId="166" fontId="4" fillId="7" borderId="14" xfId="0" applyNumberFormat="1" applyFont="1" applyFill="1" applyBorder="1" applyAlignment="1">
      <alignment horizontal="right" vertical="center"/>
    </xf>
    <xf numFmtId="0" fontId="29" fillId="7" borderId="6" xfId="0" applyFont="1" applyFill="1" applyBorder="1" applyAlignment="1">
      <alignment horizontal="center" vertical="center"/>
    </xf>
    <xf numFmtId="0" fontId="29" fillId="7" borderId="3" xfId="0" applyFont="1" applyFill="1" applyBorder="1" applyAlignment="1">
      <alignment horizontal="center" vertical="center"/>
    </xf>
    <xf numFmtId="166" fontId="4" fillId="7" borderId="8" xfId="0" applyNumberFormat="1" applyFont="1" applyFill="1" applyBorder="1" applyAlignment="1">
      <alignment horizontal="right" vertical="center"/>
    </xf>
    <xf numFmtId="0" fontId="29" fillId="7" borderId="7" xfId="0" applyFont="1" applyFill="1" applyBorder="1" applyAlignment="1">
      <alignment horizontal="center" vertical="center"/>
    </xf>
    <xf numFmtId="169" fontId="19" fillId="5" borderId="6" xfId="3" applyNumberFormat="1" applyFont="1" applyFill="1" applyBorder="1" applyAlignment="1">
      <alignment horizontal="center" vertical="center"/>
      <protection locked="0"/>
    </xf>
    <xf numFmtId="169" fontId="19" fillId="0" borderId="6" xfId="3" applyNumberFormat="1" applyFont="1" applyFill="1" applyBorder="1" applyAlignment="1">
      <alignment horizontal="center" vertical="center"/>
      <protection locked="0"/>
    </xf>
    <xf numFmtId="169" fontId="19" fillId="7" borderId="2" xfId="3" applyNumberFormat="1" applyFont="1" applyFill="1" applyBorder="1" applyAlignment="1">
      <alignment horizontal="center" vertical="center"/>
      <protection locked="0"/>
    </xf>
    <xf numFmtId="169" fontId="19" fillId="0" borderId="2" xfId="3" applyNumberFormat="1" applyFont="1" applyFill="1" applyBorder="1" applyAlignment="1">
      <alignment horizontal="center" vertical="center"/>
      <protection locked="0"/>
    </xf>
    <xf numFmtId="0" fontId="5" fillId="0" borderId="0" xfId="0" applyFont="1" applyBorder="1" applyAlignment="1"/>
    <xf numFmtId="0" fontId="5" fillId="4" borderId="0" xfId="0" applyFont="1" applyFill="1" applyBorder="1" applyAlignment="1">
      <alignment horizontal="center" vertical="center" wrapText="1"/>
    </xf>
    <xf numFmtId="169" fontId="19" fillId="0" borderId="2" xfId="3" applyNumberFormat="1" applyFont="1" applyFill="1" applyBorder="1" applyAlignment="1">
      <alignment vertical="center"/>
      <protection locked="0"/>
    </xf>
    <xf numFmtId="169" fontId="19" fillId="7" borderId="7" xfId="3" applyNumberFormat="1" applyFont="1" applyFill="1" applyBorder="1" applyAlignment="1">
      <alignment vertical="center"/>
      <protection locked="0"/>
    </xf>
    <xf numFmtId="166" fontId="4" fillId="0" borderId="3" xfId="0" applyNumberFormat="1" applyFont="1" applyBorder="1"/>
    <xf numFmtId="166" fontId="4" fillId="0" borderId="2" xfId="0" applyNumberFormat="1" applyFont="1" applyBorder="1"/>
    <xf numFmtId="165" fontId="4" fillId="7" borderId="14" xfId="0" applyNumberFormat="1" applyFont="1" applyFill="1" applyBorder="1" applyAlignment="1">
      <alignment horizontal="right" vertical="center"/>
    </xf>
    <xf numFmtId="165" fontId="4" fillId="7" borderId="8" xfId="0" applyNumberFormat="1" applyFont="1" applyFill="1" applyBorder="1" applyAlignment="1">
      <alignment horizontal="right" vertical="center"/>
    </xf>
    <xf numFmtId="49" fontId="4" fillId="7" borderId="6" xfId="0" applyNumberFormat="1" applyFont="1" applyFill="1" applyBorder="1" applyAlignment="1">
      <alignment horizontal="right"/>
    </xf>
    <xf numFmtId="169" fontId="4" fillId="7" borderId="14" xfId="0" applyNumberFormat="1" applyFont="1" applyFill="1" applyBorder="1" applyAlignment="1">
      <alignment horizontal="right"/>
    </xf>
    <xf numFmtId="169" fontId="4" fillId="7" borderId="4" xfId="0" applyNumberFormat="1" applyFont="1" applyFill="1" applyBorder="1" applyAlignment="1">
      <alignment horizontal="right"/>
    </xf>
    <xf numFmtId="0" fontId="4" fillId="7" borderId="0" xfId="0" applyFont="1" applyFill="1"/>
    <xf numFmtId="0" fontId="5" fillId="0" borderId="2" xfId="0" applyFont="1" applyFill="1" applyBorder="1" applyAlignment="1">
      <alignment horizontal="center"/>
    </xf>
    <xf numFmtId="168" fontId="4" fillId="0" borderId="6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69" fontId="4" fillId="0" borderId="6" xfId="0" applyNumberFormat="1" applyFont="1" applyFill="1" applyBorder="1" applyAlignment="1">
      <alignment horizontal="right"/>
    </xf>
    <xf numFmtId="168" fontId="4" fillId="5" borderId="25" xfId="0" applyNumberFormat="1" applyFont="1" applyFill="1" applyBorder="1" applyAlignment="1">
      <alignment vertical="center"/>
    </xf>
    <xf numFmtId="169" fontId="4" fillId="0" borderId="42" xfId="0" applyNumberFormat="1" applyFont="1" applyFill="1" applyBorder="1" applyAlignment="1">
      <alignment horizontal="right" vertical="center"/>
    </xf>
    <xf numFmtId="169" fontId="4" fillId="0" borderId="44" xfId="0" applyNumberFormat="1" applyFont="1" applyFill="1" applyBorder="1" applyAlignment="1">
      <alignment horizontal="right" vertical="center"/>
    </xf>
    <xf numFmtId="174" fontId="4" fillId="7" borderId="6" xfId="0" applyNumberFormat="1" applyFont="1" applyFill="1" applyBorder="1" applyAlignment="1">
      <alignment horizontal="right" vertical="center"/>
    </xf>
    <xf numFmtId="174" fontId="4" fillId="7" borderId="6" xfId="0" applyNumberFormat="1" applyFont="1" applyFill="1" applyBorder="1" applyAlignment="1">
      <alignment horizontal="center" vertical="center"/>
    </xf>
    <xf numFmtId="174" fontId="4" fillId="7" borderId="7" xfId="0" applyNumberFormat="1" applyFont="1" applyFill="1" applyBorder="1" applyAlignment="1">
      <alignment horizontal="right" vertical="center"/>
    </xf>
    <xf numFmtId="174" fontId="4" fillId="7" borderId="7" xfId="0" applyNumberFormat="1" applyFont="1" applyFill="1" applyBorder="1" applyAlignment="1">
      <alignment horizontal="center" vertical="center"/>
    </xf>
    <xf numFmtId="175" fontId="4" fillId="5" borderId="25" xfId="0" applyNumberFormat="1" applyFont="1" applyFill="1" applyBorder="1" applyAlignment="1">
      <alignment horizontal="right" vertical="center"/>
    </xf>
    <xf numFmtId="175" fontId="4" fillId="7" borderId="2" xfId="0" applyNumberFormat="1" applyFont="1" applyFill="1" applyBorder="1" applyAlignment="1">
      <alignment horizontal="right" vertical="center"/>
    </xf>
    <xf numFmtId="175" fontId="4" fillId="7" borderId="14" xfId="0" applyNumberFormat="1" applyFont="1" applyFill="1" applyBorder="1" applyAlignment="1">
      <alignment horizontal="right" vertical="center"/>
    </xf>
    <xf numFmtId="175" fontId="4" fillId="7" borderId="0" xfId="0" applyNumberFormat="1" applyFont="1" applyFill="1" applyBorder="1" applyAlignment="1">
      <alignment horizontal="right" vertical="center"/>
    </xf>
    <xf numFmtId="175" fontId="4" fillId="7" borderId="25" xfId="0" applyNumberFormat="1" applyFont="1" applyFill="1" applyBorder="1" applyAlignment="1">
      <alignment horizontal="right" vertical="center"/>
    </xf>
    <xf numFmtId="175" fontId="12" fillId="7" borderId="0" xfId="0" applyNumberFormat="1" applyFont="1" applyFill="1" applyBorder="1" applyAlignment="1">
      <alignment horizontal="right" vertical="center"/>
    </xf>
    <xf numFmtId="175" fontId="4" fillId="7" borderId="15" xfId="0" applyNumberFormat="1" applyFont="1" applyFill="1" applyBorder="1" applyAlignment="1">
      <alignment horizontal="right" vertical="center"/>
    </xf>
    <xf numFmtId="175" fontId="4" fillId="7" borderId="16" xfId="0" applyNumberFormat="1" applyFont="1" applyFill="1" applyBorder="1" applyAlignment="1">
      <alignment horizontal="right" vertical="center"/>
    </xf>
    <xf numFmtId="175" fontId="4" fillId="7" borderId="23" xfId="0" applyNumberFormat="1" applyFont="1" applyFill="1" applyBorder="1" applyAlignment="1">
      <alignment horizontal="right" vertical="center"/>
    </xf>
    <xf numFmtId="175" fontId="12" fillId="7" borderId="14" xfId="0" applyNumberFormat="1" applyFont="1" applyFill="1" applyBorder="1" applyAlignment="1">
      <alignment horizontal="right" vertical="center"/>
    </xf>
    <xf numFmtId="175" fontId="4" fillId="7" borderId="3" xfId="0" applyNumberFormat="1" applyFont="1" applyFill="1" applyBorder="1" applyAlignment="1">
      <alignment horizontal="right" vertical="center"/>
    </xf>
    <xf numFmtId="175" fontId="4" fillId="7" borderId="8" xfId="0" applyNumberFormat="1" applyFont="1" applyFill="1" applyBorder="1" applyAlignment="1">
      <alignment horizontal="right" vertical="center"/>
    </xf>
    <xf numFmtId="175" fontId="4" fillId="7" borderId="4" xfId="0" applyNumberFormat="1" applyFont="1" applyFill="1" applyBorder="1" applyAlignment="1">
      <alignment horizontal="right" vertical="center"/>
    </xf>
    <xf numFmtId="0" fontId="0" fillId="0" borderId="0" xfId="0" applyAlignment="1">
      <alignment vertical="top"/>
    </xf>
    <xf numFmtId="0" fontId="0" fillId="0" borderId="0" xfId="0"/>
    <xf numFmtId="0" fontId="5" fillId="0" borderId="0" xfId="0" applyFont="1"/>
    <xf numFmtId="1" fontId="5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9" fillId="0" borderId="0" xfId="0" applyFont="1"/>
    <xf numFmtId="0" fontId="1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top"/>
    </xf>
    <xf numFmtId="9" fontId="7" fillId="0" borderId="0" xfId="0" quotePrefix="1" applyNumberFormat="1" applyFont="1" applyAlignment="1">
      <alignment horizontal="right" vertical="top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" fontId="5" fillId="4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6" xfId="0" applyFill="1" applyBorder="1"/>
    <xf numFmtId="0" fontId="9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" fontId="5" fillId="4" borderId="13" xfId="0" applyNumberFormat="1" applyFont="1" applyFill="1" applyBorder="1" applyAlignment="1">
      <alignment horizontal="center" vertical="center"/>
    </xf>
    <xf numFmtId="1" fontId="5" fillId="4" borderId="5" xfId="0" applyNumberFormat="1" applyFont="1" applyFill="1" applyBorder="1" applyAlignment="1">
      <alignment horizontal="center" vertical="center"/>
    </xf>
    <xf numFmtId="169" fontId="5" fillId="0" borderId="20" xfId="0" applyNumberFormat="1" applyFont="1" applyBorder="1"/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169" fontId="13" fillId="0" borderId="20" xfId="0" applyNumberFormat="1" applyFont="1" applyBorder="1"/>
    <xf numFmtId="0" fontId="5" fillId="0" borderId="0" xfId="0" applyFont="1" applyAlignment="1">
      <alignment horizontal="center" wrapText="1"/>
    </xf>
    <xf numFmtId="166" fontId="5" fillId="0" borderId="0" xfId="0" applyNumberFormat="1" applyFont="1"/>
    <xf numFmtId="171" fontId="4" fillId="7" borderId="14" xfId="0" applyNumberFormat="1" applyFont="1" applyFill="1" applyBorder="1" applyAlignment="1">
      <alignment vertical="center"/>
    </xf>
    <xf numFmtId="171" fontId="4" fillId="7" borderId="0" xfId="0" applyNumberFormat="1" applyFont="1" applyFill="1" applyBorder="1" applyAlignment="1">
      <alignment vertical="center"/>
    </xf>
    <xf numFmtId="171" fontId="4" fillId="7" borderId="14" xfId="0" quotePrefix="1" applyNumberFormat="1" applyFont="1" applyFill="1" applyBorder="1" applyAlignment="1">
      <alignment horizontal="right" vertical="center"/>
    </xf>
    <xf numFmtId="171" fontId="4" fillId="7" borderId="0" xfId="0" quotePrefix="1" applyNumberFormat="1" applyFont="1" applyFill="1" applyBorder="1" applyAlignment="1">
      <alignment horizontal="right" vertical="center"/>
    </xf>
    <xf numFmtId="171" fontId="4" fillId="7" borderId="0" xfId="0" applyNumberFormat="1" applyFont="1" applyFill="1" applyBorder="1" applyAlignment="1">
      <alignment horizontal="right" vertical="center"/>
    </xf>
    <xf numFmtId="171" fontId="4" fillId="7" borderId="14" xfId="0" applyNumberFormat="1" applyFont="1" applyFill="1" applyBorder="1" applyAlignment="1">
      <alignment horizontal="right" vertical="center"/>
    </xf>
    <xf numFmtId="0" fontId="0" fillId="0" borderId="0" xfId="0" applyAlignment="1">
      <alignment vertical="top"/>
    </xf>
    <xf numFmtId="167" fontId="4" fillId="0" borderId="3" xfId="0" applyNumberFormat="1" applyFont="1" applyFill="1" applyBorder="1" applyAlignment="1">
      <alignment horizontal="right" vertical="center"/>
    </xf>
    <xf numFmtId="167" fontId="4" fillId="7" borderId="1" xfId="0" applyNumberFormat="1" applyFont="1" applyFill="1" applyBorder="1" applyAlignment="1">
      <alignment horizontal="right" vertical="center"/>
    </xf>
    <xf numFmtId="166" fontId="4" fillId="7" borderId="17" xfId="0" applyNumberFormat="1" applyFont="1" applyFill="1" applyBorder="1" applyAlignment="1">
      <alignment horizontal="right" vertical="center"/>
    </xf>
    <xf numFmtId="166" fontId="5" fillId="7" borderId="17" xfId="0" applyNumberFormat="1" applyFont="1" applyFill="1" applyBorder="1" applyAlignment="1">
      <alignment horizontal="right"/>
    </xf>
    <xf numFmtId="166" fontId="5" fillId="7" borderId="6" xfId="0" applyNumberFormat="1" applyFont="1" applyFill="1" applyBorder="1" applyAlignment="1">
      <alignment horizontal="right"/>
    </xf>
    <xf numFmtId="166" fontId="4" fillId="0" borderId="6" xfId="0" applyNumberFormat="1" applyFont="1" applyFill="1" applyBorder="1" applyAlignment="1">
      <alignment horizontal="right" vertical="center" wrapText="1"/>
    </xf>
    <xf numFmtId="2" fontId="4" fillId="7" borderId="1" xfId="0" applyNumberFormat="1" applyFont="1" applyFill="1" applyBorder="1" applyAlignment="1">
      <alignment horizontal="right" vertical="center"/>
    </xf>
    <xf numFmtId="166" fontId="4" fillId="7" borderId="5" xfId="0" applyNumberFormat="1" applyFont="1" applyFill="1" applyBorder="1" applyAlignment="1">
      <alignment horizontal="right" vertical="center"/>
    </xf>
    <xf numFmtId="166" fontId="4" fillId="7" borderId="1" xfId="0" applyNumberFormat="1" applyFont="1" applyFill="1" applyBorder="1" applyAlignment="1">
      <alignment horizontal="right" vertical="center"/>
    </xf>
    <xf numFmtId="166" fontId="5" fillId="7" borderId="1" xfId="0" applyNumberFormat="1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166" fontId="4" fillId="0" borderId="42" xfId="0" applyNumberFormat="1" applyFont="1" applyFill="1" applyBorder="1" applyAlignment="1">
      <alignment horizontal="right" vertical="center"/>
    </xf>
    <xf numFmtId="167" fontId="5" fillId="7" borderId="1" xfId="0" applyNumberFormat="1" applyFont="1" applyFill="1" applyBorder="1" applyAlignment="1">
      <alignment horizontal="right"/>
    </xf>
    <xf numFmtId="167" fontId="13" fillId="7" borderId="5" xfId="0" applyNumberFormat="1" applyFont="1" applyFill="1" applyBorder="1" applyAlignment="1">
      <alignment horizontal="right"/>
    </xf>
    <xf numFmtId="167" fontId="5" fillId="7" borderId="5" xfId="0" applyNumberFormat="1" applyFont="1" applyFill="1" applyBorder="1" applyAlignment="1">
      <alignment horizontal="right"/>
    </xf>
    <xf numFmtId="167" fontId="5" fillId="7" borderId="2" xfId="0" applyNumberFormat="1" applyFont="1" applyFill="1" applyBorder="1" applyAlignment="1">
      <alignment horizontal="right"/>
    </xf>
    <xf numFmtId="167" fontId="13" fillId="7" borderId="0" xfId="0" applyNumberFormat="1" applyFont="1" applyFill="1" applyBorder="1" applyAlignment="1">
      <alignment horizontal="right"/>
    </xf>
    <xf numFmtId="167" fontId="5" fillId="7" borderId="0" xfId="0" applyNumberFormat="1" applyFont="1" applyFill="1" applyBorder="1" applyAlignment="1">
      <alignment horizontal="right"/>
    </xf>
    <xf numFmtId="167" fontId="5" fillId="7" borderId="3" xfId="0" applyNumberFormat="1" applyFont="1" applyFill="1" applyBorder="1" applyAlignment="1">
      <alignment horizontal="right"/>
    </xf>
    <xf numFmtId="167" fontId="13" fillId="7" borderId="4" xfId="0" applyNumberFormat="1" applyFont="1" applyFill="1" applyBorder="1" applyAlignment="1">
      <alignment horizontal="right"/>
    </xf>
    <xf numFmtId="167" fontId="5" fillId="7" borderId="4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right" vertical="center"/>
    </xf>
    <xf numFmtId="167" fontId="4" fillId="7" borderId="0" xfId="0" applyNumberFormat="1" applyFont="1" applyFill="1" applyBorder="1" applyAlignment="1">
      <alignment horizontal="right" vertical="center"/>
    </xf>
    <xf numFmtId="167" fontId="4" fillId="7" borderId="23" xfId="0" applyNumberFormat="1" applyFont="1" applyFill="1" applyBorder="1" applyAlignment="1">
      <alignment horizontal="right" vertical="center"/>
    </xf>
    <xf numFmtId="167" fontId="4" fillId="0" borderId="23" xfId="0" applyNumberFormat="1" applyFont="1" applyFill="1" applyBorder="1" applyAlignment="1">
      <alignment horizontal="right" vertical="center"/>
    </xf>
    <xf numFmtId="167" fontId="12" fillId="0" borderId="0" xfId="0" applyNumberFormat="1" applyFont="1" applyFill="1" applyBorder="1" applyAlignment="1">
      <alignment horizontal="right" vertical="center"/>
    </xf>
    <xf numFmtId="167" fontId="4" fillId="7" borderId="25" xfId="0" applyNumberFormat="1" applyFont="1" applyFill="1" applyBorder="1" applyAlignment="1">
      <alignment horizontal="right" vertical="center"/>
    </xf>
    <xf numFmtId="167" fontId="12" fillId="7" borderId="0" xfId="0" applyNumberFormat="1" applyFont="1" applyFill="1" applyBorder="1" applyAlignment="1">
      <alignment horizontal="right" vertical="center"/>
    </xf>
    <xf numFmtId="167" fontId="4" fillId="7" borderId="6" xfId="0" applyNumberFormat="1" applyFont="1" applyFill="1" applyBorder="1" applyAlignment="1">
      <alignment horizontal="right" vertical="center"/>
    </xf>
    <xf numFmtId="167" fontId="4" fillId="0" borderId="6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 wrapText="1"/>
    </xf>
    <xf numFmtId="167" fontId="4" fillId="0" borderId="6" xfId="0" applyNumberFormat="1" applyFont="1" applyFill="1" applyBorder="1" applyAlignment="1">
      <alignment horizontal="right" vertical="center" wrapText="1"/>
    </xf>
    <xf numFmtId="167" fontId="4" fillId="7" borderId="4" xfId="0" applyNumberFormat="1" applyFont="1" applyFill="1" applyBorder="1" applyAlignment="1">
      <alignment horizontal="right" vertical="center"/>
    </xf>
    <xf numFmtId="167" fontId="4" fillId="7" borderId="7" xfId="0" applyNumberFormat="1" applyFont="1" applyFill="1" applyBorder="1" applyAlignment="1">
      <alignment horizontal="right" vertical="center"/>
    </xf>
    <xf numFmtId="167" fontId="4" fillId="0" borderId="5" xfId="0" applyNumberFormat="1" applyFont="1" applyFill="1" applyBorder="1" applyAlignment="1">
      <alignment horizontal="right" vertical="center"/>
    </xf>
    <xf numFmtId="167" fontId="4" fillId="0" borderId="4" xfId="0" applyNumberFormat="1" applyFont="1" applyFill="1" applyBorder="1" applyAlignment="1">
      <alignment horizontal="right" vertical="center"/>
    </xf>
    <xf numFmtId="167" fontId="4" fillId="0" borderId="7" xfId="0" applyNumberFormat="1" applyFont="1" applyFill="1" applyBorder="1" applyAlignment="1">
      <alignment horizontal="right" vertical="center"/>
    </xf>
    <xf numFmtId="167" fontId="4" fillId="7" borderId="5" xfId="0" applyNumberFormat="1" applyFont="1" applyFill="1" applyBorder="1" applyAlignment="1">
      <alignment horizontal="right" vertical="center"/>
    </xf>
    <xf numFmtId="167" fontId="4" fillId="7" borderId="17" xfId="0" applyNumberFormat="1" applyFont="1" applyFill="1" applyBorder="1" applyAlignment="1">
      <alignment horizontal="right" vertical="center"/>
    </xf>
    <xf numFmtId="179" fontId="5" fillId="5" borderId="13" xfId="0" quotePrefix="1" applyNumberFormat="1" applyFont="1" applyFill="1" applyBorder="1" applyAlignment="1">
      <alignment horizontal="right" vertical="center"/>
    </xf>
    <xf numFmtId="179" fontId="5" fillId="5" borderId="5" xfId="0" quotePrefix="1" applyNumberFormat="1" applyFont="1" applyFill="1" applyBorder="1" applyAlignment="1">
      <alignment horizontal="right" vertical="center"/>
    </xf>
    <xf numFmtId="179" fontId="5" fillId="5" borderId="5" xfId="0" applyNumberFormat="1" applyFont="1" applyFill="1" applyBorder="1" applyAlignment="1">
      <alignment horizontal="right" vertical="center"/>
    </xf>
    <xf numFmtId="179" fontId="13" fillId="5" borderId="5" xfId="0" applyNumberFormat="1" applyFont="1" applyFill="1" applyBorder="1" applyAlignment="1">
      <alignment horizontal="right" vertical="center"/>
    </xf>
    <xf numFmtId="179" fontId="5" fillId="5" borderId="1" xfId="0" applyNumberFormat="1" applyFont="1" applyFill="1" applyBorder="1" applyAlignment="1">
      <alignment horizontal="right" vertical="center"/>
    </xf>
    <xf numFmtId="179" fontId="5" fillId="5" borderId="0" xfId="0" quotePrefix="1" applyNumberFormat="1" applyFont="1" applyFill="1" applyBorder="1" applyAlignment="1">
      <alignment horizontal="right" vertical="center"/>
    </xf>
    <xf numFmtId="179" fontId="13" fillId="5" borderId="0" xfId="0" quotePrefix="1" applyNumberFormat="1" applyFont="1" applyFill="1" applyBorder="1" applyAlignment="1">
      <alignment horizontal="right" vertical="center"/>
    </xf>
    <xf numFmtId="179" fontId="5" fillId="5" borderId="2" xfId="0" quotePrefix="1" applyNumberFormat="1" applyFont="1" applyFill="1" applyBorder="1" applyAlignment="1">
      <alignment horizontal="right" vertical="center"/>
    </xf>
    <xf numFmtId="179" fontId="5" fillId="5" borderId="8" xfId="0" quotePrefix="1" applyNumberFormat="1" applyFont="1" applyFill="1" applyBorder="1" applyAlignment="1">
      <alignment horizontal="right" vertical="center"/>
    </xf>
    <xf numFmtId="179" fontId="5" fillId="5" borderId="4" xfId="0" quotePrefix="1" applyNumberFormat="1" applyFont="1" applyFill="1" applyBorder="1" applyAlignment="1">
      <alignment horizontal="right" vertical="center"/>
    </xf>
    <xf numFmtId="179" fontId="4" fillId="0" borderId="13" xfId="0" quotePrefix="1" applyNumberFormat="1" applyFont="1" applyFill="1" applyBorder="1" applyAlignment="1">
      <alignment horizontal="right" vertical="center"/>
    </xf>
    <xf numFmtId="179" fontId="4" fillId="0" borderId="5" xfId="0" quotePrefix="1" applyNumberFormat="1" applyFont="1" applyFill="1" applyBorder="1" applyAlignment="1">
      <alignment horizontal="right" vertical="center"/>
    </xf>
    <xf numFmtId="179" fontId="4" fillId="0" borderId="5" xfId="0" applyNumberFormat="1" applyFont="1" applyFill="1" applyBorder="1" applyAlignment="1">
      <alignment horizontal="right" vertical="center"/>
    </xf>
    <xf numFmtId="179" fontId="4" fillId="0" borderId="42" xfId="0" applyNumberFormat="1" applyFont="1" applyFill="1" applyBorder="1" applyAlignment="1">
      <alignment horizontal="right" vertical="center"/>
    </xf>
    <xf numFmtId="179" fontId="4" fillId="0" borderId="1" xfId="0" applyNumberFormat="1" applyFont="1" applyFill="1" applyBorder="1" applyAlignment="1">
      <alignment horizontal="right" vertical="center"/>
    </xf>
    <xf numFmtId="179" fontId="4" fillId="5" borderId="14" xfId="0" applyNumberFormat="1" applyFont="1" applyFill="1" applyBorder="1" applyAlignment="1">
      <alignment horizontal="right" vertical="center"/>
    </xf>
    <xf numFmtId="179" fontId="4" fillId="5" borderId="0" xfId="0" applyNumberFormat="1" applyFont="1" applyFill="1" applyBorder="1" applyAlignment="1">
      <alignment horizontal="right" vertical="center"/>
    </xf>
    <xf numFmtId="179" fontId="4" fillId="5" borderId="23" xfId="0" applyNumberFormat="1" applyFont="1" applyFill="1" applyBorder="1" applyAlignment="1">
      <alignment horizontal="right" vertical="center"/>
    </xf>
    <xf numFmtId="179" fontId="4" fillId="5" borderId="2" xfId="0" applyNumberFormat="1" applyFont="1" applyFill="1" applyBorder="1" applyAlignment="1">
      <alignment horizontal="right" vertical="center"/>
    </xf>
    <xf numFmtId="179" fontId="4" fillId="0" borderId="14" xfId="0" quotePrefix="1" applyNumberFormat="1" applyFont="1" applyFill="1" applyBorder="1" applyAlignment="1">
      <alignment horizontal="right" vertical="center"/>
    </xf>
    <xf numFmtId="179" fontId="4" fillId="0" borderId="0" xfId="0" quotePrefix="1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Border="1" applyAlignment="1">
      <alignment vertical="top" wrapText="1"/>
    </xf>
    <xf numFmtId="179" fontId="4" fillId="0" borderId="2" xfId="0" applyNumberFormat="1" applyFont="1" applyBorder="1" applyAlignment="1">
      <alignment vertical="top" wrapText="1"/>
    </xf>
    <xf numFmtId="179" fontId="4" fillId="0" borderId="14" xfId="0" applyNumberFormat="1" applyFont="1" applyFill="1" applyBorder="1" applyAlignment="1">
      <alignment horizontal="right" vertical="center"/>
    </xf>
    <xf numFmtId="179" fontId="4" fillId="0" borderId="23" xfId="0" applyNumberFormat="1" applyFont="1" applyFill="1" applyBorder="1" applyAlignment="1">
      <alignment horizontal="right" vertical="center"/>
    </xf>
    <xf numFmtId="179" fontId="4" fillId="0" borderId="25" xfId="0" applyNumberFormat="1" applyFont="1" applyFill="1" applyBorder="1" applyAlignment="1">
      <alignment horizontal="right" vertical="center"/>
    </xf>
    <xf numFmtId="179" fontId="4" fillId="0" borderId="6" xfId="0" applyNumberFormat="1" applyFont="1" applyFill="1" applyBorder="1" applyAlignment="1">
      <alignment horizontal="right" vertical="center"/>
    </xf>
    <xf numFmtId="179" fontId="4" fillId="0" borderId="2" xfId="0" applyNumberFormat="1" applyFont="1" applyFill="1" applyBorder="1" applyAlignment="1">
      <alignment horizontal="right" vertical="center"/>
    </xf>
    <xf numFmtId="179" fontId="4" fillId="5" borderId="25" xfId="0" applyNumberFormat="1" applyFont="1" applyFill="1" applyBorder="1" applyAlignment="1">
      <alignment horizontal="right" vertical="center"/>
    </xf>
    <xf numFmtId="179" fontId="4" fillId="7" borderId="2" xfId="0" applyNumberFormat="1" applyFont="1" applyFill="1" applyBorder="1" applyAlignment="1">
      <alignment horizontal="right" vertical="center"/>
    </xf>
    <xf numFmtId="179" fontId="4" fillId="7" borderId="14" xfId="0" applyNumberFormat="1" applyFont="1" applyFill="1" applyBorder="1" applyAlignment="1">
      <alignment horizontal="right" vertical="center"/>
    </xf>
    <xf numFmtId="179" fontId="4" fillId="7" borderId="0" xfId="0" applyNumberFormat="1" applyFont="1" applyFill="1" applyBorder="1" applyAlignment="1">
      <alignment horizontal="right" vertical="center"/>
    </xf>
    <xf numFmtId="179" fontId="4" fillId="7" borderId="25" xfId="0" applyNumberFormat="1" applyFont="1" applyFill="1" applyBorder="1" applyAlignment="1">
      <alignment horizontal="right" vertical="center"/>
    </xf>
    <xf numFmtId="179" fontId="12" fillId="0" borderId="0" xfId="0" applyNumberFormat="1" applyFont="1" applyFill="1" applyBorder="1" applyAlignment="1">
      <alignment horizontal="right" vertical="center"/>
    </xf>
    <xf numFmtId="179" fontId="4" fillId="0" borderId="25" xfId="0" applyNumberFormat="1" applyFont="1" applyBorder="1"/>
    <xf numFmtId="179" fontId="4" fillId="0" borderId="0" xfId="0" applyNumberFormat="1" applyFont="1"/>
    <xf numFmtId="179" fontId="4" fillId="7" borderId="23" xfId="0" applyNumberFormat="1" applyFont="1" applyFill="1" applyBorder="1" applyAlignment="1">
      <alignment horizontal="right" vertical="center"/>
    </xf>
    <xf numFmtId="179" fontId="12" fillId="7" borderId="0" xfId="0" applyNumberFormat="1" applyFont="1" applyFill="1" applyBorder="1" applyAlignment="1">
      <alignment horizontal="right" vertical="center"/>
    </xf>
    <xf numFmtId="179" fontId="4" fillId="7" borderId="8" xfId="0" applyNumberFormat="1" applyFont="1" applyFill="1" applyBorder="1" applyAlignment="1">
      <alignment horizontal="right" vertical="center"/>
    </xf>
    <xf numFmtId="179" fontId="4" fillId="7" borderId="4" xfId="0" applyNumberFormat="1" applyFont="1" applyFill="1" applyBorder="1" applyAlignment="1">
      <alignment horizontal="right" vertical="center"/>
    </xf>
    <xf numFmtId="179" fontId="4" fillId="7" borderId="24" xfId="0" applyNumberFormat="1" applyFont="1" applyFill="1" applyBorder="1" applyAlignment="1">
      <alignment horizontal="right" vertical="center"/>
    </xf>
    <xf numFmtId="179" fontId="4" fillId="7" borderId="3" xfId="0" applyNumberFormat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right" vertical="center"/>
    </xf>
    <xf numFmtId="179" fontId="4" fillId="0" borderId="8" xfId="0" applyNumberFormat="1" applyFont="1" applyFill="1" applyBorder="1" applyAlignment="1">
      <alignment horizontal="right" vertical="center"/>
    </xf>
    <xf numFmtId="179" fontId="4" fillId="0" borderId="4" xfId="0" applyNumberFormat="1" applyFont="1" applyFill="1" applyBorder="1" applyAlignment="1">
      <alignment horizontal="right" vertical="center"/>
    </xf>
    <xf numFmtId="179" fontId="4" fillId="0" borderId="3" xfId="0" applyNumberFormat="1" applyFont="1" applyFill="1" applyBorder="1" applyAlignment="1">
      <alignment horizontal="right" vertical="center"/>
    </xf>
    <xf numFmtId="179" fontId="4" fillId="7" borderId="13" xfId="0" applyNumberFormat="1" applyFont="1" applyFill="1" applyBorder="1" applyAlignment="1">
      <alignment horizontal="right" vertical="center"/>
    </xf>
    <xf numFmtId="179" fontId="4" fillId="7" borderId="5" xfId="0" applyNumberFormat="1" applyFont="1" applyFill="1" applyBorder="1" applyAlignment="1">
      <alignment horizontal="right" vertical="center"/>
    </xf>
    <xf numFmtId="179" fontId="4" fillId="7" borderId="1" xfId="0" applyNumberFormat="1" applyFont="1" applyFill="1" applyBorder="1" applyAlignment="1">
      <alignment horizontal="right" vertical="center"/>
    </xf>
    <xf numFmtId="179" fontId="5" fillId="5" borderId="13" xfId="0" applyNumberFormat="1" applyFont="1" applyFill="1" applyBorder="1" applyAlignment="1">
      <alignment horizontal="center" vertical="center"/>
    </xf>
    <xf numFmtId="179" fontId="5" fillId="5" borderId="5" xfId="0" applyNumberFormat="1" applyFont="1" applyFill="1" applyBorder="1" applyAlignment="1">
      <alignment horizontal="center" vertical="center"/>
    </xf>
    <xf numFmtId="179" fontId="5" fillId="5" borderId="14" xfId="0" applyNumberFormat="1" applyFont="1" applyFill="1" applyBorder="1" applyAlignment="1">
      <alignment horizontal="center" vertical="center"/>
    </xf>
    <xf numFmtId="179" fontId="5" fillId="5" borderId="0" xfId="0" applyNumberFormat="1" applyFont="1" applyFill="1" applyBorder="1" applyAlignment="1">
      <alignment horizontal="right" vertical="center"/>
    </xf>
    <xf numFmtId="179" fontId="13" fillId="5" borderId="0" xfId="0" applyNumberFormat="1" applyFont="1" applyFill="1" applyBorder="1" applyAlignment="1">
      <alignment horizontal="right" vertical="center"/>
    </xf>
    <xf numFmtId="179" fontId="5" fillId="5" borderId="8" xfId="0" applyNumberFormat="1" applyFont="1" applyFill="1" applyBorder="1" applyAlignment="1">
      <alignment horizontal="center" vertical="center"/>
    </xf>
    <xf numFmtId="179" fontId="5" fillId="5" borderId="4" xfId="0" applyNumberFormat="1" applyFont="1" applyFill="1" applyBorder="1" applyAlignment="1">
      <alignment horizontal="right" vertical="center"/>
    </xf>
    <xf numFmtId="179" fontId="4" fillId="5" borderId="6" xfId="0" applyNumberFormat="1" applyFont="1" applyFill="1" applyBorder="1" applyAlignment="1">
      <alignment horizontal="right" vertical="center"/>
    </xf>
    <xf numFmtId="179" fontId="12" fillId="5" borderId="0" xfId="0" applyNumberFormat="1" applyFont="1" applyFill="1" applyBorder="1" applyAlignment="1">
      <alignment horizontal="right" vertical="center"/>
    </xf>
    <xf numFmtId="179" fontId="12" fillId="7" borderId="14" xfId="0" applyNumberFormat="1" applyFont="1" applyFill="1" applyBorder="1" applyAlignment="1">
      <alignment horizontal="right" vertical="center"/>
    </xf>
    <xf numFmtId="179" fontId="4" fillId="7" borderId="26" xfId="0" applyNumberFormat="1" applyFont="1" applyFill="1" applyBorder="1" applyAlignment="1">
      <alignment horizontal="right" vertical="center"/>
    </xf>
    <xf numFmtId="166" fontId="12" fillId="5" borderId="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7" fillId="0" borderId="0" xfId="0" quotePrefix="1" applyFont="1" applyAlignment="1">
      <alignment horizontal="right" vertical="top"/>
    </xf>
    <xf numFmtId="0" fontId="5" fillId="4" borderId="6" xfId="0" quotePrefix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166" fontId="28" fillId="0" borderId="8" xfId="0" applyNumberFormat="1" applyFont="1" applyFill="1" applyBorder="1" applyAlignment="1">
      <alignment horizontal="right" vertical="center"/>
    </xf>
    <xf numFmtId="166" fontId="28" fillId="0" borderId="4" xfId="0" applyNumberFormat="1" applyFont="1" applyFill="1" applyBorder="1" applyAlignment="1">
      <alignment horizontal="right" vertical="center"/>
    </xf>
    <xf numFmtId="179" fontId="5" fillId="5" borderId="13" xfId="0" applyNumberFormat="1" applyFont="1" applyFill="1" applyBorder="1" applyAlignment="1">
      <alignment horizontal="right" vertical="center"/>
    </xf>
    <xf numFmtId="179" fontId="5" fillId="5" borderId="17" xfId="0" applyNumberFormat="1" applyFont="1" applyFill="1" applyBorder="1" applyAlignment="1">
      <alignment horizontal="right" vertical="center"/>
    </xf>
    <xf numFmtId="179" fontId="5" fillId="5" borderId="14" xfId="0" applyNumberFormat="1" applyFont="1" applyFill="1" applyBorder="1" applyAlignment="1">
      <alignment horizontal="right" vertical="center"/>
    </xf>
    <xf numFmtId="179" fontId="5" fillId="7" borderId="0" xfId="0" applyNumberFormat="1" applyFont="1" applyFill="1" applyBorder="1" applyAlignment="1">
      <alignment horizontal="right" vertical="center"/>
    </xf>
    <xf numFmtId="179" fontId="5" fillId="5" borderId="6" xfId="0" applyNumberFormat="1" applyFont="1" applyFill="1" applyBorder="1" applyAlignment="1">
      <alignment horizontal="right" vertical="center"/>
    </xf>
    <xf numFmtId="179" fontId="5" fillId="5" borderId="8" xfId="0" applyNumberFormat="1" applyFont="1" applyFill="1" applyBorder="1" applyAlignment="1">
      <alignment horizontal="right" vertical="center"/>
    </xf>
    <xf numFmtId="179" fontId="5" fillId="5" borderId="7" xfId="0" applyNumberFormat="1" applyFont="1" applyFill="1" applyBorder="1" applyAlignment="1">
      <alignment horizontal="right" vertical="center"/>
    </xf>
    <xf numFmtId="179" fontId="4" fillId="0" borderId="17" xfId="0" applyNumberFormat="1" applyFont="1" applyFill="1" applyBorder="1" applyAlignment="1">
      <alignment horizontal="right" vertical="center"/>
    </xf>
    <xf numFmtId="179" fontId="4" fillId="7" borderId="6" xfId="0" applyNumberFormat="1" applyFont="1" applyFill="1" applyBorder="1" applyAlignment="1">
      <alignment horizontal="right" vertical="center"/>
    </xf>
    <xf numFmtId="179" fontId="30" fillId="0" borderId="0" xfId="0" applyNumberFormat="1" applyFont="1" applyFill="1" applyAlignment="1">
      <alignment horizontal="center" vertical="center"/>
    </xf>
    <xf numFmtId="179" fontId="4" fillId="7" borderId="7" xfId="0" applyNumberFormat="1" applyFont="1" applyFill="1" applyBorder="1" applyAlignment="1">
      <alignment horizontal="right" vertical="center"/>
    </xf>
    <xf numFmtId="179" fontId="12" fillId="0" borderId="6" xfId="0" applyNumberFormat="1" applyFont="1" applyFill="1" applyBorder="1" applyAlignment="1">
      <alignment horizontal="right" vertical="center"/>
    </xf>
    <xf numFmtId="179" fontId="28" fillId="0" borderId="4" xfId="0" applyNumberFormat="1" applyFont="1" applyFill="1" applyBorder="1" applyAlignment="1">
      <alignment horizontal="right" vertical="center"/>
    </xf>
    <xf numFmtId="179" fontId="4" fillId="0" borderId="7" xfId="0" applyNumberFormat="1" applyFont="1" applyFill="1" applyBorder="1" applyAlignment="1">
      <alignment horizontal="right" vertical="center"/>
    </xf>
    <xf numFmtId="0" fontId="5" fillId="0" borderId="0" xfId="0" applyFont="1" applyBorder="1" applyAlignment="1"/>
    <xf numFmtId="165" fontId="4" fillId="7" borderId="13" xfId="0" applyNumberFormat="1" applyFont="1" applyFill="1" applyBorder="1" applyAlignment="1">
      <alignment horizontal="right" vertical="center"/>
    </xf>
    <xf numFmtId="167" fontId="13" fillId="5" borderId="13" xfId="0" applyNumberFormat="1" applyFont="1" applyFill="1" applyBorder="1" applyAlignment="1">
      <alignment horizontal="right" vertical="center"/>
    </xf>
    <xf numFmtId="167" fontId="13" fillId="5" borderId="5" xfId="0" applyNumberFormat="1" applyFont="1" applyFill="1" applyBorder="1" applyAlignment="1">
      <alignment horizontal="right" vertical="center"/>
    </xf>
    <xf numFmtId="167" fontId="5" fillId="5" borderId="5" xfId="0" applyNumberFormat="1" applyFont="1" applyFill="1" applyBorder="1" applyAlignment="1">
      <alignment horizontal="right" vertical="center"/>
    </xf>
    <xf numFmtId="167" fontId="5" fillId="5" borderId="6" xfId="0" applyNumberFormat="1" applyFont="1" applyFill="1" applyBorder="1" applyAlignment="1">
      <alignment horizontal="right" vertical="center"/>
    </xf>
    <xf numFmtId="167" fontId="13" fillId="5" borderId="0" xfId="0" applyNumberFormat="1" applyFont="1" applyFill="1" applyBorder="1" applyAlignment="1">
      <alignment horizontal="right" vertical="center"/>
    </xf>
    <xf numFmtId="167" fontId="13" fillId="5" borderId="6" xfId="0" applyNumberFormat="1" applyFont="1" applyFill="1" applyBorder="1" applyAlignment="1">
      <alignment horizontal="right" vertical="center"/>
    </xf>
    <xf numFmtId="167" fontId="5" fillId="5" borderId="14" xfId="0" applyNumberFormat="1" applyFont="1" applyFill="1" applyBorder="1" applyAlignment="1">
      <alignment horizontal="right" vertical="center"/>
    </xf>
    <xf numFmtId="167" fontId="5" fillId="5" borderId="0" xfId="0" applyNumberFormat="1" applyFont="1" applyFill="1" applyBorder="1" applyAlignment="1">
      <alignment horizontal="right" vertical="center"/>
    </xf>
    <xf numFmtId="167" fontId="5" fillId="5" borderId="8" xfId="0" applyNumberFormat="1" applyFont="1" applyFill="1" applyBorder="1" applyAlignment="1">
      <alignment horizontal="right" vertical="center"/>
    </xf>
    <xf numFmtId="167" fontId="5" fillId="5" borderId="4" xfId="0" applyNumberFormat="1" applyFont="1" applyFill="1" applyBorder="1" applyAlignment="1">
      <alignment horizontal="right" vertical="center"/>
    </xf>
    <xf numFmtId="167" fontId="13" fillId="5" borderId="8" xfId="0" applyNumberFormat="1" applyFont="1" applyFill="1" applyBorder="1" applyAlignment="1">
      <alignment horizontal="right" vertical="center"/>
    </xf>
    <xf numFmtId="167" fontId="13" fillId="5" borderId="4" xfId="0" applyNumberFormat="1" applyFont="1" applyFill="1" applyBorder="1" applyAlignment="1">
      <alignment horizontal="right" vertical="center"/>
    </xf>
    <xf numFmtId="167" fontId="19" fillId="0" borderId="0" xfId="3" applyNumberFormat="1" applyFont="1" applyFill="1" applyBorder="1" applyAlignment="1">
      <alignment vertical="center"/>
      <protection locked="0"/>
    </xf>
    <xf numFmtId="167" fontId="19" fillId="0" borderId="5" xfId="3" applyNumberFormat="1" applyFont="1" applyFill="1" applyBorder="1" applyAlignment="1">
      <alignment vertical="center"/>
      <protection locked="0"/>
    </xf>
    <xf numFmtId="167" fontId="19" fillId="0" borderId="17" xfId="3" applyNumberFormat="1" applyFont="1" applyFill="1" applyBorder="1" applyAlignment="1">
      <alignment vertical="center"/>
      <protection locked="0"/>
    </xf>
    <xf numFmtId="167" fontId="19" fillId="0" borderId="14" xfId="3" applyNumberFormat="1" applyFont="1" applyFill="1" applyBorder="1" applyAlignment="1">
      <alignment vertical="center"/>
      <protection locked="0"/>
    </xf>
    <xf numFmtId="167" fontId="19" fillId="0" borderId="13" xfId="3" applyNumberFormat="1" applyFont="1" applyFill="1" applyBorder="1" applyAlignment="1">
      <alignment vertical="center"/>
      <protection locked="0"/>
    </xf>
    <xf numFmtId="167" fontId="19" fillId="5" borderId="0" xfId="3" applyNumberFormat="1" applyFont="1" applyFill="1" applyBorder="1" applyAlignment="1">
      <alignment vertical="center"/>
      <protection locked="0"/>
    </xf>
    <xf numFmtId="167" fontId="19" fillId="5" borderId="6" xfId="3" applyNumberFormat="1" applyFont="1" applyFill="1" applyBorder="1" applyAlignment="1">
      <alignment vertical="center"/>
      <protection locked="0"/>
    </xf>
    <xf numFmtId="167" fontId="19" fillId="5" borderId="14" xfId="3" applyNumberFormat="1" applyFont="1" applyFill="1" applyBorder="1" applyAlignment="1">
      <alignment horizontal="center" vertical="center"/>
      <protection locked="0"/>
    </xf>
    <xf numFmtId="167" fontId="19" fillId="5" borderId="0" xfId="3" applyNumberFormat="1" applyFont="1" applyFill="1" applyBorder="1" applyAlignment="1">
      <alignment horizontal="center" vertical="center"/>
      <protection locked="0"/>
    </xf>
    <xf numFmtId="167" fontId="19" fillId="5" borderId="6" xfId="3" applyNumberFormat="1" applyFont="1" applyFill="1" applyBorder="1" applyAlignment="1">
      <alignment horizontal="center" vertical="center"/>
      <protection locked="0"/>
    </xf>
    <xf numFmtId="167" fontId="19" fillId="7" borderId="0" xfId="3" applyNumberFormat="1" applyFont="1" applyFill="1" applyBorder="1" applyAlignment="1">
      <alignment horizontal="center" vertical="center"/>
      <protection locked="0"/>
    </xf>
    <xf numFmtId="167" fontId="19" fillId="7" borderId="6" xfId="3" applyNumberFormat="1" applyFont="1" applyFill="1" applyBorder="1" applyAlignment="1">
      <alignment horizontal="center" vertical="center"/>
      <protection locked="0"/>
    </xf>
    <xf numFmtId="167" fontId="19" fillId="0" borderId="6" xfId="3" applyNumberFormat="1" applyFont="1" applyFill="1" applyBorder="1" applyAlignment="1">
      <alignment vertical="center"/>
      <protection locked="0"/>
    </xf>
    <xf numFmtId="167" fontId="19" fillId="5" borderId="14" xfId="3" applyNumberFormat="1" applyFont="1" applyFill="1" applyBorder="1" applyAlignment="1">
      <alignment vertical="center"/>
      <protection locked="0"/>
    </xf>
    <xf numFmtId="167" fontId="19" fillId="0" borderId="25" xfId="3" applyNumberFormat="1" applyFont="1" applyFill="1" applyBorder="1" applyAlignment="1">
      <alignment vertical="center"/>
      <protection locked="0"/>
    </xf>
    <xf numFmtId="167" fontId="19" fillId="0" borderId="14" xfId="3" applyNumberFormat="1" applyFont="1" applyFill="1" applyBorder="1" applyAlignment="1">
      <alignment horizontal="center" vertical="center"/>
      <protection locked="0"/>
    </xf>
    <xf numFmtId="167" fontId="19" fillId="0" borderId="0" xfId="3" applyNumberFormat="1" applyFont="1" applyFill="1" applyBorder="1" applyAlignment="1">
      <alignment horizontal="center" vertical="center"/>
      <protection locked="0"/>
    </xf>
    <xf numFmtId="167" fontId="19" fillId="0" borderId="0" xfId="3" quotePrefix="1" applyNumberFormat="1" applyFont="1" applyFill="1" applyBorder="1" applyAlignment="1">
      <alignment horizontal="center" vertical="center"/>
      <protection locked="0"/>
    </xf>
    <xf numFmtId="167" fontId="19" fillId="0" borderId="0" xfId="3" quotePrefix="1" applyNumberFormat="1" applyFont="1" applyFill="1" applyBorder="1" applyAlignment="1">
      <alignment horizontal="right" vertical="center"/>
      <protection locked="0"/>
    </xf>
    <xf numFmtId="167" fontId="19" fillId="0" borderId="6" xfId="3" quotePrefix="1" applyNumberFormat="1" applyFont="1" applyFill="1" applyBorder="1" applyAlignment="1">
      <alignment horizontal="right" vertical="center"/>
      <protection locked="0"/>
    </xf>
    <xf numFmtId="167" fontId="19" fillId="0" borderId="6" xfId="3" applyNumberFormat="1" applyFont="1" applyFill="1" applyBorder="1" applyAlignment="1">
      <alignment horizontal="center" vertical="center"/>
      <protection locked="0"/>
    </xf>
    <xf numFmtId="167" fontId="19" fillId="0" borderId="0" xfId="3" applyNumberFormat="1" applyFont="1" applyFill="1" applyBorder="1" applyAlignment="1">
      <alignment horizontal="right" vertical="center"/>
      <protection locked="0"/>
    </xf>
    <xf numFmtId="167" fontId="19" fillId="0" borderId="6" xfId="3" applyNumberFormat="1" applyFont="1" applyFill="1" applyBorder="1" applyAlignment="1">
      <alignment horizontal="right" vertical="center"/>
      <protection locked="0"/>
    </xf>
    <xf numFmtId="167" fontId="19" fillId="7" borderId="0" xfId="3" applyNumberFormat="1" applyFont="1" applyFill="1" applyBorder="1" applyAlignment="1">
      <alignment vertical="center"/>
      <protection locked="0"/>
    </xf>
    <xf numFmtId="167" fontId="19" fillId="7" borderId="6" xfId="3" applyNumberFormat="1" applyFont="1" applyFill="1" applyBorder="1" applyAlignment="1">
      <alignment vertical="center"/>
      <protection locked="0"/>
    </xf>
    <xf numFmtId="167" fontId="19" fillId="7" borderId="14" xfId="3" applyNumberFormat="1" applyFont="1" applyFill="1" applyBorder="1" applyAlignment="1">
      <alignment vertical="center"/>
      <protection locked="0"/>
    </xf>
    <xf numFmtId="167" fontId="19" fillId="0" borderId="6" xfId="3" quotePrefix="1" applyNumberFormat="1" applyFont="1" applyFill="1" applyBorder="1" applyAlignment="1">
      <alignment horizontal="center" vertical="center"/>
      <protection locked="0"/>
    </xf>
    <xf numFmtId="167" fontId="19" fillId="7" borderId="14" xfId="3" quotePrefix="1" applyNumberFormat="1" applyFont="1" applyFill="1" applyBorder="1" applyAlignment="1">
      <alignment horizontal="center" vertical="center"/>
      <protection locked="0"/>
    </xf>
    <xf numFmtId="167" fontId="19" fillId="7" borderId="0" xfId="3" quotePrefix="1" applyNumberFormat="1" applyFont="1" applyFill="1" applyBorder="1" applyAlignment="1">
      <alignment horizontal="center" vertical="center"/>
      <protection locked="0"/>
    </xf>
    <xf numFmtId="167" fontId="19" fillId="7" borderId="6" xfId="3" quotePrefix="1" applyNumberFormat="1" applyFont="1" applyFill="1" applyBorder="1" applyAlignment="1">
      <alignment horizontal="center" vertical="center"/>
      <protection locked="0"/>
    </xf>
    <xf numFmtId="167" fontId="19" fillId="7" borderId="4" xfId="3" applyNumberFormat="1" applyFont="1" applyFill="1" applyBorder="1" applyAlignment="1">
      <alignment vertical="center"/>
      <protection locked="0"/>
    </xf>
    <xf numFmtId="167" fontId="19" fillId="7" borderId="7" xfId="3" applyNumberFormat="1" applyFont="1" applyFill="1" applyBorder="1" applyAlignment="1">
      <alignment vertical="center"/>
      <protection locked="0"/>
    </xf>
    <xf numFmtId="167" fontId="19" fillId="7" borderId="8" xfId="3" applyNumberFormat="1" applyFont="1" applyFill="1" applyBorder="1" applyAlignment="1">
      <alignment vertical="center"/>
      <protection locked="0"/>
    </xf>
    <xf numFmtId="167" fontId="19" fillId="0" borderId="4" xfId="3" applyNumberFormat="1" applyFont="1" applyFill="1" applyBorder="1" applyAlignment="1">
      <alignment vertical="center"/>
      <protection locked="0"/>
    </xf>
    <xf numFmtId="167" fontId="19" fillId="0" borderId="7" xfId="3" applyNumberFormat="1" applyFont="1" applyFill="1" applyBorder="1" applyAlignment="1">
      <alignment vertical="center"/>
      <protection locked="0"/>
    </xf>
    <xf numFmtId="167" fontId="19" fillId="0" borderId="8" xfId="3" applyNumberFormat="1" applyFont="1" applyFill="1" applyBorder="1" applyAlignment="1">
      <alignment vertical="center"/>
      <protection locked="0"/>
    </xf>
    <xf numFmtId="167" fontId="5" fillId="5" borderId="13" xfId="0" applyNumberFormat="1" applyFont="1" applyFill="1" applyBorder="1" applyAlignment="1">
      <alignment horizontal="right" vertical="center"/>
    </xf>
    <xf numFmtId="167" fontId="5" fillId="5" borderId="17" xfId="0" applyNumberFormat="1" applyFont="1" applyFill="1" applyBorder="1" applyAlignment="1">
      <alignment horizontal="right" vertical="center"/>
    </xf>
    <xf numFmtId="167" fontId="5" fillId="5" borderId="7" xfId="0" applyNumberFormat="1" applyFont="1" applyFill="1" applyBorder="1" applyAlignment="1">
      <alignment horizontal="right" vertical="center"/>
    </xf>
    <xf numFmtId="167" fontId="4" fillId="0" borderId="14" xfId="0" applyNumberFormat="1" applyFont="1" applyFill="1" applyBorder="1" applyAlignment="1">
      <alignment horizontal="right" vertical="center"/>
    </xf>
    <xf numFmtId="167" fontId="4" fillId="5" borderId="14" xfId="0" applyNumberFormat="1" applyFont="1" applyFill="1" applyBorder="1" applyAlignment="1">
      <alignment horizontal="right" vertical="center"/>
    </xf>
    <xf numFmtId="167" fontId="4" fillId="5" borderId="0" xfId="0" applyNumberFormat="1" applyFont="1" applyFill="1" applyBorder="1" applyAlignment="1">
      <alignment horizontal="right" vertical="center"/>
    </xf>
    <xf numFmtId="167" fontId="19" fillId="0" borderId="14" xfId="3" quotePrefix="1" applyNumberFormat="1" applyFont="1" applyFill="1" applyBorder="1" applyAlignment="1">
      <alignment horizontal="center" vertical="center"/>
      <protection locked="0"/>
    </xf>
    <xf numFmtId="167" fontId="4" fillId="7" borderId="14" xfId="0" applyNumberFormat="1" applyFont="1" applyFill="1" applyBorder="1" applyAlignment="1">
      <alignment horizontal="right" vertical="center"/>
    </xf>
    <xf numFmtId="167" fontId="4" fillId="7" borderId="8" xfId="0" applyNumberFormat="1" applyFont="1" applyFill="1" applyBorder="1" applyAlignment="1">
      <alignment horizontal="right" vertical="center"/>
    </xf>
    <xf numFmtId="167" fontId="4" fillId="0" borderId="14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7" fontId="4" fillId="7" borderId="14" xfId="0" applyNumberFormat="1" applyFont="1" applyFill="1" applyBorder="1" applyAlignment="1">
      <alignment vertical="center"/>
    </xf>
    <xf numFmtId="167" fontId="4" fillId="7" borderId="0" xfId="0" applyNumberFormat="1" applyFont="1" applyFill="1" applyBorder="1" applyAlignment="1">
      <alignment vertical="center"/>
    </xf>
    <xf numFmtId="167" fontId="4" fillId="0" borderId="8" xfId="0" applyNumberFormat="1" applyFont="1" applyFill="1" applyBorder="1" applyAlignment="1">
      <alignment vertical="center"/>
    </xf>
    <xf numFmtId="167" fontId="4" fillId="0" borderId="4" xfId="0" applyNumberFormat="1" applyFont="1" applyFill="1" applyBorder="1" applyAlignment="1">
      <alignment vertical="center"/>
    </xf>
    <xf numFmtId="166" fontId="12" fillId="0" borderId="6" xfId="0" applyNumberFormat="1" applyFont="1" applyFill="1" applyBorder="1" applyAlignment="1">
      <alignment horizontal="right" vertical="center"/>
    </xf>
    <xf numFmtId="166" fontId="0" fillId="0" borderId="0" xfId="0" applyNumberFormat="1" applyAlignment="1">
      <alignment horizontal="center"/>
    </xf>
    <xf numFmtId="179" fontId="13" fillId="5" borderId="13" xfId="0" applyNumberFormat="1" applyFont="1" applyFill="1" applyBorder="1" applyAlignment="1">
      <alignment horizontal="right" vertical="center"/>
    </xf>
    <xf numFmtId="179" fontId="13" fillId="5" borderId="17" xfId="0" applyNumberFormat="1" applyFont="1" applyFill="1" applyBorder="1" applyAlignment="1">
      <alignment horizontal="right" vertical="center"/>
    </xf>
    <xf numFmtId="179" fontId="5" fillId="7" borderId="6" xfId="0" applyNumberFormat="1" applyFont="1" applyFill="1" applyBorder="1" applyAlignment="1">
      <alignment horizontal="right" vertical="center"/>
    </xf>
    <xf numFmtId="179" fontId="13" fillId="5" borderId="4" xfId="0" applyNumberFormat="1" applyFont="1" applyFill="1" applyBorder="1" applyAlignment="1">
      <alignment horizontal="right" vertical="center"/>
    </xf>
    <xf numFmtId="179" fontId="13" fillId="5" borderId="7" xfId="0" applyNumberFormat="1" applyFont="1" applyFill="1" applyBorder="1" applyAlignment="1">
      <alignment horizontal="right" vertical="center"/>
    </xf>
    <xf numFmtId="180" fontId="13" fillId="5" borderId="13" xfId="0" applyNumberFormat="1" applyFont="1" applyFill="1" applyBorder="1" applyAlignment="1">
      <alignment horizontal="right" vertical="center"/>
    </xf>
    <xf numFmtId="180" fontId="13" fillId="5" borderId="5" xfId="0" applyNumberFormat="1" applyFont="1" applyFill="1" applyBorder="1" applyAlignment="1">
      <alignment horizontal="right" vertical="center"/>
    </xf>
    <xf numFmtId="180" fontId="5" fillId="5" borderId="5" xfId="0" applyNumberFormat="1" applyFont="1" applyFill="1" applyBorder="1" applyAlignment="1">
      <alignment horizontal="right" vertical="center"/>
    </xf>
    <xf numFmtId="180" fontId="5" fillId="5" borderId="6" xfId="0" applyNumberFormat="1" applyFont="1" applyFill="1" applyBorder="1" applyAlignment="1">
      <alignment horizontal="right" vertical="center"/>
    </xf>
    <xf numFmtId="180" fontId="5" fillId="5" borderId="14" xfId="0" applyNumberFormat="1" applyFont="1" applyFill="1" applyBorder="1" applyAlignment="1">
      <alignment horizontal="right" vertical="center"/>
    </xf>
    <xf numFmtId="180" fontId="5" fillId="5" borderId="0" xfId="0" applyNumberFormat="1" applyFont="1" applyFill="1" applyBorder="1" applyAlignment="1">
      <alignment horizontal="right" vertical="center"/>
    </xf>
    <xf numFmtId="180" fontId="5" fillId="5" borderId="8" xfId="0" applyNumberFormat="1" applyFont="1" applyFill="1" applyBorder="1" applyAlignment="1">
      <alignment horizontal="right" vertical="center"/>
    </xf>
    <xf numFmtId="180" fontId="5" fillId="5" borderId="4" xfId="0" applyNumberFormat="1" applyFont="1" applyFill="1" applyBorder="1" applyAlignment="1">
      <alignment horizontal="right" vertical="center"/>
    </xf>
    <xf numFmtId="180" fontId="30" fillId="0" borderId="14" xfId="0" applyNumberFormat="1" applyFont="1" applyFill="1" applyBorder="1" applyAlignment="1">
      <alignment vertical="center"/>
    </xf>
    <xf numFmtId="180" fontId="30" fillId="0" borderId="0" xfId="0" applyNumberFormat="1" applyFont="1" applyFill="1" applyBorder="1" applyAlignment="1">
      <alignment vertical="center"/>
    </xf>
    <xf numFmtId="180" fontId="19" fillId="0" borderId="0" xfId="3" applyNumberFormat="1" applyFont="1" applyFill="1" applyBorder="1" applyAlignment="1">
      <alignment vertical="center"/>
      <protection locked="0"/>
    </xf>
    <xf numFmtId="180" fontId="19" fillId="0" borderId="5" xfId="3" applyNumberFormat="1" applyFont="1" applyFill="1" applyBorder="1" applyAlignment="1">
      <alignment vertical="center"/>
      <protection locked="0"/>
    </xf>
    <xf numFmtId="180" fontId="19" fillId="0" borderId="17" xfId="3" applyNumberFormat="1" applyFont="1" applyFill="1" applyBorder="1" applyAlignment="1">
      <alignment vertical="center"/>
      <protection locked="0"/>
    </xf>
    <xf numFmtId="180" fontId="30" fillId="5" borderId="14" xfId="0" applyNumberFormat="1" applyFont="1" applyFill="1" applyBorder="1" applyAlignment="1">
      <alignment vertical="center"/>
    </xf>
    <xf numFmtId="180" fontId="30" fillId="5" borderId="0" xfId="0" applyNumberFormat="1" applyFont="1" applyFill="1" applyBorder="1" applyAlignment="1">
      <alignment vertical="center"/>
    </xf>
    <xf numFmtId="180" fontId="19" fillId="5" borderId="0" xfId="3" applyNumberFormat="1" applyFont="1" applyFill="1" applyBorder="1" applyAlignment="1">
      <alignment vertical="center"/>
      <protection locked="0"/>
    </xf>
    <xf numFmtId="180" fontId="19" fillId="5" borderId="6" xfId="3" applyNumberFormat="1" applyFont="1" applyFill="1" applyBorder="1" applyAlignment="1">
      <alignment vertical="center"/>
      <protection locked="0"/>
    </xf>
    <xf numFmtId="180" fontId="19" fillId="0" borderId="6" xfId="3" applyNumberFormat="1" applyFont="1" applyFill="1" applyBorder="1" applyAlignment="1">
      <alignment vertical="center"/>
      <protection locked="0"/>
    </xf>
    <xf numFmtId="180" fontId="19" fillId="0" borderId="25" xfId="3" applyNumberFormat="1" applyFont="1" applyFill="1" applyBorder="1" applyAlignment="1">
      <alignment vertical="center"/>
      <protection locked="0"/>
    </xf>
    <xf numFmtId="180" fontId="30" fillId="7" borderId="14" xfId="0" applyNumberFormat="1" applyFont="1" applyFill="1" applyBorder="1" applyAlignment="1">
      <alignment vertical="center"/>
    </xf>
    <xf numFmtId="180" fontId="30" fillId="7" borderId="0" xfId="0" applyNumberFormat="1" applyFont="1" applyFill="1" applyBorder="1" applyAlignment="1">
      <alignment vertical="center"/>
    </xf>
    <xf numFmtId="180" fontId="19" fillId="7" borderId="0" xfId="3" applyNumberFormat="1" applyFont="1" applyFill="1" applyBorder="1" applyAlignment="1">
      <alignment vertical="center"/>
      <protection locked="0"/>
    </xf>
    <xf numFmtId="180" fontId="19" fillId="7" borderId="6" xfId="3" applyNumberFormat="1" applyFont="1" applyFill="1" applyBorder="1" applyAlignment="1">
      <alignment vertical="center"/>
      <protection locked="0"/>
    </xf>
    <xf numFmtId="180" fontId="30" fillId="7" borderId="8" xfId="0" applyNumberFormat="1" applyFont="1" applyFill="1" applyBorder="1" applyAlignment="1">
      <alignment vertical="center"/>
    </xf>
    <xf numFmtId="180" fontId="30" fillId="7" borderId="4" xfId="0" applyNumberFormat="1" applyFont="1" applyFill="1" applyBorder="1" applyAlignment="1">
      <alignment vertical="center"/>
    </xf>
    <xf numFmtId="180" fontId="19" fillId="7" borderId="4" xfId="3" applyNumberFormat="1" applyFont="1" applyFill="1" applyBorder="1" applyAlignment="1">
      <alignment vertical="center"/>
      <protection locked="0"/>
    </xf>
    <xf numFmtId="180" fontId="19" fillId="7" borderId="7" xfId="3" applyNumberFormat="1" applyFont="1" applyFill="1" applyBorder="1" applyAlignment="1">
      <alignment vertical="center"/>
      <protection locked="0"/>
    </xf>
    <xf numFmtId="180" fontId="30" fillId="0" borderId="5" xfId="0" applyNumberFormat="1" applyFont="1" applyFill="1" applyBorder="1" applyAlignment="1">
      <alignment vertical="center"/>
    </xf>
    <xf numFmtId="180" fontId="30" fillId="0" borderId="8" xfId="0" applyNumberFormat="1" applyFont="1" applyFill="1" applyBorder="1" applyAlignment="1">
      <alignment vertical="center"/>
    </xf>
    <xf numFmtId="180" fontId="30" fillId="0" borderId="4" xfId="0" applyNumberFormat="1" applyFont="1" applyFill="1" applyBorder="1" applyAlignment="1">
      <alignment vertical="center"/>
    </xf>
    <xf numFmtId="180" fontId="19" fillId="0" borderId="4" xfId="3" applyNumberFormat="1" applyFont="1" applyFill="1" applyBorder="1" applyAlignment="1">
      <alignment vertical="center"/>
      <protection locked="0"/>
    </xf>
    <xf numFmtId="180" fontId="19" fillId="0" borderId="7" xfId="3" applyNumberFormat="1" applyFont="1" applyFill="1" applyBorder="1" applyAlignment="1">
      <alignment vertical="center"/>
      <protection locked="0"/>
    </xf>
    <xf numFmtId="0" fontId="4" fillId="7" borderId="0" xfId="0" applyFont="1" applyFill="1" applyBorder="1"/>
    <xf numFmtId="1" fontId="4" fillId="7" borderId="0" xfId="0" applyNumberFormat="1" applyFont="1" applyFill="1"/>
    <xf numFmtId="175" fontId="4" fillId="0" borderId="45" xfId="0" applyNumberFormat="1" applyFont="1" applyFill="1" applyBorder="1" applyAlignment="1">
      <alignment horizontal="right" vertical="center"/>
    </xf>
    <xf numFmtId="175" fontId="12" fillId="0" borderId="45" xfId="0" applyNumberFormat="1" applyFont="1" applyFill="1" applyBorder="1" applyAlignment="1">
      <alignment horizontal="right" vertical="center"/>
    </xf>
    <xf numFmtId="169" fontId="12" fillId="0" borderId="0" xfId="0" applyNumberFormat="1" applyFont="1"/>
    <xf numFmtId="0" fontId="5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5" fillId="4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167" fontId="4" fillId="0" borderId="13" xfId="0" applyNumberFormat="1" applyFont="1" applyFill="1" applyBorder="1" applyAlignment="1">
      <alignment horizontal="right" vertical="center"/>
    </xf>
    <xf numFmtId="167" fontId="4" fillId="0" borderId="17" xfId="0" applyNumberFormat="1" applyFont="1" applyFill="1" applyBorder="1" applyAlignment="1">
      <alignment horizontal="right" vertical="center"/>
    </xf>
    <xf numFmtId="167" fontId="4" fillId="5" borderId="6" xfId="0" applyNumberFormat="1" applyFont="1" applyFill="1" applyBorder="1" applyAlignment="1">
      <alignment horizontal="right" vertical="center"/>
    </xf>
    <xf numFmtId="167" fontId="4" fillId="7" borderId="8" xfId="0" applyNumberFormat="1" applyFont="1" applyFill="1" applyBorder="1" applyAlignment="1">
      <alignment horizontal="center" vertical="center"/>
    </xf>
    <xf numFmtId="167" fontId="4" fillId="7" borderId="4" xfId="0" applyNumberFormat="1" applyFont="1" applyFill="1" applyBorder="1" applyAlignment="1">
      <alignment horizontal="center" vertical="center"/>
    </xf>
    <xf numFmtId="167" fontId="4" fillId="7" borderId="7" xfId="0" applyNumberFormat="1" applyFont="1" applyFill="1" applyBorder="1" applyAlignment="1">
      <alignment horizontal="center" vertical="center"/>
    </xf>
    <xf numFmtId="167" fontId="5" fillId="5" borderId="1" xfId="0" applyNumberFormat="1" applyFont="1" applyFill="1" applyBorder="1" applyAlignment="1">
      <alignment horizontal="right" vertical="center"/>
    </xf>
    <xf numFmtId="167" fontId="5" fillId="5" borderId="2" xfId="0" applyNumberFormat="1" applyFont="1" applyFill="1" applyBorder="1" applyAlignment="1">
      <alignment horizontal="right" vertical="center"/>
    </xf>
    <xf numFmtId="167" fontId="4" fillId="0" borderId="1" xfId="0" applyNumberFormat="1" applyFont="1" applyFill="1" applyBorder="1" applyAlignment="1">
      <alignment horizontal="right" vertical="center"/>
    </xf>
    <xf numFmtId="167" fontId="4" fillId="5" borderId="2" xfId="0" applyNumberFormat="1" applyFont="1" applyFill="1" applyBorder="1" applyAlignment="1">
      <alignment horizontal="right" vertical="center"/>
    </xf>
    <xf numFmtId="167" fontId="5" fillId="5" borderId="22" xfId="0" applyNumberFormat="1" applyFont="1" applyFill="1" applyBorder="1" applyAlignment="1">
      <alignment horizontal="right" vertical="center"/>
    </xf>
    <xf numFmtId="167" fontId="13" fillId="5" borderId="42" xfId="0" applyNumberFormat="1" applyFont="1" applyFill="1" applyBorder="1" applyAlignment="1">
      <alignment horizontal="right" vertical="center"/>
    </xf>
    <xf numFmtId="167" fontId="13" fillId="5" borderId="45" xfId="0" applyNumberFormat="1" applyFont="1" applyFill="1" applyBorder="1" applyAlignment="1">
      <alignment horizontal="right" vertical="center"/>
    </xf>
    <xf numFmtId="167" fontId="13" fillId="5" borderId="14" xfId="0" applyNumberFormat="1" applyFont="1" applyFill="1" applyBorder="1" applyAlignment="1">
      <alignment vertical="center"/>
    </xf>
    <xf numFmtId="167" fontId="5" fillId="5" borderId="0" xfId="0" applyNumberFormat="1" applyFont="1" applyFill="1" applyBorder="1" applyAlignment="1">
      <alignment vertical="center"/>
    </xf>
    <xf numFmtId="167" fontId="5" fillId="5" borderId="23" xfId="0" applyNumberFormat="1" applyFont="1" applyFill="1" applyBorder="1" applyAlignment="1">
      <alignment vertical="center"/>
    </xf>
    <xf numFmtId="167" fontId="13" fillId="5" borderId="25" xfId="0" applyNumberFormat="1" applyFont="1" applyFill="1" applyBorder="1" applyAlignment="1">
      <alignment vertical="center"/>
    </xf>
    <xf numFmtId="167" fontId="13" fillId="5" borderId="0" xfId="0" applyNumberFormat="1" applyFont="1" applyFill="1" applyBorder="1" applyAlignment="1">
      <alignment vertical="center"/>
    </xf>
    <xf numFmtId="167" fontId="5" fillId="5" borderId="8" xfId="0" applyNumberFormat="1" applyFont="1" applyFill="1" applyBorder="1" applyAlignment="1">
      <alignment vertical="center"/>
    </xf>
    <xf numFmtId="167" fontId="5" fillId="5" borderId="4" xfId="0" applyNumberFormat="1" applyFont="1" applyFill="1" applyBorder="1" applyAlignment="1">
      <alignment vertical="center"/>
    </xf>
    <xf numFmtId="167" fontId="13" fillId="5" borderId="4" xfId="0" applyNumberFormat="1" applyFont="1" applyFill="1" applyBorder="1" applyAlignment="1">
      <alignment vertical="center"/>
    </xf>
    <xf numFmtId="167" fontId="5" fillId="5" borderId="24" xfId="0" applyNumberFormat="1" applyFont="1" applyFill="1" applyBorder="1" applyAlignment="1">
      <alignment vertical="center"/>
    </xf>
    <xf numFmtId="167" fontId="5" fillId="5" borderId="43" xfId="0" applyNumberFormat="1" applyFont="1" applyFill="1" applyBorder="1" applyAlignment="1">
      <alignment vertical="center"/>
    </xf>
    <xf numFmtId="167" fontId="12" fillId="0" borderId="0" xfId="0" applyNumberFormat="1" applyFont="1" applyFill="1" applyBorder="1" applyAlignment="1">
      <alignment vertical="center"/>
    </xf>
    <xf numFmtId="167" fontId="4" fillId="5" borderId="14" xfId="0" applyNumberFormat="1" applyFont="1" applyFill="1" applyBorder="1" applyAlignment="1">
      <alignment vertical="center"/>
    </xf>
    <xf numFmtId="167" fontId="4" fillId="5" borderId="0" xfId="0" applyNumberFormat="1" applyFont="1" applyFill="1" applyBorder="1" applyAlignment="1">
      <alignment vertical="center"/>
    </xf>
    <xf numFmtId="167" fontId="4" fillId="0" borderId="14" xfId="0" quotePrefix="1" applyNumberFormat="1" applyFont="1" applyFill="1" applyBorder="1" applyAlignment="1">
      <alignment horizontal="right" vertical="center"/>
    </xf>
    <xf numFmtId="167" fontId="4" fillId="0" borderId="0" xfId="0" quotePrefix="1" applyNumberFormat="1" applyFont="1" applyFill="1" applyBorder="1" applyAlignment="1">
      <alignment horizontal="right" vertical="center"/>
    </xf>
    <xf numFmtId="167" fontId="4" fillId="0" borderId="25" xfId="0" applyNumberFormat="1" applyFont="1" applyFill="1" applyBorder="1" applyAlignment="1">
      <alignment vertical="center"/>
    </xf>
    <xf numFmtId="167" fontId="12" fillId="0" borderId="14" xfId="0" applyNumberFormat="1" applyFont="1" applyFill="1" applyBorder="1" applyAlignment="1">
      <alignment vertical="center"/>
    </xf>
    <xf numFmtId="167" fontId="4" fillId="0" borderId="23" xfId="0" applyNumberFormat="1" applyFont="1" applyFill="1" applyBorder="1" applyAlignment="1">
      <alignment vertical="center"/>
    </xf>
    <xf numFmtId="167" fontId="12" fillId="5" borderId="0" xfId="0" applyNumberFormat="1" applyFont="1" applyFill="1" applyBorder="1" applyAlignment="1">
      <alignment vertical="center"/>
    </xf>
    <xf numFmtId="167" fontId="4" fillId="5" borderId="23" xfId="0" applyNumberFormat="1" applyFont="1" applyFill="1" applyBorder="1" applyAlignment="1">
      <alignment vertical="center"/>
    </xf>
    <xf numFmtId="167" fontId="4" fillId="0" borderId="0" xfId="0" applyNumberFormat="1" applyFont="1" applyFill="1" applyBorder="1"/>
    <xf numFmtId="167" fontId="12" fillId="0" borderId="0" xfId="0" applyNumberFormat="1" applyFont="1" applyFill="1" applyBorder="1"/>
    <xf numFmtId="167" fontId="4" fillId="0" borderId="0" xfId="0" quotePrefix="1" applyNumberFormat="1" applyFont="1" applyFill="1" applyBorder="1" applyAlignment="1">
      <alignment horizontal="center" vertical="center"/>
    </xf>
    <xf numFmtId="167" fontId="4" fillId="7" borderId="23" xfId="0" applyNumberFormat="1" applyFont="1" applyFill="1" applyBorder="1" applyAlignment="1">
      <alignment vertical="center"/>
    </xf>
    <xf numFmtId="167" fontId="12" fillId="7" borderId="0" xfId="0" applyNumberFormat="1" applyFont="1" applyFill="1" applyBorder="1" applyAlignment="1">
      <alignment vertical="center"/>
    </xf>
    <xf numFmtId="167" fontId="4" fillId="7" borderId="14" xfId="0" quotePrefix="1" applyNumberFormat="1" applyFont="1" applyFill="1" applyBorder="1" applyAlignment="1">
      <alignment horizontal="right" vertical="center"/>
    </xf>
    <xf numFmtId="167" fontId="4" fillId="7" borderId="0" xfId="0" quotePrefix="1" applyNumberFormat="1" applyFont="1" applyFill="1" applyBorder="1" applyAlignment="1">
      <alignment horizontal="right" vertical="center"/>
    </xf>
    <xf numFmtId="167" fontId="12" fillId="7" borderId="0" xfId="0" quotePrefix="1" applyNumberFormat="1" applyFont="1" applyFill="1" applyBorder="1" applyAlignment="1">
      <alignment horizontal="center" vertical="center"/>
    </xf>
    <xf numFmtId="167" fontId="4" fillId="7" borderId="8" xfId="0" applyNumberFormat="1" applyFont="1" applyFill="1" applyBorder="1" applyAlignment="1">
      <alignment vertical="center"/>
    </xf>
    <xf numFmtId="167" fontId="4" fillId="7" borderId="4" xfId="0" applyNumberFormat="1" applyFont="1" applyFill="1" applyBorder="1" applyAlignment="1">
      <alignment vertical="center"/>
    </xf>
    <xf numFmtId="167" fontId="4" fillId="7" borderId="24" xfId="0" applyNumberFormat="1" applyFont="1" applyFill="1" applyBorder="1" applyAlignment="1">
      <alignment vertical="center"/>
    </xf>
    <xf numFmtId="167" fontId="4" fillId="0" borderId="8" xfId="0" applyNumberFormat="1" applyFont="1" applyFill="1" applyBorder="1" applyAlignment="1">
      <alignment horizontal="right" vertical="center"/>
    </xf>
    <xf numFmtId="167" fontId="4" fillId="7" borderId="0" xfId="0" applyNumberFormat="1" applyFont="1" applyFill="1" applyBorder="1" applyAlignment="1">
      <alignment horizontal="center" vertical="center"/>
    </xf>
    <xf numFmtId="167" fontId="4" fillId="7" borderId="0" xfId="0" quotePrefix="1" applyNumberFormat="1" applyFont="1" applyFill="1" applyBorder="1" applyAlignment="1">
      <alignment horizontal="center" vertical="center"/>
    </xf>
    <xf numFmtId="167" fontId="13" fillId="5" borderId="17" xfId="0" applyNumberFormat="1" applyFont="1" applyFill="1" applyBorder="1" applyAlignment="1">
      <alignment horizontal="right" vertical="center"/>
    </xf>
    <xf numFmtId="167" fontId="13" fillId="5" borderId="6" xfId="0" applyNumberFormat="1" applyFont="1" applyFill="1" applyBorder="1" applyAlignment="1">
      <alignment vertical="center"/>
    </xf>
    <xf numFmtId="167" fontId="5" fillId="5" borderId="7" xfId="0" applyNumberFormat="1" applyFont="1" applyFill="1" applyBorder="1" applyAlignment="1">
      <alignment vertical="center"/>
    </xf>
    <xf numFmtId="167" fontId="12" fillId="0" borderId="6" xfId="0" applyNumberFormat="1" applyFont="1" applyFill="1" applyBorder="1" applyAlignment="1">
      <alignment vertical="center"/>
    </xf>
    <xf numFmtId="167" fontId="4" fillId="5" borderId="6" xfId="0" applyNumberFormat="1" applyFont="1" applyFill="1" applyBorder="1" applyAlignment="1">
      <alignment vertical="center"/>
    </xf>
    <xf numFmtId="167" fontId="4" fillId="0" borderId="6" xfId="0" applyNumberFormat="1" applyFont="1" applyFill="1" applyBorder="1" applyAlignment="1">
      <alignment vertical="center"/>
    </xf>
    <xf numFmtId="167" fontId="12" fillId="5" borderId="6" xfId="0" applyNumberFormat="1" applyFont="1" applyFill="1" applyBorder="1" applyAlignment="1">
      <alignment vertical="center"/>
    </xf>
    <xf numFmtId="167" fontId="4" fillId="0" borderId="6" xfId="0" applyNumberFormat="1" applyFont="1" applyFill="1" applyBorder="1"/>
    <xf numFmtId="167" fontId="4" fillId="7" borderId="6" xfId="0" applyNumberFormat="1" applyFont="1" applyFill="1" applyBorder="1" applyAlignment="1">
      <alignment vertical="center"/>
    </xf>
    <xf numFmtId="167" fontId="4" fillId="0" borderId="6" xfId="0" quotePrefix="1" applyNumberFormat="1" applyFont="1" applyFill="1" applyBorder="1" applyAlignment="1">
      <alignment horizontal="center" vertical="center"/>
    </xf>
    <xf numFmtId="167" fontId="12" fillId="7" borderId="6" xfId="0" quotePrefix="1" applyNumberFormat="1" applyFont="1" applyFill="1" applyBorder="1" applyAlignment="1">
      <alignment horizontal="center" vertical="center"/>
    </xf>
    <xf numFmtId="167" fontId="4" fillId="7" borderId="7" xfId="0" applyNumberFormat="1" applyFont="1" applyFill="1" applyBorder="1" applyAlignment="1">
      <alignment vertical="center"/>
    </xf>
    <xf numFmtId="167" fontId="4" fillId="7" borderId="6" xfId="0" applyNumberFormat="1" applyFont="1" applyFill="1" applyBorder="1" applyAlignment="1">
      <alignment horizontal="center" vertical="center"/>
    </xf>
    <xf numFmtId="167" fontId="4" fillId="0" borderId="7" xfId="0" applyNumberFormat="1" applyFont="1" applyFill="1" applyBorder="1" applyAlignment="1">
      <alignment vertical="center"/>
    </xf>
    <xf numFmtId="167" fontId="4" fillId="7" borderId="6" xfId="0" quotePrefix="1" applyNumberFormat="1" applyFont="1" applyFill="1" applyBorder="1" applyAlignment="1">
      <alignment horizontal="center" vertical="center"/>
    </xf>
    <xf numFmtId="169" fontId="5" fillId="0" borderId="20" xfId="0" applyNumberFormat="1" applyFont="1" applyBorder="1" applyAlignment="1">
      <alignment horizontal="center"/>
    </xf>
    <xf numFmtId="166" fontId="13" fillId="0" borderId="0" xfId="0" applyNumberFormat="1" applyFont="1"/>
    <xf numFmtId="167" fontId="13" fillId="5" borderId="22" xfId="0" applyNumberFormat="1" applyFont="1" applyFill="1" applyBorder="1" applyAlignment="1">
      <alignment horizontal="right" vertical="center"/>
    </xf>
    <xf numFmtId="167" fontId="13" fillId="5" borderId="23" xfId="0" applyNumberFormat="1" applyFont="1" applyFill="1" applyBorder="1" applyAlignment="1">
      <alignment vertical="center"/>
    </xf>
    <xf numFmtId="167" fontId="13" fillId="5" borderId="7" xfId="0" applyNumberFormat="1" applyFont="1" applyFill="1" applyBorder="1" applyAlignment="1">
      <alignment vertical="center"/>
    </xf>
    <xf numFmtId="167" fontId="4" fillId="0" borderId="13" xfId="0" applyNumberFormat="1" applyFont="1" applyFill="1" applyBorder="1" applyAlignment="1">
      <alignment vertical="center"/>
    </xf>
    <xf numFmtId="167" fontId="4" fillId="0" borderId="5" xfId="0" applyNumberFormat="1" applyFont="1" applyFill="1" applyBorder="1" applyAlignment="1">
      <alignment vertical="center"/>
    </xf>
    <xf numFmtId="167" fontId="12" fillId="0" borderId="45" xfId="0" applyNumberFormat="1" applyFont="1" applyFill="1" applyBorder="1" applyAlignment="1">
      <alignment vertical="center"/>
    </xf>
    <xf numFmtId="167" fontId="4" fillId="0" borderId="17" xfId="0" applyNumberFormat="1" applyFont="1" applyFill="1" applyBorder="1" applyAlignment="1">
      <alignment vertical="center"/>
    </xf>
    <xf numFmtId="167" fontId="4" fillId="5" borderId="26" xfId="0" applyNumberFormat="1" applyFont="1" applyFill="1" applyBorder="1" applyAlignment="1">
      <alignment vertical="center"/>
    </xf>
    <xf numFmtId="167" fontId="4" fillId="0" borderId="6" xfId="0" quotePrefix="1" applyNumberFormat="1" applyFont="1" applyFill="1" applyBorder="1" applyAlignment="1">
      <alignment horizontal="right" vertical="center"/>
    </xf>
    <xf numFmtId="167" fontId="12" fillId="7" borderId="6" xfId="0" applyNumberFormat="1" applyFont="1" applyFill="1" applyBorder="1" applyAlignment="1">
      <alignment vertical="center"/>
    </xf>
    <xf numFmtId="167" fontId="4" fillId="7" borderId="6" xfId="0" quotePrefix="1" applyNumberFormat="1" applyFont="1" applyFill="1" applyBorder="1" applyAlignment="1">
      <alignment horizontal="right" vertical="center"/>
    </xf>
    <xf numFmtId="167" fontId="4" fillId="0" borderId="15" xfId="0" applyNumberFormat="1" applyFont="1" applyFill="1" applyBorder="1" applyAlignment="1">
      <alignment vertical="center"/>
    </xf>
    <xf numFmtId="167" fontId="4" fillId="7" borderId="4" xfId="0" applyNumberFormat="1" applyFont="1" applyFill="1" applyBorder="1" applyAlignment="1">
      <alignment horizontal="center"/>
    </xf>
    <xf numFmtId="167" fontId="4" fillId="7" borderId="18" xfId="0" applyNumberFormat="1" applyFont="1" applyFill="1" applyBorder="1" applyAlignment="1">
      <alignment horizontal="center"/>
    </xf>
    <xf numFmtId="167" fontId="5" fillId="7" borderId="19" xfId="0" applyNumberFormat="1" applyFont="1" applyFill="1" applyBorder="1" applyAlignment="1">
      <alignment horizontal="center" vertical="center"/>
    </xf>
    <xf numFmtId="167" fontId="12" fillId="7" borderId="4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 vertical="center"/>
    </xf>
    <xf numFmtId="167" fontId="4" fillId="0" borderId="16" xfId="0" applyNumberFormat="1" applyFont="1" applyFill="1" applyBorder="1" applyAlignment="1">
      <alignment horizontal="right" vertical="center"/>
    </xf>
    <xf numFmtId="171" fontId="4" fillId="0" borderId="45" xfId="0" applyNumberFormat="1" applyFont="1" applyFill="1" applyBorder="1" applyAlignment="1">
      <alignment vertical="center"/>
    </xf>
    <xf numFmtId="171" fontId="4" fillId="7" borderId="13" xfId="0" quotePrefix="1" applyNumberFormat="1" applyFont="1" applyFill="1" applyBorder="1" applyAlignment="1">
      <alignment horizontal="right" vertical="center"/>
    </xf>
    <xf numFmtId="171" fontId="4" fillId="7" borderId="5" xfId="0" quotePrefix="1" applyNumberFormat="1" applyFont="1" applyFill="1" applyBorder="1" applyAlignment="1">
      <alignment horizontal="right" vertical="center"/>
    </xf>
    <xf numFmtId="167" fontId="13" fillId="5" borderId="7" xfId="0" applyNumberFormat="1" applyFont="1" applyFill="1" applyBorder="1" applyAlignment="1">
      <alignment horizontal="right" vertical="center"/>
    </xf>
    <xf numFmtId="167" fontId="12" fillId="0" borderId="5" xfId="0" applyNumberFormat="1" applyFont="1" applyFill="1" applyBorder="1" applyAlignment="1">
      <alignment vertical="center"/>
    </xf>
    <xf numFmtId="167" fontId="12" fillId="0" borderId="17" xfId="0" applyNumberFormat="1" applyFont="1" applyFill="1" applyBorder="1" applyAlignment="1">
      <alignment vertical="center"/>
    </xf>
    <xf numFmtId="167" fontId="4" fillId="5" borderId="15" xfId="0" applyNumberFormat="1" applyFont="1" applyFill="1" applyBorder="1" applyAlignment="1">
      <alignment vertical="center"/>
    </xf>
    <xf numFmtId="167" fontId="12" fillId="5" borderId="0" xfId="0" applyNumberFormat="1" applyFont="1" applyFill="1" applyBorder="1" applyAlignment="1">
      <alignment horizontal="right" vertical="center"/>
    </xf>
    <xf numFmtId="167" fontId="12" fillId="5" borderId="6" xfId="0" applyNumberFormat="1" applyFont="1" applyFill="1" applyBorder="1" applyAlignment="1">
      <alignment horizontal="right" vertical="center"/>
    </xf>
    <xf numFmtId="167" fontId="4" fillId="7" borderId="15" xfId="0" applyNumberFormat="1" applyFont="1" applyFill="1" applyBorder="1" applyAlignment="1">
      <alignment vertical="center"/>
    </xf>
    <xf numFmtId="167" fontId="4" fillId="0" borderId="26" xfId="0" applyNumberFormat="1" applyFont="1" applyFill="1" applyBorder="1" applyAlignment="1">
      <alignment vertical="center"/>
    </xf>
    <xf numFmtId="167" fontId="4" fillId="0" borderId="45" xfId="0" applyNumberFormat="1" applyFont="1" applyFill="1" applyBorder="1" applyAlignment="1">
      <alignment vertical="center"/>
    </xf>
    <xf numFmtId="167" fontId="4" fillId="0" borderId="45" xfId="0" applyNumberFormat="1" applyFont="1" applyFill="1" applyBorder="1" applyAlignment="1">
      <alignment horizontal="right" vertical="center"/>
    </xf>
    <xf numFmtId="167" fontId="4" fillId="7" borderId="5" xfId="0" quotePrefix="1" applyNumberFormat="1" applyFont="1" applyFill="1" applyBorder="1" applyAlignment="1">
      <alignment horizontal="right" vertical="center"/>
    </xf>
    <xf numFmtId="167" fontId="4" fillId="7" borderId="17" xfId="0" quotePrefix="1" applyNumberFormat="1" applyFont="1" applyFill="1" applyBorder="1" applyAlignment="1">
      <alignment horizontal="right" vertical="center"/>
    </xf>
    <xf numFmtId="167" fontId="4" fillId="7" borderId="45" xfId="0" quotePrefix="1" applyNumberFormat="1" applyFont="1" applyFill="1" applyBorder="1" applyAlignment="1">
      <alignment horizontal="right" vertical="center"/>
    </xf>
    <xf numFmtId="0" fontId="4" fillId="0" borderId="6" xfId="0" applyFont="1" applyFill="1" applyBorder="1"/>
    <xf numFmtId="0" fontId="4" fillId="0" borderId="14" xfId="0" applyFont="1" applyFill="1" applyBorder="1"/>
    <xf numFmtId="0" fontId="5" fillId="0" borderId="3" xfId="0" applyFont="1" applyFill="1" applyBorder="1" applyAlignment="1">
      <alignment horizontal="center"/>
    </xf>
    <xf numFmtId="168" fontId="4" fillId="0" borderId="7" xfId="0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169" fontId="4" fillId="0" borderId="7" xfId="0" applyNumberFormat="1" applyFont="1" applyFill="1" applyBorder="1" applyAlignment="1">
      <alignment horizontal="right"/>
    </xf>
    <xf numFmtId="167" fontId="4" fillId="8" borderId="5" xfId="0" applyNumberFormat="1" applyFont="1" applyFill="1" applyBorder="1" applyAlignment="1">
      <alignment horizontal="right"/>
    </xf>
    <xf numFmtId="167" fontId="4" fillId="7" borderId="0" xfId="0" applyNumberFormat="1" applyFont="1" applyFill="1" applyBorder="1" applyAlignment="1">
      <alignment horizontal="right"/>
    </xf>
    <xf numFmtId="167" fontId="4" fillId="8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167" fontId="4" fillId="7" borderId="4" xfId="0" applyNumberFormat="1" applyFont="1" applyFill="1" applyBorder="1" applyAlignment="1">
      <alignment horizontal="right"/>
    </xf>
    <xf numFmtId="167" fontId="4" fillId="0" borderId="14" xfId="0" applyNumberFormat="1" applyFont="1" applyFill="1" applyBorder="1"/>
    <xf numFmtId="167" fontId="4" fillId="0" borderId="4" xfId="0" applyNumberFormat="1" applyFont="1" applyFill="1" applyBorder="1" applyAlignment="1">
      <alignment horizontal="right"/>
    </xf>
    <xf numFmtId="167" fontId="4" fillId="7" borderId="0" xfId="0" quotePrefix="1" applyNumberFormat="1" applyFont="1" applyFill="1" applyBorder="1" applyAlignment="1">
      <alignment horizontal="right"/>
    </xf>
    <xf numFmtId="167" fontId="4" fillId="0" borderId="0" xfId="0" applyNumberFormat="1" applyFont="1" applyFill="1"/>
    <xf numFmtId="168" fontId="4" fillId="0" borderId="45" xfId="0" applyNumberFormat="1" applyFont="1" applyBorder="1" applyAlignment="1">
      <alignment vertical="center"/>
    </xf>
    <xf numFmtId="169" fontId="4" fillId="0" borderId="45" xfId="0" applyNumberFormat="1" applyFont="1" applyFill="1" applyBorder="1" applyAlignment="1">
      <alignment horizontal="right" vertical="center"/>
    </xf>
    <xf numFmtId="181" fontId="5" fillId="5" borderId="10" xfId="0" applyNumberFormat="1" applyFont="1" applyFill="1" applyBorder="1" applyAlignment="1">
      <alignment horizontal="right" vertical="center"/>
    </xf>
    <xf numFmtId="181" fontId="5" fillId="5" borderId="11" xfId="0" applyNumberFormat="1" applyFont="1" applyFill="1" applyBorder="1" applyAlignment="1">
      <alignment horizontal="right" vertical="center"/>
    </xf>
    <xf numFmtId="182" fontId="5" fillId="5" borderId="10" xfId="0" applyNumberFormat="1" applyFont="1" applyFill="1" applyBorder="1" applyAlignment="1">
      <alignment horizontal="right" vertical="center"/>
    </xf>
    <xf numFmtId="182" fontId="5" fillId="5" borderId="32" xfId="0" applyNumberFormat="1" applyFont="1" applyFill="1" applyBorder="1" applyAlignment="1">
      <alignment horizontal="right" vertical="center"/>
    </xf>
    <xf numFmtId="182" fontId="5" fillId="5" borderId="11" xfId="0" applyNumberFormat="1" applyFont="1" applyFill="1" applyBorder="1" applyAlignment="1">
      <alignment horizontal="right" vertical="center"/>
    </xf>
    <xf numFmtId="182" fontId="5" fillId="5" borderId="14" xfId="0" applyNumberFormat="1" applyFont="1" applyFill="1" applyBorder="1" applyAlignment="1">
      <alignment horizontal="right" vertical="center"/>
    </xf>
    <xf numFmtId="182" fontId="5" fillId="5" borderId="33" xfId="0" applyNumberFormat="1" applyFont="1" applyFill="1" applyBorder="1" applyAlignment="1">
      <alignment horizontal="right" vertical="center"/>
    </xf>
    <xf numFmtId="182" fontId="5" fillId="5" borderId="0" xfId="0" applyNumberFormat="1" applyFont="1" applyFill="1" applyBorder="1" applyAlignment="1">
      <alignment horizontal="right" vertical="center"/>
    </xf>
    <xf numFmtId="182" fontId="4" fillId="0" borderId="14" xfId="0" applyNumberFormat="1" applyFont="1" applyFill="1" applyBorder="1" applyAlignment="1">
      <alignment horizontal="right" vertical="center"/>
    </xf>
    <xf numFmtId="182" fontId="4" fillId="0" borderId="33" xfId="0" applyNumberFormat="1" applyFont="1" applyFill="1" applyBorder="1" applyAlignment="1">
      <alignment horizontal="right" vertical="center"/>
    </xf>
    <xf numFmtId="182" fontId="4" fillId="0" borderId="34" xfId="0" applyNumberFormat="1" applyFont="1" applyFill="1" applyBorder="1" applyAlignment="1">
      <alignment horizontal="right" vertical="center"/>
    </xf>
    <xf numFmtId="182" fontId="5" fillId="5" borderId="13" xfId="0" applyNumberFormat="1" applyFont="1" applyFill="1" applyBorder="1" applyAlignment="1">
      <alignment horizontal="right" vertical="center"/>
    </xf>
    <xf numFmtId="182" fontId="4" fillId="5" borderId="35" xfId="0" applyNumberFormat="1" applyFont="1" applyFill="1" applyBorder="1" applyAlignment="1">
      <alignment horizontal="right" vertical="center"/>
    </xf>
    <xf numFmtId="182" fontId="5" fillId="5" borderId="36" xfId="0" applyNumberFormat="1" applyFont="1" applyFill="1" applyBorder="1" applyAlignment="1">
      <alignment horizontal="right" vertical="center"/>
    </xf>
    <xf numFmtId="182" fontId="4" fillId="0" borderId="8" xfId="0" applyNumberFormat="1" applyFont="1" applyFill="1" applyBorder="1" applyAlignment="1">
      <alignment horizontal="right" vertical="center"/>
    </xf>
    <xf numFmtId="182" fontId="4" fillId="0" borderId="37" xfId="0" applyNumberFormat="1" applyFont="1" applyFill="1" applyBorder="1" applyAlignment="1">
      <alignment horizontal="right" vertical="center"/>
    </xf>
    <xf numFmtId="182" fontId="4" fillId="0" borderId="21" xfId="0" applyNumberFormat="1" applyFont="1" applyFill="1" applyBorder="1" applyAlignment="1">
      <alignment horizontal="right" vertical="center"/>
    </xf>
    <xf numFmtId="182" fontId="4" fillId="5" borderId="32" xfId="0" applyNumberFormat="1" applyFont="1" applyFill="1" applyBorder="1" applyAlignment="1">
      <alignment horizontal="right" vertical="center"/>
    </xf>
    <xf numFmtId="182" fontId="5" fillId="5" borderId="38" xfId="0" applyNumberFormat="1" applyFont="1" applyFill="1" applyBorder="1" applyAlignment="1">
      <alignment horizontal="right" vertical="center"/>
    </xf>
    <xf numFmtId="182" fontId="4" fillId="5" borderId="33" xfId="0" applyNumberFormat="1" applyFont="1" applyFill="1" applyBorder="1" applyAlignment="1">
      <alignment horizontal="right" vertical="center"/>
    </xf>
    <xf numFmtId="182" fontId="5" fillId="5" borderId="32" xfId="0" applyNumberFormat="1" applyFont="1" applyFill="1" applyBorder="1" applyAlignment="1">
      <alignment horizontal="center" vertical="center"/>
    </xf>
    <xf numFmtId="182" fontId="5" fillId="5" borderId="33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 applyAlignment="1">
      <alignment horizontal="right" vertical="center"/>
    </xf>
    <xf numFmtId="182" fontId="12" fillId="0" borderId="0" xfId="0" applyNumberFormat="1" applyFont="1" applyFill="1" applyBorder="1" applyAlignment="1">
      <alignment horizontal="right" vertical="center"/>
    </xf>
    <xf numFmtId="182" fontId="5" fillId="5" borderId="5" xfId="0" applyNumberFormat="1" applyFont="1" applyFill="1" applyBorder="1" applyAlignment="1">
      <alignment horizontal="right" vertical="center"/>
    </xf>
    <xf numFmtId="182" fontId="4" fillId="5" borderId="5" xfId="0" applyNumberFormat="1" applyFont="1" applyFill="1" applyBorder="1" applyAlignment="1">
      <alignment horizontal="right" vertical="center"/>
    </xf>
    <xf numFmtId="182" fontId="4" fillId="0" borderId="4" xfId="0" applyNumberFormat="1" applyFont="1" applyFill="1" applyBorder="1" applyAlignment="1">
      <alignment horizontal="right" vertical="center"/>
    </xf>
    <xf numFmtId="182" fontId="4" fillId="5" borderId="11" xfId="0" applyNumberFormat="1" applyFont="1" applyFill="1" applyBorder="1" applyAlignment="1">
      <alignment horizontal="right" vertical="center"/>
    </xf>
    <xf numFmtId="182" fontId="4" fillId="5" borderId="0" xfId="0" applyNumberFormat="1" applyFont="1" applyFill="1" applyBorder="1" applyAlignment="1">
      <alignment horizontal="right" vertical="center"/>
    </xf>
    <xf numFmtId="167" fontId="4" fillId="5" borderId="5" xfId="0" applyNumberFormat="1" applyFont="1" applyFill="1" applyBorder="1" applyAlignment="1">
      <alignment horizontal="right" vertical="center"/>
    </xf>
    <xf numFmtId="167" fontId="4" fillId="0" borderId="33" xfId="0" applyNumberFormat="1" applyFont="1" applyFill="1" applyBorder="1" applyAlignment="1">
      <alignment horizontal="right" vertical="center"/>
    </xf>
    <xf numFmtId="167" fontId="4" fillId="0" borderId="34" xfId="0" applyNumberFormat="1" applyFont="1" applyFill="1" applyBorder="1" applyAlignment="1">
      <alignment horizontal="right" vertical="center"/>
    </xf>
    <xf numFmtId="167" fontId="4" fillId="0" borderId="37" xfId="0" applyNumberFormat="1" applyFont="1" applyFill="1" applyBorder="1" applyAlignment="1">
      <alignment horizontal="right" vertical="center"/>
    </xf>
    <xf numFmtId="167" fontId="4" fillId="0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top" wrapText="1"/>
    </xf>
    <xf numFmtId="17" fontId="3" fillId="0" borderId="0" xfId="0" quotePrefix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/>
    <xf numFmtId="0" fontId="9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Border="1" applyAlignment="1">
      <alignment horizontal="center" vertical="top"/>
    </xf>
    <xf numFmtId="0" fontId="5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5" fillId="0" borderId="0" xfId="0" applyFont="1" applyAlignment="1">
      <alignment wrapText="1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5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5" fillId="4" borderId="14" xfId="0" quotePrefix="1" applyFont="1" applyFill="1" applyBorder="1" applyAlignment="1">
      <alignment horizontal="center" vertical="center" wrapText="1"/>
    </xf>
    <xf numFmtId="0" fontId="5" fillId="4" borderId="0" xfId="0" quotePrefix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5" fillId="4" borderId="1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70" fontId="5" fillId="4" borderId="8" xfId="0" applyNumberFormat="1" applyFont="1" applyFill="1" applyBorder="1" applyAlignment="1">
      <alignment horizontal="center" vertical="center"/>
    </xf>
    <xf numFmtId="170" fontId="5" fillId="4" borderId="4" xfId="0" applyNumberFormat="1" applyFont="1" applyFill="1" applyBorder="1" applyAlignment="1">
      <alignment horizontal="center" vertical="center"/>
    </xf>
    <xf numFmtId="170" fontId="5" fillId="4" borderId="7" xfId="0" applyNumberFormat="1" applyFont="1" applyFill="1" applyBorder="1" applyAlignment="1">
      <alignment horizontal="center" vertical="center"/>
    </xf>
    <xf numFmtId="0" fontId="17" fillId="0" borderId="0" xfId="0" quotePrefix="1" applyFont="1" applyAlignment="1">
      <alignment horizontal="left"/>
    </xf>
    <xf numFmtId="0" fontId="5" fillId="4" borderId="2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7" fillId="0" borderId="0" xfId="0" quotePrefix="1" applyFont="1" applyAlignment="1">
      <alignment horizontal="right" vertical="top"/>
    </xf>
    <xf numFmtId="0" fontId="10" fillId="4" borderId="1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45" xfId="0" applyFont="1" applyBorder="1" applyAlignment="1">
      <alignment horizontal="left" wrapText="1"/>
    </xf>
    <xf numFmtId="0" fontId="0" fillId="0" borderId="45" xfId="0" applyBorder="1" applyAlignment="1">
      <alignment wrapText="1"/>
    </xf>
    <xf numFmtId="0" fontId="5" fillId="4" borderId="8" xfId="0" applyFont="1" applyFill="1" applyBorder="1" applyAlignment="1">
      <alignment horizontal="center" vertical="top"/>
    </xf>
    <xf numFmtId="0" fontId="5" fillId="4" borderId="37" xfId="0" applyFont="1" applyFill="1" applyBorder="1" applyAlignment="1">
      <alignment horizontal="center" vertical="top"/>
    </xf>
    <xf numFmtId="0" fontId="5" fillId="4" borderId="21" xfId="0" applyFont="1" applyFill="1" applyBorder="1" applyAlignment="1">
      <alignment horizontal="center" vertical="top" wrapText="1"/>
    </xf>
    <xf numFmtId="0" fontId="5" fillId="4" borderId="37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17" fontId="4" fillId="0" borderId="0" xfId="0" applyNumberFormat="1" applyFont="1" applyFill="1" applyBorder="1" applyAlignment="1">
      <alignment horizontal="center" vertical="center"/>
    </xf>
    <xf numFmtId="17" fontId="4" fillId="0" borderId="0" xfId="0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5" fillId="4" borderId="1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center" vertical="top" wrapText="1"/>
    </xf>
    <xf numFmtId="0" fontId="5" fillId="4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17" fontId="18" fillId="0" borderId="0" xfId="0" applyNumberFormat="1" applyFont="1" applyBorder="1" applyAlignment="1">
      <alignment horizontal="center" vertical="center"/>
    </xf>
    <xf numFmtId="17" fontId="18" fillId="0" borderId="0" xfId="0" quotePrefix="1" applyNumberFormat="1" applyFont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0" fontId="0" fillId="0" borderId="45" xfId="0" applyBorder="1" applyAlignment="1">
      <alignment horizontal="left" wrapText="1"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 vertical="top"/>
    </xf>
  </cellXfs>
  <cellStyles count="36">
    <cellStyle name="Comma 2" xfId="8"/>
    <cellStyle name="Detail ligne" xfId="11"/>
    <cellStyle name="Identification requete" xfId="12"/>
    <cellStyle name="Ligne détail" xfId="13"/>
    <cellStyle name="MEV1" xfId="14"/>
    <cellStyle name="MEV2" xfId="15"/>
    <cellStyle name="Normal" xfId="0" builtinId="0"/>
    <cellStyle name="Normal 2" xfId="4"/>
    <cellStyle name="Normal 2 2" xfId="35"/>
    <cellStyle name="Normal 3" xfId="5"/>
    <cellStyle name="Normal 4" xfId="6"/>
    <cellStyle name="Normal 5" xfId="7"/>
    <cellStyle name="Normal 6" xfId="10"/>
    <cellStyle name="Normal 6 2" xfId="31"/>
    <cellStyle name="Normal 7" xfId="32"/>
    <cellStyle name="Normál_t6" xfId="9"/>
    <cellStyle name="Standard_E00seit45" xfId="1"/>
    <cellStyle name="Titre colonne" xfId="16"/>
    <cellStyle name="Titre colonnes" xfId="17"/>
    <cellStyle name="Titre general" xfId="18"/>
    <cellStyle name="Titre général" xfId="19"/>
    <cellStyle name="Titre ligne" xfId="2"/>
    <cellStyle name="Titre ligne 2" xfId="20"/>
    <cellStyle name="Titre lignes" xfId="21"/>
    <cellStyle name="Titre tableau" xfId="22"/>
    <cellStyle name="Total 2" xfId="23"/>
    <cellStyle name="Total intermediaire" xfId="3"/>
    <cellStyle name="Total intermediaire 0" xfId="25"/>
    <cellStyle name="Total intermediaire 1" xfId="26"/>
    <cellStyle name="Total intermediaire 2" xfId="27"/>
    <cellStyle name="Total intermediaire 3" xfId="28"/>
    <cellStyle name="Total intermediaire 4" xfId="29"/>
    <cellStyle name="Total intermediaire 5" xfId="24"/>
    <cellStyle name="Total tableau" xfId="30"/>
    <cellStyle name="Virgül [0]_08-01" xfId="33"/>
    <cellStyle name="Virgül_08-01" xfId="3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1"/>
  <dimension ref="B1:D60"/>
  <sheetViews>
    <sheetView tabSelected="1" workbookViewId="0">
      <selection activeCell="B9" sqref="B9"/>
    </sheetView>
  </sheetViews>
  <sheetFormatPr defaultRowHeight="12.75" x14ac:dyDescent="0.2"/>
  <cols>
    <col min="1" max="1" width="0.85546875" style="123" customWidth="1"/>
    <col min="2" max="2" width="7.7109375" style="125" customWidth="1"/>
    <col min="3" max="3" width="2" style="126" customWidth="1"/>
    <col min="4" max="4" width="65.85546875" style="123" customWidth="1"/>
    <col min="5" max="16384" width="9.140625" style="123"/>
  </cols>
  <sheetData>
    <row r="1" spans="2:4" ht="20.100000000000001" customHeight="1" x14ac:dyDescent="0.2">
      <c r="B1" s="957" t="s">
        <v>116</v>
      </c>
      <c r="C1" s="957"/>
      <c r="D1" s="957"/>
    </row>
    <row r="2" spans="2:4" ht="20.100000000000001" customHeight="1" x14ac:dyDescent="0.2">
      <c r="B2" s="958" t="s">
        <v>117</v>
      </c>
      <c r="C2" s="958"/>
      <c r="D2" s="958"/>
    </row>
    <row r="3" spans="2:4" ht="20.100000000000001" customHeight="1" x14ac:dyDescent="0.2">
      <c r="B3" s="959" t="s">
        <v>143</v>
      </c>
      <c r="C3" s="959"/>
      <c r="D3" s="959"/>
    </row>
    <row r="4" spans="2:4" ht="20.100000000000001" customHeight="1" x14ac:dyDescent="0.2">
      <c r="B4" s="960" t="s">
        <v>133</v>
      </c>
      <c r="C4" s="960"/>
      <c r="D4" s="960"/>
    </row>
    <row r="5" spans="2:4" ht="20.100000000000001" customHeight="1" x14ac:dyDescent="0.2">
      <c r="B5" s="124"/>
      <c r="C5" s="124"/>
      <c r="D5" s="124"/>
    </row>
    <row r="6" spans="2:4" ht="20.100000000000001" customHeight="1" x14ac:dyDescent="0.2"/>
    <row r="7" spans="2:4" ht="20.100000000000001" customHeight="1" x14ac:dyDescent="0.2">
      <c r="B7" s="957" t="s">
        <v>144</v>
      </c>
      <c r="C7" s="957"/>
      <c r="D7" s="957"/>
    </row>
    <row r="8" spans="2:4" ht="20.100000000000001" customHeight="1" x14ac:dyDescent="0.2">
      <c r="B8" s="956" t="s">
        <v>276</v>
      </c>
      <c r="C8" s="956"/>
      <c r="D8" s="956"/>
    </row>
    <row r="9" spans="2:4" ht="20.100000000000001" customHeight="1" x14ac:dyDescent="0.2">
      <c r="B9" s="127"/>
      <c r="C9" s="127"/>
      <c r="D9" s="127"/>
    </row>
    <row r="10" spans="2:4" ht="20.100000000000001" customHeight="1" x14ac:dyDescent="0.2">
      <c r="B10" s="961" t="s">
        <v>145</v>
      </c>
      <c r="C10" s="961"/>
      <c r="D10" s="961"/>
    </row>
    <row r="11" spans="2:4" ht="20.100000000000001" customHeight="1" x14ac:dyDescent="0.2">
      <c r="B11" s="128"/>
    </row>
    <row r="12" spans="2:4" ht="20.100000000000001" customHeight="1" x14ac:dyDescent="0.2">
      <c r="B12" s="955" t="s">
        <v>146</v>
      </c>
      <c r="C12" s="955"/>
      <c r="D12" s="955"/>
    </row>
    <row r="13" spans="2:4" customFormat="1" ht="20.100000000000001" customHeight="1" x14ac:dyDescent="0.2">
      <c r="B13" s="955" t="s">
        <v>118</v>
      </c>
      <c r="C13" s="955"/>
      <c r="D13" s="955"/>
    </row>
    <row r="14" spans="2:4" ht="20.100000000000001" customHeight="1" x14ac:dyDescent="0.2">
      <c r="B14" s="128"/>
      <c r="D14"/>
    </row>
    <row r="15" spans="2:4" ht="20.100000000000001" customHeight="1" x14ac:dyDescent="0.2">
      <c r="B15" s="128"/>
    </row>
    <row r="16" spans="2:4" customFormat="1" ht="15" customHeight="1" x14ac:dyDescent="0.2">
      <c r="B16" s="129" t="s">
        <v>147</v>
      </c>
      <c r="C16" s="130"/>
      <c r="D16" s="131" t="s">
        <v>148</v>
      </c>
    </row>
    <row r="17" spans="2:4" customFormat="1" ht="15" customHeight="1" x14ac:dyDescent="0.2">
      <c r="B17" s="129" t="s">
        <v>149</v>
      </c>
      <c r="C17" s="132"/>
      <c r="D17" s="131" t="s">
        <v>119</v>
      </c>
    </row>
    <row r="18" spans="2:4" customFormat="1" ht="15" customHeight="1" x14ac:dyDescent="0.2">
      <c r="B18" s="129" t="s">
        <v>150</v>
      </c>
      <c r="C18" s="132"/>
      <c r="D18" s="131" t="s">
        <v>120</v>
      </c>
    </row>
    <row r="19" spans="2:4" customFormat="1" ht="15" customHeight="1" x14ac:dyDescent="0.2">
      <c r="B19" s="129" t="s">
        <v>151</v>
      </c>
      <c r="C19" s="130"/>
      <c r="D19" s="133" t="s">
        <v>121</v>
      </c>
    </row>
    <row r="20" spans="2:4" ht="15" customHeight="1" x14ac:dyDescent="0.2">
      <c r="B20" s="129" t="s">
        <v>152</v>
      </c>
      <c r="C20" s="130"/>
      <c r="D20" s="131" t="s">
        <v>122</v>
      </c>
    </row>
    <row r="21" spans="2:4" ht="15" customHeight="1" x14ac:dyDescent="0.2">
      <c r="B21" s="129" t="s">
        <v>153</v>
      </c>
      <c r="C21" s="130"/>
      <c r="D21" s="131" t="s">
        <v>123</v>
      </c>
    </row>
    <row r="22" spans="2:4" customFormat="1" ht="15" customHeight="1" x14ac:dyDescent="0.2">
      <c r="B22" s="129" t="s">
        <v>154</v>
      </c>
      <c r="C22" s="134"/>
      <c r="D22" s="131" t="s">
        <v>124</v>
      </c>
    </row>
    <row r="23" spans="2:4" ht="15" customHeight="1" x14ac:dyDescent="0.2">
      <c r="B23" s="129" t="s">
        <v>155</v>
      </c>
      <c r="C23" s="134"/>
      <c r="D23" s="131" t="s">
        <v>125</v>
      </c>
    </row>
    <row r="24" spans="2:4" ht="15" customHeight="1" x14ac:dyDescent="0.2">
      <c r="B24" s="129" t="s">
        <v>156</v>
      </c>
      <c r="C24" s="130"/>
      <c r="D24" s="131" t="s">
        <v>126</v>
      </c>
    </row>
    <row r="25" spans="2:4" ht="15" customHeight="1" x14ac:dyDescent="0.2">
      <c r="B25" s="129" t="s">
        <v>157</v>
      </c>
      <c r="C25" s="130"/>
      <c r="D25" s="131" t="s">
        <v>127</v>
      </c>
    </row>
    <row r="26" spans="2:4" ht="15" customHeight="1" x14ac:dyDescent="0.2">
      <c r="B26" s="129" t="s">
        <v>158</v>
      </c>
      <c r="C26" s="135"/>
      <c r="D26" s="133" t="s">
        <v>128</v>
      </c>
    </row>
    <row r="27" spans="2:4" ht="15" customHeight="1" x14ac:dyDescent="0.2">
      <c r="B27" s="129" t="s">
        <v>159</v>
      </c>
      <c r="C27" s="135"/>
      <c r="D27" s="133" t="s">
        <v>129</v>
      </c>
    </row>
    <row r="28" spans="2:4" ht="15" customHeight="1" x14ac:dyDescent="0.2">
      <c r="B28" s="129" t="s">
        <v>160</v>
      </c>
      <c r="C28" s="135"/>
      <c r="D28" s="133" t="s">
        <v>130</v>
      </c>
    </row>
    <row r="29" spans="2:4" ht="15" customHeight="1" x14ac:dyDescent="0.2">
      <c r="B29" s="129" t="s">
        <v>161</v>
      </c>
      <c r="C29" s="134"/>
      <c r="D29" s="131" t="s">
        <v>162</v>
      </c>
    </row>
    <row r="30" spans="2:4" ht="15" customHeight="1" x14ac:dyDescent="0.2">
      <c r="B30" s="129" t="s">
        <v>163</v>
      </c>
      <c r="C30" s="134"/>
      <c r="D30" s="131" t="s">
        <v>164</v>
      </c>
    </row>
    <row r="31" spans="2:4" ht="15" customHeight="1" x14ac:dyDescent="0.2">
      <c r="B31" s="129" t="s">
        <v>165</v>
      </c>
      <c r="C31" s="130"/>
      <c r="D31" s="131" t="s">
        <v>166</v>
      </c>
    </row>
    <row r="32" spans="2:4" ht="15" customHeight="1" x14ac:dyDescent="0.2">
      <c r="B32" s="129" t="s">
        <v>167</v>
      </c>
      <c r="C32" s="130"/>
      <c r="D32" s="131" t="s">
        <v>131</v>
      </c>
    </row>
    <row r="33" spans="2:4" ht="15" customHeight="1" x14ac:dyDescent="0.2">
      <c r="B33" s="129" t="s">
        <v>168</v>
      </c>
      <c r="C33" s="130"/>
      <c r="D33" s="131" t="s">
        <v>132</v>
      </c>
    </row>
    <row r="34" spans="2:4" x14ac:dyDescent="0.2">
      <c r="B34" s="128"/>
    </row>
    <row r="35" spans="2:4" x14ac:dyDescent="0.2">
      <c r="B35" s="128"/>
    </row>
    <row r="36" spans="2:4" x14ac:dyDescent="0.2">
      <c r="B36" s="128"/>
    </row>
    <row r="37" spans="2:4" x14ac:dyDescent="0.2">
      <c r="B37" s="128"/>
    </row>
    <row r="38" spans="2:4" x14ac:dyDescent="0.2">
      <c r="B38" s="128"/>
    </row>
    <row r="40" spans="2:4" ht="13.5" x14ac:dyDescent="0.25">
      <c r="B40" s="136"/>
    </row>
    <row r="41" spans="2:4" x14ac:dyDescent="0.2">
      <c r="B41" s="128"/>
    </row>
    <row r="42" spans="2:4" x14ac:dyDescent="0.2">
      <c r="B42" s="128"/>
    </row>
    <row r="43" spans="2:4" x14ac:dyDescent="0.2">
      <c r="B43" s="128"/>
    </row>
    <row r="50" spans="3:4" x14ac:dyDescent="0.2">
      <c r="C50" s="137"/>
      <c r="D50" s="138"/>
    </row>
    <row r="57" spans="3:4" customFormat="1" x14ac:dyDescent="0.2"/>
    <row r="60" spans="3:4" x14ac:dyDescent="0.2">
      <c r="C60"/>
      <c r="D60"/>
    </row>
  </sheetData>
  <mergeCells count="9">
    <mergeCell ref="B12:D12"/>
    <mergeCell ref="B13:D13"/>
    <mergeCell ref="B8:D8"/>
    <mergeCell ref="B7:D7"/>
    <mergeCell ref="B1:D1"/>
    <mergeCell ref="B2:D2"/>
    <mergeCell ref="B3:D3"/>
    <mergeCell ref="B4:D4"/>
    <mergeCell ref="B10:D10"/>
  </mergeCells>
  <phoneticPr fontId="4" type="noConversion"/>
  <printOptions horizontalCentered="1"/>
  <pageMargins left="0.6692913385826772" right="0.27559055118110237" top="0.51181102362204722" bottom="0.27559055118110237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>
    <pageSetUpPr fitToPage="1"/>
  </sheetPr>
  <dimension ref="A1:S48"/>
  <sheetViews>
    <sheetView workbookViewId="0">
      <selection activeCell="X20" sqref="X20"/>
    </sheetView>
  </sheetViews>
  <sheetFormatPr defaultRowHeight="12.75" x14ac:dyDescent="0.2"/>
  <cols>
    <col min="1" max="1" width="3.7109375" customWidth="1"/>
    <col min="2" max="2" width="5.28515625" style="5" customWidth="1"/>
    <col min="3" max="9" width="8.7109375" style="5" customWidth="1"/>
    <col min="10" max="10" width="10.5703125" style="5" customWidth="1"/>
    <col min="11" max="15" width="8.7109375" style="5" customWidth="1"/>
    <col min="16" max="18" width="8.7109375" style="282" customWidth="1"/>
    <col min="19" max="19" width="5" style="5" customWidth="1"/>
  </cols>
  <sheetData>
    <row r="1" spans="1:19" ht="14.25" customHeight="1" x14ac:dyDescent="0.2">
      <c r="B1" s="272"/>
      <c r="C1" s="272"/>
      <c r="D1" s="272"/>
      <c r="E1" s="272"/>
      <c r="F1" s="272"/>
      <c r="J1" s="16"/>
      <c r="K1" s="16"/>
      <c r="L1" s="16"/>
      <c r="M1" s="16"/>
      <c r="N1" s="441"/>
      <c r="O1" s="478"/>
      <c r="P1" s="273"/>
      <c r="Q1" s="273"/>
      <c r="R1" s="273"/>
      <c r="S1" s="16" t="s">
        <v>156</v>
      </c>
    </row>
    <row r="2" spans="1:19" s="46" customFormat="1" ht="30" customHeight="1" x14ac:dyDescent="0.2">
      <c r="B2" s="1000" t="s">
        <v>94</v>
      </c>
      <c r="C2" s="1000"/>
      <c r="D2" s="1000"/>
      <c r="E2" s="1000"/>
      <c r="F2" s="1000"/>
      <c r="G2" s="1000"/>
      <c r="H2" s="1000"/>
      <c r="I2" s="1000"/>
      <c r="J2" s="1000"/>
      <c r="K2" s="1000"/>
      <c r="L2" s="1000"/>
      <c r="M2" s="1000"/>
      <c r="N2" s="1000"/>
      <c r="O2" s="1000"/>
      <c r="P2" s="1000"/>
      <c r="Q2" s="1000"/>
      <c r="R2" s="1000"/>
      <c r="S2" s="1000"/>
    </row>
    <row r="3" spans="1:19" ht="15" customHeight="1" x14ac:dyDescent="0.2">
      <c r="B3" s="985" t="s">
        <v>251</v>
      </c>
      <c r="C3" s="985"/>
      <c r="D3" s="985"/>
      <c r="E3" s="985"/>
      <c r="F3" s="985"/>
      <c r="G3" s="985"/>
      <c r="H3" s="985"/>
      <c r="I3" s="985"/>
      <c r="J3" s="985"/>
      <c r="K3" s="985"/>
      <c r="L3" s="985"/>
      <c r="M3" s="985"/>
      <c r="N3" s="985"/>
      <c r="O3" s="985"/>
      <c r="P3" s="985"/>
      <c r="Q3" s="985"/>
      <c r="R3" s="985"/>
      <c r="S3" s="985"/>
    </row>
    <row r="4" spans="1:19" ht="12.75" customHeight="1" x14ac:dyDescent="0.2">
      <c r="L4" s="7"/>
      <c r="M4" s="7"/>
      <c r="N4" s="7"/>
      <c r="O4" s="7"/>
      <c r="P4" s="160" t="s">
        <v>3</v>
      </c>
      <c r="Q4" s="274"/>
      <c r="R4" s="274"/>
      <c r="S4" s="7"/>
    </row>
    <row r="5" spans="1:19" ht="34.5" customHeight="1" x14ac:dyDescent="0.2">
      <c r="C5" s="60">
        <v>1995</v>
      </c>
      <c r="D5" s="60">
        <v>2000</v>
      </c>
      <c r="E5" s="61">
        <v>2001</v>
      </c>
      <c r="F5" s="61">
        <v>2002</v>
      </c>
      <c r="G5" s="61">
        <v>2003</v>
      </c>
      <c r="H5" s="61">
        <v>2004</v>
      </c>
      <c r="I5" s="61">
        <v>2005</v>
      </c>
      <c r="J5" s="61">
        <v>2006</v>
      </c>
      <c r="K5" s="61">
        <v>2007</v>
      </c>
      <c r="L5" s="61">
        <v>2008</v>
      </c>
      <c r="M5" s="61">
        <v>2009</v>
      </c>
      <c r="N5" s="61">
        <v>2010</v>
      </c>
      <c r="O5" s="61">
        <v>2011</v>
      </c>
      <c r="P5" s="61">
        <v>2012</v>
      </c>
      <c r="Q5" s="539">
        <v>2013</v>
      </c>
      <c r="R5" s="283" t="s">
        <v>249</v>
      </c>
      <c r="S5" s="6"/>
    </row>
    <row r="6" spans="1:19" ht="12.75" customHeight="1" x14ac:dyDescent="0.2">
      <c r="B6" s="59" t="s">
        <v>236</v>
      </c>
      <c r="C6" s="758"/>
      <c r="D6" s="606"/>
      <c r="E6" s="606"/>
      <c r="F6" s="606"/>
      <c r="G6" s="605"/>
      <c r="H6" s="606">
        <f t="shared" ref="H6:N6" si="0">SUM(H9:H36)</f>
        <v>1234.4697940000001</v>
      </c>
      <c r="I6" s="605">
        <f t="shared" si="0"/>
        <v>1337.0720000000001</v>
      </c>
      <c r="J6" s="605">
        <f t="shared" si="0"/>
        <v>1470.8480000000002</v>
      </c>
      <c r="K6" s="605">
        <f t="shared" si="0"/>
        <v>1535.0709999999999</v>
      </c>
      <c r="L6" s="605">
        <f t="shared" si="0"/>
        <v>1427.5570000000002</v>
      </c>
      <c r="M6" s="605">
        <f t="shared" si="0"/>
        <v>1244.2710000000004</v>
      </c>
      <c r="N6" s="605">
        <f t="shared" si="0"/>
        <v>1099.4100000000001</v>
      </c>
      <c r="O6" s="605">
        <f t="shared" ref="O6" si="1">SUM(O9:O36)</f>
        <v>935.07000000000016</v>
      </c>
      <c r="P6" s="605">
        <f t="shared" ref="P6" si="2">SUM(P9:P36)</f>
        <v>834.15</v>
      </c>
      <c r="Q6" s="759">
        <f t="shared" ref="Q6" si="3">SUM(Q9:Q36)</f>
        <v>748.14906519749991</v>
      </c>
      <c r="R6" s="446">
        <f>Q6/P6*100-100</f>
        <v>-10.310008368099261</v>
      </c>
      <c r="S6" s="59" t="s">
        <v>236</v>
      </c>
    </row>
    <row r="7" spans="1:19" ht="12.75" customHeight="1" x14ac:dyDescent="0.2">
      <c r="B7" s="57" t="s">
        <v>241</v>
      </c>
      <c r="C7" s="679"/>
      <c r="D7" s="680">
        <f t="shared" ref="D7:N7" si="4">SUM(D9,D12:D13,D15:D18,D24,D27:D28,D30,D34:D36,D20)</f>
        <v>1333.1709999999998</v>
      </c>
      <c r="E7" s="680">
        <f t="shared" si="4"/>
        <v>1191.3029999999999</v>
      </c>
      <c r="F7" s="680">
        <f t="shared" si="4"/>
        <v>1115.241</v>
      </c>
      <c r="G7" s="680">
        <f t="shared" si="4"/>
        <v>1136.9359999999999</v>
      </c>
      <c r="H7" s="680">
        <f t="shared" si="4"/>
        <v>1193.9660000000001</v>
      </c>
      <c r="I7" s="680">
        <f t="shared" si="4"/>
        <v>1296.0319999999999</v>
      </c>
      <c r="J7" s="680">
        <f t="shared" si="4"/>
        <v>1418.4950000000001</v>
      </c>
      <c r="K7" s="680">
        <f t="shared" si="4"/>
        <v>1470.039</v>
      </c>
      <c r="L7" s="680">
        <f t="shared" si="4"/>
        <v>1355.4290000000001</v>
      </c>
      <c r="M7" s="680">
        <f t="shared" si="4"/>
        <v>1194.4430000000002</v>
      </c>
      <c r="N7" s="680">
        <f t="shared" si="4"/>
        <v>1062.7850000000001</v>
      </c>
      <c r="O7" s="680">
        <f>SUM(O9,O12:O13,O15:O18,O24,O27:O28,O30,O34:O36,O20)</f>
        <v>905.44799999999998</v>
      </c>
      <c r="P7" s="680">
        <f>SUM(P9,P12:P13,P15:P18,P24,P27:P28,P30,P34:P36,P20)</f>
        <v>805.625</v>
      </c>
      <c r="Q7" s="760">
        <f>SUM(Q9,Q12:Q13,Q15:Q18,Q24,Q27:Q28,Q30,Q34:Q36,Q20)</f>
        <v>719.95199999999988</v>
      </c>
      <c r="R7" s="444">
        <f t="shared" ref="R7:R44" si="5">Q7/P7*100-100</f>
        <v>-10.634352211016306</v>
      </c>
      <c r="S7" s="57" t="s">
        <v>241</v>
      </c>
    </row>
    <row r="8" spans="1:19" ht="12.75" customHeight="1" x14ac:dyDescent="0.2">
      <c r="B8" s="58" t="s">
        <v>245</v>
      </c>
      <c r="C8" s="682"/>
      <c r="D8" s="659"/>
      <c r="E8" s="659"/>
      <c r="F8" s="659"/>
      <c r="G8" s="659"/>
      <c r="H8" s="761">
        <f>H6-H7</f>
        <v>40.503793999999971</v>
      </c>
      <c r="I8" s="659">
        <f t="shared" ref="I8:N8" si="6">I6-I7</f>
        <v>41.040000000000191</v>
      </c>
      <c r="J8" s="659">
        <f t="shared" si="6"/>
        <v>52.353000000000065</v>
      </c>
      <c r="K8" s="659">
        <f t="shared" si="6"/>
        <v>65.031999999999925</v>
      </c>
      <c r="L8" s="659">
        <f t="shared" si="6"/>
        <v>72.128000000000156</v>
      </c>
      <c r="M8" s="659">
        <f t="shared" si="6"/>
        <v>49.828000000000202</v>
      </c>
      <c r="N8" s="659">
        <f t="shared" si="6"/>
        <v>36.625</v>
      </c>
      <c r="O8" s="659">
        <f t="shared" ref="O8" si="7">O6-O7</f>
        <v>29.622000000000185</v>
      </c>
      <c r="P8" s="659">
        <f t="shared" ref="P8" si="8">P6-P7</f>
        <v>28.524999999999977</v>
      </c>
      <c r="Q8" s="762">
        <f t="shared" ref="Q8" si="9">Q6-Q7</f>
        <v>28.197065197500024</v>
      </c>
      <c r="R8" s="445">
        <f t="shared" si="5"/>
        <v>-1.1496399737071101</v>
      </c>
      <c r="S8" s="58" t="s">
        <v>245</v>
      </c>
    </row>
    <row r="9" spans="1:19" ht="12.75" customHeight="1" x14ac:dyDescent="0.2">
      <c r="A9" s="8"/>
      <c r="B9" s="9" t="s">
        <v>63</v>
      </c>
      <c r="C9" s="646"/>
      <c r="D9" s="615">
        <v>25.318999999999999</v>
      </c>
      <c r="E9" s="615">
        <v>21.228999999999999</v>
      </c>
      <c r="F9" s="615">
        <v>21.503</v>
      </c>
      <c r="G9" s="615">
        <v>22.224</v>
      </c>
      <c r="H9" s="615">
        <v>25.055</v>
      </c>
      <c r="I9" s="615">
        <v>24.954999999999998</v>
      </c>
      <c r="J9" s="615">
        <v>27.268999999999998</v>
      </c>
      <c r="K9" s="615">
        <v>30.131</v>
      </c>
      <c r="L9" s="615">
        <v>26.393000000000001</v>
      </c>
      <c r="M9" s="615">
        <v>26.422999999999998</v>
      </c>
      <c r="N9" s="615">
        <v>26.428999999999998</v>
      </c>
      <c r="O9" s="615">
        <f>25.047</f>
        <v>25.047000000000001</v>
      </c>
      <c r="P9" s="615">
        <f>23.428</f>
        <v>23.428000000000001</v>
      </c>
      <c r="Q9" s="684">
        <v>20.643999999999998</v>
      </c>
      <c r="R9" s="417">
        <f t="shared" si="5"/>
        <v>-11.883216663821088</v>
      </c>
      <c r="S9" s="9" t="s">
        <v>63</v>
      </c>
    </row>
    <row r="10" spans="1:19" ht="12.75" customHeight="1" x14ac:dyDescent="0.2">
      <c r="A10" s="8"/>
      <c r="B10" s="57" t="s">
        <v>46</v>
      </c>
      <c r="C10" s="618"/>
      <c r="D10" s="619">
        <f>(1117+33+4+2)/1000</f>
        <v>1.1559999999999999</v>
      </c>
      <c r="E10" s="619">
        <f>(1497+24+2+3)/1000</f>
        <v>1.526</v>
      </c>
      <c r="F10" s="619">
        <f>(2227+12+1+21)/1000</f>
        <v>2.2610000000000001</v>
      </c>
      <c r="G10" s="619">
        <f>(2986+13+3+2)/1000</f>
        <v>3.004</v>
      </c>
      <c r="H10" s="661">
        <f>(AVERAGE(G10,I10))/1000</f>
        <v>1.794E-3</v>
      </c>
      <c r="I10" s="619">
        <f>(569+13+2)/1000</f>
        <v>0.58399999999999996</v>
      </c>
      <c r="J10" s="619">
        <v>0.71899999999999997</v>
      </c>
      <c r="K10" s="619">
        <f>(1087+7+194)/1000</f>
        <v>1.288</v>
      </c>
      <c r="L10" s="619">
        <f>(1249+6+1+509)/1000</f>
        <v>1.7649999999999999</v>
      </c>
      <c r="M10" s="619">
        <f>(884+3+326)/1000</f>
        <v>1.2130000000000001</v>
      </c>
      <c r="N10" s="619">
        <f>(643+4+265)/1000</f>
        <v>0.91200000000000003</v>
      </c>
      <c r="O10" s="619">
        <f>(565+2+141)/1000</f>
        <v>0.70799999999999996</v>
      </c>
      <c r="P10" s="619">
        <f>(543+5+135)/1000</f>
        <v>0.68300000000000005</v>
      </c>
      <c r="Q10" s="619">
        <f>(471+3+93)/1000</f>
        <v>0.56699999999999995</v>
      </c>
      <c r="R10" s="164">
        <f t="shared" si="5"/>
        <v>-16.983894582723295</v>
      </c>
      <c r="S10" s="57" t="s">
        <v>46</v>
      </c>
    </row>
    <row r="11" spans="1:19" ht="12.75" customHeight="1" x14ac:dyDescent="0.2">
      <c r="A11" s="8"/>
      <c r="B11" s="10" t="s">
        <v>48</v>
      </c>
      <c r="C11" s="627">
        <v>6.8760000000000003</v>
      </c>
      <c r="D11" s="624">
        <v>3.8650000000000002</v>
      </c>
      <c r="E11" s="624">
        <v>5.3079999999999998</v>
      </c>
      <c r="F11" s="624">
        <v>7.88</v>
      </c>
      <c r="G11" s="624">
        <v>5.9589999999999996</v>
      </c>
      <c r="H11" s="624">
        <v>7.2169999999999996</v>
      </c>
      <c r="I11" s="624">
        <v>7.5919999999999996</v>
      </c>
      <c r="J11" s="624">
        <v>8.423</v>
      </c>
      <c r="K11" s="624">
        <v>9.9849999999999994</v>
      </c>
      <c r="L11" s="624">
        <v>9.641</v>
      </c>
      <c r="M11" s="624">
        <v>7.2140000000000004</v>
      </c>
      <c r="N11" s="624">
        <v>5.4180000000000001</v>
      </c>
      <c r="O11" s="624">
        <v>6.056</v>
      </c>
      <c r="P11" s="624">
        <v>6.9749999999999996</v>
      </c>
      <c r="Q11" s="688">
        <f>P11*1.0030201</f>
        <v>6.9960651975000001</v>
      </c>
      <c r="R11" s="756">
        <f t="shared" si="5"/>
        <v>0.30201000000000988</v>
      </c>
      <c r="S11" s="10" t="s">
        <v>48</v>
      </c>
    </row>
    <row r="12" spans="1:19" ht="12.75" customHeight="1" x14ac:dyDescent="0.2">
      <c r="A12" s="8"/>
      <c r="B12" s="57" t="s">
        <v>59</v>
      </c>
      <c r="C12" s="618">
        <v>2.2879999999999998</v>
      </c>
      <c r="D12" s="619">
        <v>3.3</v>
      </c>
      <c r="E12" s="619">
        <v>2.4159999999999999</v>
      </c>
      <c r="F12" s="619">
        <v>2.625</v>
      </c>
      <c r="G12" s="619">
        <v>2.8239999999999998</v>
      </c>
      <c r="H12" s="619">
        <v>3.6309999999999998</v>
      </c>
      <c r="I12" s="619">
        <v>5.78</v>
      </c>
      <c r="J12" s="619">
        <v>7.5780000000000003</v>
      </c>
      <c r="K12" s="619">
        <v>9.7769999999999992</v>
      </c>
      <c r="L12" s="619">
        <v>6.6920000000000002</v>
      </c>
      <c r="M12" s="619">
        <v>5.165</v>
      </c>
      <c r="N12" s="635">
        <v>3.056</v>
      </c>
      <c r="O12" s="619">
        <f>2.032</f>
        <v>2.032</v>
      </c>
      <c r="P12" s="619">
        <v>1.984</v>
      </c>
      <c r="Q12" s="660">
        <v>1.87</v>
      </c>
      <c r="R12" s="443">
        <f t="shared" si="5"/>
        <v>-5.7459677419354733</v>
      </c>
      <c r="S12" s="57" t="s">
        <v>59</v>
      </c>
    </row>
    <row r="13" spans="1:19" ht="12.75" customHeight="1" x14ac:dyDescent="0.2">
      <c r="A13" s="8"/>
      <c r="B13" s="10" t="s">
        <v>64</v>
      </c>
      <c r="C13" s="627">
        <v>218.245</v>
      </c>
      <c r="D13" s="624">
        <v>252.61600000000001</v>
      </c>
      <c r="E13" s="624">
        <v>226.958</v>
      </c>
      <c r="F13" s="624">
        <v>204.12899999999999</v>
      </c>
      <c r="G13" s="624">
        <v>191.262</v>
      </c>
      <c r="H13" s="624">
        <v>173.524</v>
      </c>
      <c r="I13" s="624">
        <v>168.65199999999999</v>
      </c>
      <c r="J13" s="624">
        <v>165.84200000000001</v>
      </c>
      <c r="K13" s="624">
        <v>166.88300000000001</v>
      </c>
      <c r="L13" s="624">
        <v>166.28100000000001</v>
      </c>
      <c r="M13" s="624">
        <v>138.97900000000001</v>
      </c>
      <c r="N13" s="624">
        <v>122.29300000000001</v>
      </c>
      <c r="O13" s="624">
        <f>126.975</f>
        <v>126.97499999999999</v>
      </c>
      <c r="P13" s="624">
        <v>127.497</v>
      </c>
      <c r="Q13" s="630">
        <v>129.60499999999999</v>
      </c>
      <c r="R13" s="222">
        <f t="shared" si="5"/>
        <v>1.6533722362094778</v>
      </c>
      <c r="S13" s="10" t="s">
        <v>64</v>
      </c>
    </row>
    <row r="14" spans="1:19" ht="12.75" customHeight="1" x14ac:dyDescent="0.2">
      <c r="A14" s="8"/>
      <c r="B14" s="57" t="s">
        <v>49</v>
      </c>
      <c r="C14" s="618" t="s">
        <v>83</v>
      </c>
      <c r="D14" s="619">
        <v>5.2999999999999999E-2</v>
      </c>
      <c r="E14" s="619">
        <v>0.152</v>
      </c>
      <c r="F14" s="619">
        <v>0.17299999999999999</v>
      </c>
      <c r="G14" s="619">
        <v>0.185</v>
      </c>
      <c r="H14" s="619">
        <v>0.23100000000000001</v>
      </c>
      <c r="I14" s="619">
        <v>0.31900000000000001</v>
      </c>
      <c r="J14" s="619">
        <v>0.77100000000000002</v>
      </c>
      <c r="K14" s="619">
        <v>1.254</v>
      </c>
      <c r="L14" s="619">
        <v>1.1859999999999999</v>
      </c>
      <c r="M14" s="619">
        <v>0.46800000000000003</v>
      </c>
      <c r="N14" s="635">
        <v>0.46400000000000002</v>
      </c>
      <c r="O14" s="619">
        <f>0.299</f>
        <v>0.29899999999999999</v>
      </c>
      <c r="P14" s="619">
        <f>0.364</f>
        <v>0.36399999999999999</v>
      </c>
      <c r="Q14" s="660">
        <v>0.40899999999999997</v>
      </c>
      <c r="R14" s="443">
        <f t="shared" si="5"/>
        <v>12.362637362637358</v>
      </c>
      <c r="S14" s="57" t="s">
        <v>49</v>
      </c>
    </row>
    <row r="15" spans="1:19" ht="12.75" customHeight="1" x14ac:dyDescent="0.2">
      <c r="A15" s="8"/>
      <c r="B15" s="10" t="s">
        <v>67</v>
      </c>
      <c r="C15" s="627"/>
      <c r="D15" s="624">
        <v>3.8479999999999999</v>
      </c>
      <c r="E15" s="624">
        <v>4.7050000000000001</v>
      </c>
      <c r="F15" s="624">
        <v>5.5960000000000001</v>
      </c>
      <c r="G15" s="624">
        <v>2.8530000000000002</v>
      </c>
      <c r="H15" s="624">
        <v>2.5339999999999998</v>
      </c>
      <c r="I15" s="624">
        <v>2.391</v>
      </c>
      <c r="J15" s="624">
        <v>2.508</v>
      </c>
      <c r="K15" s="624">
        <v>2.8820000000000001</v>
      </c>
      <c r="L15" s="624">
        <v>2.645</v>
      </c>
      <c r="M15" s="624">
        <v>1.4219999999999999</v>
      </c>
      <c r="N15" s="624">
        <v>1.1120000000000001</v>
      </c>
      <c r="O15" s="624">
        <f>0.831</f>
        <v>0.83099999999999996</v>
      </c>
      <c r="P15" s="624">
        <f>0.663</f>
        <v>0.66300000000000003</v>
      </c>
      <c r="Q15" s="630">
        <v>0.441</v>
      </c>
      <c r="R15" s="222">
        <f t="shared" si="5"/>
        <v>-33.484162895927611</v>
      </c>
      <c r="S15" s="10" t="s">
        <v>67</v>
      </c>
    </row>
    <row r="16" spans="1:19" ht="12.75" customHeight="1" x14ac:dyDescent="0.2">
      <c r="A16" s="8"/>
      <c r="B16" s="57" t="s">
        <v>60</v>
      </c>
      <c r="C16" s="618"/>
      <c r="D16" s="619">
        <v>64.042000000000002</v>
      </c>
      <c r="E16" s="619">
        <v>66.832999999999998</v>
      </c>
      <c r="F16" s="619">
        <v>56.069000000000003</v>
      </c>
      <c r="G16" s="619">
        <v>59.137</v>
      </c>
      <c r="H16" s="619">
        <v>72.022999999999996</v>
      </c>
      <c r="I16" s="619">
        <v>83.078000000000003</v>
      </c>
      <c r="J16" s="619">
        <v>88.48</v>
      </c>
      <c r="K16" s="619">
        <v>100.458</v>
      </c>
      <c r="L16" s="619">
        <v>100.11799999999999</v>
      </c>
      <c r="M16" s="619">
        <v>69.245999999999995</v>
      </c>
      <c r="N16" s="635">
        <v>61.530999999999999</v>
      </c>
      <c r="O16" s="619">
        <f>44.7</f>
        <v>44.7</v>
      </c>
      <c r="P16" s="619">
        <v>31.805</v>
      </c>
      <c r="Q16" s="660">
        <v>28.521999999999998</v>
      </c>
      <c r="R16" s="443">
        <f t="shared" si="5"/>
        <v>-10.322276371639688</v>
      </c>
      <c r="S16" s="57" t="s">
        <v>60</v>
      </c>
    </row>
    <row r="17" spans="1:19" ht="12.75" customHeight="1" x14ac:dyDescent="0.2">
      <c r="A17" s="8"/>
      <c r="B17" s="10" t="s">
        <v>65</v>
      </c>
      <c r="C17" s="627"/>
      <c r="D17" s="624">
        <v>72.022000000000006</v>
      </c>
      <c r="E17" s="624">
        <v>64.129000000000005</v>
      </c>
      <c r="F17" s="624">
        <v>63.365000000000002</v>
      </c>
      <c r="G17" s="624">
        <v>77.438999999999993</v>
      </c>
      <c r="H17" s="624">
        <v>123.143</v>
      </c>
      <c r="I17" s="624">
        <v>205.626</v>
      </c>
      <c r="J17" s="624">
        <v>258.35500000000002</v>
      </c>
      <c r="K17" s="624">
        <v>269.47899999999998</v>
      </c>
      <c r="L17" s="624">
        <v>209.941</v>
      </c>
      <c r="M17" s="624">
        <v>134.63999999999999</v>
      </c>
      <c r="N17" s="624">
        <v>135.25899999999999</v>
      </c>
      <c r="O17" s="624">
        <f>119.423</f>
        <v>119.423</v>
      </c>
      <c r="P17" s="624">
        <v>97.930999999999997</v>
      </c>
      <c r="Q17" s="630">
        <v>92.677999999999997</v>
      </c>
      <c r="R17" s="222">
        <f t="shared" si="5"/>
        <v>-5.3639807619650526</v>
      </c>
      <c r="S17" s="10" t="s">
        <v>65</v>
      </c>
    </row>
    <row r="18" spans="1:19" ht="12.75" customHeight="1" x14ac:dyDescent="0.2">
      <c r="A18" s="8"/>
      <c r="B18" s="57" t="s">
        <v>66</v>
      </c>
      <c r="C18" s="618"/>
      <c r="D18" s="619">
        <v>179.55199999999999</v>
      </c>
      <c r="E18" s="619">
        <v>179.59</v>
      </c>
      <c r="F18" s="619">
        <v>168.75399999999999</v>
      </c>
      <c r="G18" s="619">
        <v>176.006</v>
      </c>
      <c r="H18" s="619">
        <v>183.81100000000001</v>
      </c>
      <c r="I18" s="619">
        <v>196.61799999999999</v>
      </c>
      <c r="J18" s="619">
        <v>229.364</v>
      </c>
      <c r="K18" s="619">
        <v>238.96600000000001</v>
      </c>
      <c r="L18" s="619">
        <v>237.59200000000001</v>
      </c>
      <c r="M18" s="619">
        <v>200.017</v>
      </c>
      <c r="N18" s="635">
        <v>231.59299999999999</v>
      </c>
      <c r="O18" s="619">
        <f>185.122</f>
        <v>185.12200000000001</v>
      </c>
      <c r="P18" s="619">
        <v>169.64400000000001</v>
      </c>
      <c r="Q18" s="660">
        <v>147.91499999999999</v>
      </c>
      <c r="R18" s="443">
        <f t="shared" si="5"/>
        <v>-12.808587394779664</v>
      </c>
      <c r="S18" s="57" t="s">
        <v>66</v>
      </c>
    </row>
    <row r="19" spans="1:19" ht="12.75" customHeight="1" x14ac:dyDescent="0.2">
      <c r="A19" s="8"/>
      <c r="B19" s="10" t="s">
        <v>77</v>
      </c>
      <c r="C19" s="627"/>
      <c r="D19" s="624"/>
      <c r="E19" s="624"/>
      <c r="F19" s="624">
        <v>4.4829999999999997</v>
      </c>
      <c r="G19" s="624">
        <v>6.875</v>
      </c>
      <c r="H19" s="624">
        <v>6.6619999999999999</v>
      </c>
      <c r="I19" s="624">
        <v>6.7220000000000004</v>
      </c>
      <c r="J19" s="624">
        <v>7.7750000000000004</v>
      </c>
      <c r="K19" s="624">
        <v>8.9740000000000002</v>
      </c>
      <c r="L19" s="624">
        <v>8.8109999999999999</v>
      </c>
      <c r="M19" s="624">
        <v>4.7169999999999996</v>
      </c>
      <c r="N19" s="624">
        <v>2.851</v>
      </c>
      <c r="O19" s="624">
        <v>2.726</v>
      </c>
      <c r="P19" s="624">
        <v>2.3969999999999998</v>
      </c>
      <c r="Q19" s="630">
        <v>2.0459999999999998</v>
      </c>
      <c r="R19" s="222">
        <f t="shared" si="5"/>
        <v>-14.643304130162704</v>
      </c>
      <c r="S19" s="10" t="s">
        <v>77</v>
      </c>
    </row>
    <row r="20" spans="1:19" ht="12.75" customHeight="1" x14ac:dyDescent="0.2">
      <c r="A20" s="8"/>
      <c r="B20" s="197" t="s">
        <v>68</v>
      </c>
      <c r="C20" s="634"/>
      <c r="D20" s="635">
        <v>524.61900000000003</v>
      </c>
      <c r="E20" s="635">
        <v>420.35500000000002</v>
      </c>
      <c r="F20" s="635">
        <v>392.76299999999998</v>
      </c>
      <c r="G20" s="635">
        <v>408.61700000000002</v>
      </c>
      <c r="H20" s="635">
        <v>421.48899999999998</v>
      </c>
      <c r="I20" s="635">
        <v>420.47800000000001</v>
      </c>
      <c r="J20" s="635">
        <v>444.98700000000002</v>
      </c>
      <c r="K20" s="635">
        <v>435.959</v>
      </c>
      <c r="L20" s="635">
        <v>408.24900000000002</v>
      </c>
      <c r="M20" s="635">
        <v>445.62099999999998</v>
      </c>
      <c r="N20" s="635">
        <v>320.43900000000002</v>
      </c>
      <c r="O20" s="635">
        <f>253.625</f>
        <v>253.625</v>
      </c>
      <c r="P20" s="635">
        <f>206.291</f>
        <v>206.291</v>
      </c>
      <c r="Q20" s="685">
        <v>153.941</v>
      </c>
      <c r="R20" s="221">
        <f t="shared" si="5"/>
        <v>-25.376773586826374</v>
      </c>
      <c r="S20" s="197" t="s">
        <v>68</v>
      </c>
    </row>
    <row r="21" spans="1:19" ht="12.75" customHeight="1" x14ac:dyDescent="0.2">
      <c r="A21" s="8"/>
      <c r="B21" s="10" t="s">
        <v>47</v>
      </c>
      <c r="C21" s="627" t="s">
        <v>83</v>
      </c>
      <c r="D21" s="624"/>
      <c r="E21" s="624">
        <v>2.8340000000000001</v>
      </c>
      <c r="F21" s="624">
        <v>2.145</v>
      </c>
      <c r="G21" s="624">
        <v>1.8240000000000001</v>
      </c>
      <c r="H21" s="624">
        <v>2.2730000000000001</v>
      </c>
      <c r="I21" s="624">
        <v>2.4550000000000001</v>
      </c>
      <c r="J21" s="624">
        <v>2.9249999999999998</v>
      </c>
      <c r="K21" s="624">
        <v>3.71</v>
      </c>
      <c r="L21" s="624">
        <v>4.4589999999999996</v>
      </c>
      <c r="M21" s="624">
        <v>3.14</v>
      </c>
      <c r="N21" s="624">
        <v>3.06</v>
      </c>
      <c r="O21" s="624">
        <f>2.527</f>
        <v>2.5270000000000001</v>
      </c>
      <c r="P21" s="624">
        <v>2.0739999999999998</v>
      </c>
      <c r="Q21" s="630">
        <v>1.675</v>
      </c>
      <c r="R21" s="222">
        <f t="shared" si="5"/>
        <v>-19.238187078109931</v>
      </c>
      <c r="S21" s="10" t="s">
        <v>47</v>
      </c>
    </row>
    <row r="22" spans="1:19" ht="12.75" customHeight="1" x14ac:dyDescent="0.2">
      <c r="A22" s="8"/>
      <c r="B22" s="197" t="s">
        <v>51</v>
      </c>
      <c r="C22" s="634" t="s">
        <v>83</v>
      </c>
      <c r="D22" s="635" t="s">
        <v>83</v>
      </c>
      <c r="E22" s="635" t="s">
        <v>83</v>
      </c>
      <c r="F22" s="635">
        <v>0.216</v>
      </c>
      <c r="G22" s="635">
        <v>0.221</v>
      </c>
      <c r="H22" s="635">
        <v>0.373</v>
      </c>
      <c r="I22" s="635">
        <v>0.4</v>
      </c>
      <c r="J22" s="635">
        <v>0.77300000000000002</v>
      </c>
      <c r="K22" s="635">
        <v>1.53</v>
      </c>
      <c r="L22" s="635">
        <v>1.5680000000000001</v>
      </c>
      <c r="M22" s="635">
        <v>0.35499999999999998</v>
      </c>
      <c r="N22" s="635">
        <v>0.437</v>
      </c>
      <c r="O22" s="635">
        <f>0.472</f>
        <v>0.47199999999999998</v>
      </c>
      <c r="P22" s="635">
        <v>0.49399999999999999</v>
      </c>
      <c r="Q22" s="685">
        <v>0.47699999999999998</v>
      </c>
      <c r="R22" s="221">
        <f t="shared" si="5"/>
        <v>-3.4412955465587061</v>
      </c>
      <c r="S22" s="197" t="s">
        <v>51</v>
      </c>
    </row>
    <row r="23" spans="1:19" ht="12.75" customHeight="1" x14ac:dyDescent="0.2">
      <c r="A23" s="8"/>
      <c r="B23" s="10" t="s">
        <v>52</v>
      </c>
      <c r="C23" s="627" t="s">
        <v>83</v>
      </c>
      <c r="D23" s="624">
        <v>0.377</v>
      </c>
      <c r="E23" s="624">
        <v>0.51600000000000001</v>
      </c>
      <c r="F23" s="624">
        <v>0.79300000000000004</v>
      </c>
      <c r="G23" s="624">
        <v>0.85799999999999998</v>
      </c>
      <c r="H23" s="624">
        <v>1.101</v>
      </c>
      <c r="I23" s="624">
        <v>1.653</v>
      </c>
      <c r="J23" s="624">
        <v>2.4569999999999999</v>
      </c>
      <c r="K23" s="624">
        <v>4.42</v>
      </c>
      <c r="L23" s="624">
        <v>5.6219999999999999</v>
      </c>
      <c r="M23" s="624">
        <v>3.89</v>
      </c>
      <c r="N23" s="629">
        <f>0.278</f>
        <v>0.27800000000000002</v>
      </c>
      <c r="O23" s="624">
        <v>0.47199999999999998</v>
      </c>
      <c r="P23" s="624">
        <v>0.49399999999999999</v>
      </c>
      <c r="Q23" s="630">
        <v>0.24099999999999999</v>
      </c>
      <c r="R23" s="222">
        <f t="shared" si="5"/>
        <v>-51.214574898785429</v>
      </c>
      <c r="S23" s="10" t="s">
        <v>52</v>
      </c>
    </row>
    <row r="24" spans="1:19" ht="12.75" customHeight="1" x14ac:dyDescent="0.2">
      <c r="A24" s="8"/>
      <c r="B24" s="197" t="s">
        <v>69</v>
      </c>
      <c r="C24" s="634">
        <v>0.98499999999999999</v>
      </c>
      <c r="D24" s="635">
        <v>1.26</v>
      </c>
      <c r="E24" s="635">
        <v>1.139</v>
      </c>
      <c r="F24" s="635">
        <v>1.3240000000000001</v>
      </c>
      <c r="G24" s="635">
        <v>1.4370000000000001</v>
      </c>
      <c r="H24" s="635">
        <v>1.3540000000000001</v>
      </c>
      <c r="I24" s="635">
        <v>1.2649999999999999</v>
      </c>
      <c r="J24" s="635">
        <v>1.3779999999999999</v>
      </c>
      <c r="K24" s="635">
        <v>1.417</v>
      </c>
      <c r="L24" s="635">
        <v>1.353</v>
      </c>
      <c r="M24" s="635">
        <v>1.5529999999999999</v>
      </c>
      <c r="N24" s="635">
        <v>1.5620000000000001</v>
      </c>
      <c r="O24" s="635">
        <f>1.306</f>
        <v>1.306</v>
      </c>
      <c r="P24" s="635">
        <v>1.2010000000000001</v>
      </c>
      <c r="Q24" s="685">
        <v>1.5660000000000001</v>
      </c>
      <c r="R24" s="221">
        <f t="shared" si="5"/>
        <v>30.391340549542036</v>
      </c>
      <c r="S24" s="197" t="s">
        <v>69</v>
      </c>
    </row>
    <row r="25" spans="1:19" ht="12.75" customHeight="1" x14ac:dyDescent="0.2">
      <c r="A25" s="8"/>
      <c r="B25" s="10" t="s">
        <v>50</v>
      </c>
      <c r="C25" s="627" t="s">
        <v>83</v>
      </c>
      <c r="D25" s="624" t="s">
        <v>83</v>
      </c>
      <c r="E25" s="624" t="s">
        <v>83</v>
      </c>
      <c r="F25" s="624">
        <v>7.4379999999999997</v>
      </c>
      <c r="G25" s="624">
        <v>8.875</v>
      </c>
      <c r="H25" s="624">
        <v>16.152000000000001</v>
      </c>
      <c r="I25" s="624">
        <v>12.538</v>
      </c>
      <c r="J25" s="624">
        <v>12.048</v>
      </c>
      <c r="K25" s="624">
        <v>12.781000000000001</v>
      </c>
      <c r="L25" s="624">
        <v>12.285</v>
      </c>
      <c r="M25" s="624">
        <v>4.0270000000000001</v>
      </c>
      <c r="N25" s="624">
        <v>3.2109999999999999</v>
      </c>
      <c r="O25" s="624">
        <f>2.091</f>
        <v>2.0910000000000002</v>
      </c>
      <c r="P25" s="624">
        <f>1.957</f>
        <v>1.9570000000000001</v>
      </c>
      <c r="Q25" s="630">
        <v>1.778</v>
      </c>
      <c r="R25" s="222">
        <f t="shared" si="5"/>
        <v>-9.1466530403679087</v>
      </c>
      <c r="S25" s="10" t="s">
        <v>50</v>
      </c>
    </row>
    <row r="26" spans="1:19" ht="12.75" customHeight="1" x14ac:dyDescent="0.2">
      <c r="A26" s="8"/>
      <c r="B26" s="197" t="s">
        <v>53</v>
      </c>
      <c r="C26" s="634" t="s">
        <v>83</v>
      </c>
      <c r="D26" s="635"/>
      <c r="E26" s="635"/>
      <c r="F26" s="635">
        <v>0.55100000000000005</v>
      </c>
      <c r="G26" s="635">
        <v>0.50800000000000001</v>
      </c>
      <c r="H26" s="635">
        <v>0.47299999999999998</v>
      </c>
      <c r="I26" s="635">
        <v>0.40799999999999997</v>
      </c>
      <c r="J26" s="635">
        <v>0.54400000000000004</v>
      </c>
      <c r="K26" s="635">
        <v>0.53200000000000003</v>
      </c>
      <c r="L26" s="635">
        <v>0.69899999999999995</v>
      </c>
      <c r="M26" s="635">
        <v>0.60799999999999998</v>
      </c>
      <c r="N26" s="635">
        <v>0.56799999999999995</v>
      </c>
      <c r="O26" s="635">
        <f>0.746</f>
        <v>0.746</v>
      </c>
      <c r="P26" s="635">
        <v>0.81200000000000006</v>
      </c>
      <c r="Q26" s="685">
        <v>0.873</v>
      </c>
      <c r="R26" s="221">
        <f t="shared" si="5"/>
        <v>7.5123152709359431</v>
      </c>
      <c r="S26" s="197" t="s">
        <v>53</v>
      </c>
    </row>
    <row r="27" spans="1:19" ht="12.75" customHeight="1" x14ac:dyDescent="0.2">
      <c r="A27" s="8"/>
      <c r="B27" s="10" t="s">
        <v>61</v>
      </c>
      <c r="C27" s="627">
        <v>17.798999999999999</v>
      </c>
      <c r="D27" s="624">
        <v>19.626000000000001</v>
      </c>
      <c r="E27" s="624">
        <v>17.562000000000001</v>
      </c>
      <c r="F27" s="624">
        <v>16.844999999999999</v>
      </c>
      <c r="G27" s="624">
        <v>16.736999999999998</v>
      </c>
      <c r="H27" s="624">
        <v>17.565999999999999</v>
      </c>
      <c r="I27" s="624">
        <v>16.814</v>
      </c>
      <c r="J27" s="624">
        <v>14.79</v>
      </c>
      <c r="K27" s="624">
        <v>16.236999999999998</v>
      </c>
      <c r="L27" s="624">
        <v>16.960999999999999</v>
      </c>
      <c r="M27" s="624">
        <v>18.277999999999999</v>
      </c>
      <c r="N27" s="624">
        <v>15.24</v>
      </c>
      <c r="O27" s="624">
        <f>11.662</f>
        <v>11.662000000000001</v>
      </c>
      <c r="P27" s="624">
        <f>10.617</f>
        <v>10.617000000000001</v>
      </c>
      <c r="Q27" s="630">
        <v>9.57</v>
      </c>
      <c r="R27" s="222">
        <f t="shared" si="5"/>
        <v>-9.861542808703021</v>
      </c>
      <c r="S27" s="10" t="s">
        <v>61</v>
      </c>
    </row>
    <row r="28" spans="1:19" ht="12.75" customHeight="1" x14ac:dyDescent="0.2">
      <c r="A28" s="8"/>
      <c r="B28" s="197" t="s">
        <v>70</v>
      </c>
      <c r="C28" s="634">
        <v>18.704000000000001</v>
      </c>
      <c r="D28" s="635">
        <v>23.774999999999999</v>
      </c>
      <c r="E28" s="635">
        <v>19.952000000000002</v>
      </c>
      <c r="F28" s="635">
        <v>16.687000000000001</v>
      </c>
      <c r="G28" s="635">
        <v>17.93</v>
      </c>
      <c r="H28" s="635">
        <v>18.748000000000001</v>
      </c>
      <c r="I28" s="635">
        <v>19.094000000000001</v>
      </c>
      <c r="J28" s="635">
        <v>18.873000000000001</v>
      </c>
      <c r="K28" s="635">
        <v>23.748000000000001</v>
      </c>
      <c r="L28" s="635">
        <v>24.48</v>
      </c>
      <c r="M28" s="635">
        <v>23.712</v>
      </c>
      <c r="N28" s="635">
        <v>21.44</v>
      </c>
      <c r="O28" s="635">
        <f>22.75</f>
        <v>22.75</v>
      </c>
      <c r="P28" s="635">
        <f>24.808</f>
        <v>24.808</v>
      </c>
      <c r="Q28" s="685">
        <v>25.995999999999999</v>
      </c>
      <c r="R28" s="221">
        <f t="shared" si="5"/>
        <v>4.7887778136085188</v>
      </c>
      <c r="S28" s="197" t="s">
        <v>70</v>
      </c>
    </row>
    <row r="29" spans="1:19" ht="12.75" customHeight="1" x14ac:dyDescent="0.2">
      <c r="A29" s="8"/>
      <c r="B29" s="10" t="s">
        <v>54</v>
      </c>
      <c r="C29" s="627" t="s">
        <v>83</v>
      </c>
      <c r="D29" s="624" t="s">
        <v>83</v>
      </c>
      <c r="E29" s="624" t="s">
        <v>83</v>
      </c>
      <c r="F29" s="624"/>
      <c r="G29" s="624">
        <v>1.3</v>
      </c>
      <c r="H29" s="624">
        <v>1.95</v>
      </c>
      <c r="I29" s="624">
        <v>3.8410000000000002</v>
      </c>
      <c r="J29" s="624">
        <v>5.1150000000000002</v>
      </c>
      <c r="K29" s="624">
        <v>7.5739999999999998</v>
      </c>
      <c r="L29" s="624">
        <v>10.696</v>
      </c>
      <c r="M29" s="624">
        <v>9.43</v>
      </c>
      <c r="N29" s="624">
        <v>8.7240000000000002</v>
      </c>
      <c r="O29" s="624">
        <f>8.957</f>
        <v>8.9570000000000007</v>
      </c>
      <c r="P29" s="624">
        <f>7.758</f>
        <v>7.758</v>
      </c>
      <c r="Q29" s="630">
        <v>7.3940000000000001</v>
      </c>
      <c r="R29" s="222">
        <f t="shared" si="5"/>
        <v>-4.6919309100283471</v>
      </c>
      <c r="S29" s="10" t="s">
        <v>54</v>
      </c>
    </row>
    <row r="30" spans="1:19" ht="12.75" customHeight="1" x14ac:dyDescent="0.2">
      <c r="A30" s="8"/>
      <c r="B30" s="197" t="s">
        <v>71</v>
      </c>
      <c r="C30" s="634">
        <v>12.058999999999999</v>
      </c>
      <c r="D30" s="635">
        <v>17.716000000000001</v>
      </c>
      <c r="E30" s="635">
        <v>17.087</v>
      </c>
      <c r="F30" s="635">
        <v>14.218</v>
      </c>
      <c r="G30" s="635">
        <v>11.198</v>
      </c>
      <c r="H30" s="635">
        <v>11.561999999999999</v>
      </c>
      <c r="I30" s="635">
        <v>11.231999999999999</v>
      </c>
      <c r="J30" s="635">
        <v>11.435</v>
      </c>
      <c r="K30" s="635">
        <v>11.991</v>
      </c>
      <c r="L30" s="635">
        <v>10.762</v>
      </c>
      <c r="M30" s="635">
        <v>13.475</v>
      </c>
      <c r="N30" s="635">
        <v>18.896000000000001</v>
      </c>
      <c r="O30" s="635">
        <f>18.937</f>
        <v>18.937000000000001</v>
      </c>
      <c r="P30" s="635">
        <v>17.135999999999999</v>
      </c>
      <c r="Q30" s="685">
        <v>14.51</v>
      </c>
      <c r="R30" s="221">
        <f t="shared" si="5"/>
        <v>-15.324463118580766</v>
      </c>
      <c r="S30" s="197" t="s">
        <v>71</v>
      </c>
    </row>
    <row r="31" spans="1:19" ht="12.75" customHeight="1" x14ac:dyDescent="0.2">
      <c r="A31" s="8"/>
      <c r="B31" s="10" t="s">
        <v>55</v>
      </c>
      <c r="C31" s="627"/>
      <c r="D31" s="624"/>
      <c r="E31" s="624"/>
      <c r="F31" s="624"/>
      <c r="G31" s="624">
        <v>0.61599999999999999</v>
      </c>
      <c r="H31" s="624">
        <v>0.83299999999999996</v>
      </c>
      <c r="I31" s="624">
        <v>0.82799999999999996</v>
      </c>
      <c r="J31" s="624">
        <v>5.0830000000000002</v>
      </c>
      <c r="K31" s="624">
        <v>4.7789999999999999</v>
      </c>
      <c r="L31" s="624">
        <v>6.9610000000000003</v>
      </c>
      <c r="M31" s="624">
        <v>8.64</v>
      </c>
      <c r="N31" s="624">
        <f>5.72</f>
        <v>5.72</v>
      </c>
      <c r="O31" s="629">
        <v>0.46899999999999997</v>
      </c>
      <c r="P31" s="624">
        <v>0.55500000000000005</v>
      </c>
      <c r="Q31" s="624">
        <v>0.52100000000000002</v>
      </c>
      <c r="R31" s="165">
        <f t="shared" si="5"/>
        <v>-6.1261261261261239</v>
      </c>
      <c r="S31" s="10" t="s">
        <v>55</v>
      </c>
    </row>
    <row r="32" spans="1:19" ht="12.75" customHeight="1" x14ac:dyDescent="0.2">
      <c r="A32" s="8"/>
      <c r="B32" s="197" t="s">
        <v>57</v>
      </c>
      <c r="C32" s="634" t="s">
        <v>83</v>
      </c>
      <c r="D32" s="635">
        <v>1.23</v>
      </c>
      <c r="E32" s="635">
        <v>0.96499999999999997</v>
      </c>
      <c r="F32" s="635">
        <v>1.159</v>
      </c>
      <c r="G32" s="635">
        <v>1.466</v>
      </c>
      <c r="H32" s="635">
        <v>2.0720000000000001</v>
      </c>
      <c r="I32" s="635">
        <v>2.5350000000000001</v>
      </c>
      <c r="J32" s="635">
        <v>3.5979999999999999</v>
      </c>
      <c r="K32" s="635">
        <v>5.0609999999999999</v>
      </c>
      <c r="L32" s="635">
        <v>5.2960000000000003</v>
      </c>
      <c r="M32" s="635">
        <v>3.7949999999999999</v>
      </c>
      <c r="N32" s="635">
        <f>2.658</f>
        <v>2.6579999999999999</v>
      </c>
      <c r="O32" s="635">
        <v>2.1389999999999998</v>
      </c>
      <c r="P32" s="635">
        <v>2.0419999999999998</v>
      </c>
      <c r="Q32" s="685">
        <v>2.38</v>
      </c>
      <c r="R32" s="221">
        <f t="shared" si="5"/>
        <v>16.552399608227233</v>
      </c>
      <c r="S32" s="197" t="s">
        <v>57</v>
      </c>
    </row>
    <row r="33" spans="1:19" ht="12.75" customHeight="1" x14ac:dyDescent="0.2">
      <c r="A33" s="8"/>
      <c r="B33" s="10" t="s">
        <v>56</v>
      </c>
      <c r="C33" s="627" t="s">
        <v>83</v>
      </c>
      <c r="D33" s="624" t="s">
        <v>83</v>
      </c>
      <c r="E33" s="624" t="s">
        <v>83</v>
      </c>
      <c r="F33" s="624"/>
      <c r="G33" s="624"/>
      <c r="H33" s="624">
        <v>1.165</v>
      </c>
      <c r="I33" s="624">
        <v>1.165</v>
      </c>
      <c r="J33" s="624">
        <v>2.1219999999999999</v>
      </c>
      <c r="K33" s="624">
        <v>3.1440000000000001</v>
      </c>
      <c r="L33" s="624">
        <v>3.1389999999999998</v>
      </c>
      <c r="M33" s="624">
        <v>2.331</v>
      </c>
      <c r="N33" s="624">
        <f>2.324</f>
        <v>2.3239999999999998</v>
      </c>
      <c r="O33" s="624">
        <f>1.96</f>
        <v>1.96</v>
      </c>
      <c r="P33" s="624">
        <f>1.92</f>
        <v>1.92</v>
      </c>
      <c r="Q33" s="630">
        <v>2.84</v>
      </c>
      <c r="R33" s="222">
        <f t="shared" si="5"/>
        <v>47.916666666666686</v>
      </c>
      <c r="S33" s="10" t="s">
        <v>56</v>
      </c>
    </row>
    <row r="34" spans="1:19" ht="12.75" customHeight="1" x14ac:dyDescent="0.2">
      <c r="A34" s="8"/>
      <c r="B34" s="197" t="s">
        <v>72</v>
      </c>
      <c r="C34" s="634"/>
      <c r="D34" s="635">
        <v>5.1669999999999998</v>
      </c>
      <c r="E34" s="635">
        <v>4.4080000000000004</v>
      </c>
      <c r="F34" s="635">
        <v>4.92</v>
      </c>
      <c r="G34" s="635">
        <v>6.2640000000000002</v>
      </c>
      <c r="H34" s="635">
        <v>7.835</v>
      </c>
      <c r="I34" s="635">
        <v>9.2279999999999998</v>
      </c>
      <c r="J34" s="635">
        <v>11.058</v>
      </c>
      <c r="K34" s="635">
        <v>11.532999999999999</v>
      </c>
      <c r="L34" s="635">
        <v>9.0649999999999995</v>
      </c>
      <c r="M34" s="635">
        <v>8.8420000000000005</v>
      </c>
      <c r="N34" s="635">
        <f>9.478</f>
        <v>9.4779999999999998</v>
      </c>
      <c r="O34" s="635">
        <f>5.677</f>
        <v>5.6769999999999996</v>
      </c>
      <c r="P34" s="635">
        <f>4.986</f>
        <v>4.9859999999999998</v>
      </c>
      <c r="Q34" s="685">
        <v>3.9430000000000001</v>
      </c>
      <c r="R34" s="221">
        <f t="shared" si="5"/>
        <v>-20.918572001604488</v>
      </c>
      <c r="S34" s="197" t="s">
        <v>72</v>
      </c>
    </row>
    <row r="35" spans="1:19" ht="12.75" customHeight="1" x14ac:dyDescent="0.2">
      <c r="A35" s="8"/>
      <c r="B35" s="10" t="s">
        <v>73</v>
      </c>
      <c r="C35" s="627"/>
      <c r="D35" s="624">
        <v>18.401</v>
      </c>
      <c r="E35" s="624">
        <v>21.074000000000002</v>
      </c>
      <c r="F35" s="624">
        <v>23.052</v>
      </c>
      <c r="G35" s="624">
        <v>23.66</v>
      </c>
      <c r="H35" s="624">
        <v>25.3</v>
      </c>
      <c r="I35" s="624">
        <v>22.763000000000002</v>
      </c>
      <c r="J35" s="624">
        <v>27.050999999999998</v>
      </c>
      <c r="K35" s="624">
        <v>30.715</v>
      </c>
      <c r="L35" s="624">
        <v>20.422999999999998</v>
      </c>
      <c r="M35" s="624">
        <v>11.839</v>
      </c>
      <c r="N35" s="624">
        <f>13.152</f>
        <v>13.151999999999999</v>
      </c>
      <c r="O35" s="624">
        <f>8.216</f>
        <v>8.2159999999999993</v>
      </c>
      <c r="P35" s="624">
        <f>7.605</f>
        <v>7.6050000000000004</v>
      </c>
      <c r="Q35" s="630">
        <v>7.8</v>
      </c>
      <c r="R35" s="222">
        <f t="shared" si="5"/>
        <v>2.564102564102555</v>
      </c>
      <c r="S35" s="10" t="s">
        <v>73</v>
      </c>
    </row>
    <row r="36" spans="1:19" ht="12.75" customHeight="1" x14ac:dyDescent="0.2">
      <c r="A36" s="8"/>
      <c r="B36" s="199" t="s">
        <v>62</v>
      </c>
      <c r="C36" s="642"/>
      <c r="D36" s="643">
        <v>121.908</v>
      </c>
      <c r="E36" s="643">
        <v>123.866</v>
      </c>
      <c r="F36" s="643">
        <v>123.39100000000001</v>
      </c>
      <c r="G36" s="643">
        <v>119.348</v>
      </c>
      <c r="H36" s="643">
        <v>106.39100000000001</v>
      </c>
      <c r="I36" s="643">
        <v>108.05800000000001</v>
      </c>
      <c r="J36" s="643">
        <v>109.527</v>
      </c>
      <c r="K36" s="643">
        <v>119.863</v>
      </c>
      <c r="L36" s="643">
        <v>114.474</v>
      </c>
      <c r="M36" s="643">
        <v>95.230999999999995</v>
      </c>
      <c r="N36" s="643">
        <f>81.305</f>
        <v>81.305000000000007</v>
      </c>
      <c r="O36" s="643">
        <v>79.144999999999996</v>
      </c>
      <c r="P36" s="643">
        <f>80.029</f>
        <v>80.028999999999996</v>
      </c>
      <c r="Q36" s="687">
        <v>80.950999999999993</v>
      </c>
      <c r="R36" s="223">
        <f t="shared" si="5"/>
        <v>1.1520823701408176</v>
      </c>
      <c r="S36" s="199" t="s">
        <v>62</v>
      </c>
    </row>
    <row r="37" spans="1:19" s="526" customFormat="1" ht="12.75" customHeight="1" x14ac:dyDescent="0.2">
      <c r="A37" s="8"/>
      <c r="B37" s="529" t="s">
        <v>234</v>
      </c>
      <c r="C37" s="646"/>
      <c r="D37" s="615"/>
      <c r="E37" s="615"/>
      <c r="F37" s="615"/>
      <c r="G37" s="615"/>
      <c r="H37" s="615"/>
      <c r="I37" s="615"/>
      <c r="J37" s="615"/>
      <c r="K37" s="615"/>
      <c r="L37" s="615"/>
      <c r="M37" s="615"/>
      <c r="N37" s="615"/>
      <c r="O37" s="615"/>
      <c r="P37" s="615"/>
      <c r="Q37" s="684"/>
      <c r="R37" s="417"/>
      <c r="S37" s="529" t="s">
        <v>234</v>
      </c>
    </row>
    <row r="38" spans="1:19" ht="12.75" customHeight="1" x14ac:dyDescent="0.2">
      <c r="A38" s="8"/>
      <c r="B38" s="197" t="s">
        <v>223</v>
      </c>
      <c r="C38" s="634"/>
      <c r="D38" s="635"/>
      <c r="E38" s="635"/>
      <c r="F38" s="635"/>
      <c r="G38" s="635"/>
      <c r="H38" s="635"/>
      <c r="I38" s="635"/>
      <c r="J38" s="635"/>
      <c r="K38" s="635"/>
      <c r="L38" s="635"/>
      <c r="M38" s="635"/>
      <c r="N38" s="635"/>
      <c r="O38" s="635">
        <v>0.77100000000000002</v>
      </c>
      <c r="P38" s="635">
        <v>0.78700000000000003</v>
      </c>
      <c r="Q38" s="685">
        <f>0.06+0.265+0.185+0.052</f>
        <v>0.56200000000000006</v>
      </c>
      <c r="R38" s="224">
        <f t="shared" si="5"/>
        <v>-28.58958068614993</v>
      </c>
      <c r="S38" s="197" t="s">
        <v>223</v>
      </c>
    </row>
    <row r="39" spans="1:19" ht="12.75" customHeight="1" x14ac:dyDescent="0.2">
      <c r="A39" s="8"/>
      <c r="B39" s="530" t="s">
        <v>1</v>
      </c>
      <c r="C39" s="624">
        <v>1.0169999999999999</v>
      </c>
      <c r="D39" s="624">
        <v>0.46899999999999997</v>
      </c>
      <c r="E39" s="624">
        <v>0.29699999999999999</v>
      </c>
      <c r="F39" s="624"/>
      <c r="G39" s="624"/>
      <c r="H39" s="624"/>
      <c r="I39" s="624">
        <v>7.9000000000000001E-2</v>
      </c>
      <c r="J39" s="624">
        <v>2.4470000000000001</v>
      </c>
      <c r="K39" s="629">
        <v>3.1760000000000002</v>
      </c>
      <c r="L39" s="628">
        <v>6.4290000000000003</v>
      </c>
      <c r="M39" s="624">
        <v>4.7619999999999996</v>
      </c>
      <c r="N39" s="624">
        <v>3.15</v>
      </c>
      <c r="O39" s="624">
        <v>3.633</v>
      </c>
      <c r="P39" s="624">
        <v>3.3929999999999998</v>
      </c>
      <c r="Q39" s="630">
        <v>2.786</v>
      </c>
      <c r="R39" s="222">
        <f t="shared" si="5"/>
        <v>-17.889773062186848</v>
      </c>
      <c r="S39" s="530" t="s">
        <v>1</v>
      </c>
    </row>
    <row r="40" spans="1:19" ht="12.75" customHeight="1" x14ac:dyDescent="0.2">
      <c r="A40" s="8"/>
      <c r="B40" s="197" t="s">
        <v>222</v>
      </c>
      <c r="C40" s="635"/>
      <c r="D40" s="635"/>
      <c r="E40" s="635"/>
      <c r="F40" s="635"/>
      <c r="G40" s="635"/>
      <c r="H40" s="635"/>
      <c r="I40" s="635"/>
      <c r="J40" s="635"/>
      <c r="K40" s="635"/>
      <c r="L40" s="635"/>
      <c r="M40" s="635"/>
      <c r="N40" s="635">
        <v>8.0069999999999997</v>
      </c>
      <c r="O40" s="635">
        <v>4.7789999999999999</v>
      </c>
      <c r="P40" s="635">
        <v>5.109</v>
      </c>
      <c r="Q40" s="635">
        <v>4.883</v>
      </c>
      <c r="R40" s="224">
        <f t="shared" si="5"/>
        <v>-4.4235662556273212</v>
      </c>
      <c r="S40" s="197" t="s">
        <v>222</v>
      </c>
    </row>
    <row r="41" spans="1:19" ht="12.75" customHeight="1" x14ac:dyDescent="0.2">
      <c r="A41" s="8"/>
      <c r="B41" s="531" t="s">
        <v>58</v>
      </c>
      <c r="C41" s="647"/>
      <c r="D41" s="648"/>
      <c r="E41" s="648"/>
      <c r="F41" s="648">
        <v>12.86</v>
      </c>
      <c r="G41" s="648">
        <v>21.521000000000001</v>
      </c>
      <c r="H41" s="648">
        <v>92.186999999999998</v>
      </c>
      <c r="I41" s="648">
        <v>227.65700000000001</v>
      </c>
      <c r="J41" s="648">
        <v>389.50299999999999</v>
      </c>
      <c r="K41" s="648">
        <v>191.89699999999999</v>
      </c>
      <c r="L41" s="648">
        <v>189.572</v>
      </c>
      <c r="M41" s="648">
        <v>138.90299999999999</v>
      </c>
      <c r="N41" s="648">
        <f>106.878</f>
        <v>106.878</v>
      </c>
      <c r="O41" s="648">
        <f>191.866</f>
        <v>191.86600000000001</v>
      </c>
      <c r="P41" s="648">
        <v>176.87299999999999</v>
      </c>
      <c r="Q41" s="690">
        <v>163.59</v>
      </c>
      <c r="R41" s="248">
        <f t="shared" si="5"/>
        <v>-7.5099082392451066</v>
      </c>
      <c r="S41" s="531" t="s">
        <v>58</v>
      </c>
    </row>
    <row r="42" spans="1:19" ht="12.75" customHeight="1" x14ac:dyDescent="0.2">
      <c r="A42" s="8"/>
      <c r="B42" s="197" t="s">
        <v>44</v>
      </c>
      <c r="C42" s="634"/>
      <c r="D42" s="635">
        <v>0.214</v>
      </c>
      <c r="E42" s="635">
        <v>0.19700000000000001</v>
      </c>
      <c r="F42" s="635">
        <v>0.13800000000000001</v>
      </c>
      <c r="G42" s="635">
        <v>0.22500000000000001</v>
      </c>
      <c r="H42" s="635">
        <v>0.377</v>
      </c>
      <c r="I42" s="635">
        <v>1.08</v>
      </c>
      <c r="J42" s="635"/>
      <c r="K42" s="635"/>
      <c r="L42" s="635"/>
      <c r="M42" s="635"/>
      <c r="N42" s="635"/>
      <c r="O42" s="651"/>
      <c r="P42" s="651"/>
      <c r="Q42" s="685"/>
      <c r="R42" s="221"/>
      <c r="S42" s="197" t="s">
        <v>44</v>
      </c>
    </row>
    <row r="43" spans="1:19" ht="12.75" customHeight="1" x14ac:dyDescent="0.2">
      <c r="A43" s="8"/>
      <c r="B43" s="530" t="s">
        <v>74</v>
      </c>
      <c r="C43" s="627"/>
      <c r="D43" s="624"/>
      <c r="E43" s="624"/>
      <c r="F43" s="624">
        <v>6.0620000000000003</v>
      </c>
      <c r="G43" s="624">
        <v>5.4939999999999998</v>
      </c>
      <c r="H43" s="624">
        <v>5.609</v>
      </c>
      <c r="I43" s="624">
        <v>6.2169999999999996</v>
      </c>
      <c r="J43" s="624">
        <v>7.7640000000000002</v>
      </c>
      <c r="K43" s="624">
        <v>9.5909999999999993</v>
      </c>
      <c r="L43" s="624">
        <v>10.137</v>
      </c>
      <c r="M43" s="624">
        <v>4.3460000000000001</v>
      </c>
      <c r="N43" s="624">
        <f>3.965</f>
        <v>3.9649999999999999</v>
      </c>
      <c r="O43" s="624">
        <f>3.729</f>
        <v>3.7290000000000001</v>
      </c>
      <c r="P43" s="624">
        <v>3.95</v>
      </c>
      <c r="Q43" s="630">
        <v>3.9790000000000001</v>
      </c>
      <c r="R43" s="222">
        <f t="shared" si="5"/>
        <v>0.73417721518987378</v>
      </c>
      <c r="S43" s="530" t="s">
        <v>74</v>
      </c>
    </row>
    <row r="44" spans="1:19" ht="12.75" customHeight="1" x14ac:dyDescent="0.2">
      <c r="A44" s="8"/>
      <c r="B44" s="199" t="s">
        <v>45</v>
      </c>
      <c r="C44" s="642"/>
      <c r="D44" s="643">
        <v>50.811999999999998</v>
      </c>
      <c r="E44" s="643">
        <v>50.302999999999997</v>
      </c>
      <c r="F44" s="643">
        <v>47.292000000000002</v>
      </c>
      <c r="G44" s="643">
        <v>48.76</v>
      </c>
      <c r="H44" s="643">
        <v>47.722999999999999</v>
      </c>
      <c r="I44" s="643">
        <v>45.137</v>
      </c>
      <c r="J44" s="643">
        <v>45.57</v>
      </c>
      <c r="K44" s="643">
        <v>47.856999999999999</v>
      </c>
      <c r="L44" s="643">
        <v>48.633000000000003</v>
      </c>
      <c r="M44" s="643">
        <v>34.662999999999997</v>
      </c>
      <c r="N44" s="643">
        <f>33.68</f>
        <v>33.68</v>
      </c>
      <c r="O44" s="643">
        <f>37.475</f>
        <v>37.475000000000001</v>
      </c>
      <c r="P44" s="643">
        <v>38.963999999999999</v>
      </c>
      <c r="Q44" s="687">
        <v>37.896999999999998</v>
      </c>
      <c r="R44" s="226">
        <f t="shared" si="5"/>
        <v>-2.7384252130171518</v>
      </c>
      <c r="S44" s="199" t="s">
        <v>45</v>
      </c>
    </row>
    <row r="45" spans="1:19" ht="23.25" customHeight="1" x14ac:dyDescent="0.2">
      <c r="A45" s="8"/>
      <c r="B45" s="982" t="s">
        <v>250</v>
      </c>
      <c r="C45" s="982"/>
      <c r="D45" s="982"/>
      <c r="E45" s="982"/>
      <c r="F45" s="982"/>
      <c r="G45" s="982"/>
      <c r="H45" s="982"/>
      <c r="I45" s="982"/>
      <c r="J45" s="982"/>
      <c r="K45" s="982"/>
      <c r="L45" s="982"/>
      <c r="M45" s="982"/>
      <c r="N45" s="982"/>
      <c r="O45" s="982"/>
      <c r="P45" s="982"/>
      <c r="Q45" s="982"/>
      <c r="R45" s="982"/>
      <c r="S45" s="982"/>
    </row>
    <row r="46" spans="1:19" ht="11.25" customHeight="1" x14ac:dyDescent="0.2">
      <c r="A46" s="8"/>
      <c r="B46" s="982" t="s">
        <v>186</v>
      </c>
      <c r="C46" s="982"/>
      <c r="D46" s="982"/>
      <c r="E46" s="982"/>
      <c r="F46" s="982"/>
      <c r="G46" s="982"/>
      <c r="H46" s="982"/>
      <c r="I46" s="982"/>
      <c r="J46" s="982"/>
      <c r="K46" s="982"/>
      <c r="L46" s="982"/>
      <c r="M46" s="982"/>
      <c r="N46" s="982"/>
      <c r="O46" s="982"/>
      <c r="P46" s="982"/>
      <c r="Q46" s="982"/>
      <c r="R46" s="982"/>
      <c r="S46" s="982"/>
    </row>
    <row r="47" spans="1:19" ht="14.25" customHeight="1" x14ac:dyDescent="0.2">
      <c r="A47" s="8"/>
      <c r="B47" s="14" t="s">
        <v>195</v>
      </c>
      <c r="C47" s="14"/>
      <c r="D47" s="14"/>
      <c r="E47" s="14"/>
      <c r="F47" s="14"/>
      <c r="G47" s="14"/>
      <c r="H47" s="14"/>
      <c r="I47" s="14"/>
      <c r="M47" s="757"/>
      <c r="N47" s="757"/>
      <c r="O47" s="757"/>
      <c r="P47" s="757"/>
    </row>
    <row r="48" spans="1:19" ht="13.5" customHeight="1" x14ac:dyDescent="0.2">
      <c r="B48" s="966" t="s">
        <v>187</v>
      </c>
      <c r="C48" s="966"/>
      <c r="D48" s="966"/>
      <c r="E48" s="966"/>
      <c r="F48" s="966"/>
      <c r="G48" s="966"/>
      <c r="H48" s="966"/>
      <c r="I48" s="966"/>
      <c r="J48" s="966"/>
      <c r="K48" s="966"/>
      <c r="L48" s="966"/>
      <c r="M48" s="966"/>
      <c r="N48" s="966"/>
      <c r="O48" s="966"/>
      <c r="P48" s="966"/>
      <c r="Q48" s="966"/>
      <c r="R48" s="966"/>
      <c r="S48" s="966"/>
    </row>
  </sheetData>
  <mergeCells count="5">
    <mergeCell ref="B46:S46"/>
    <mergeCell ref="B48:S48"/>
    <mergeCell ref="B2:S2"/>
    <mergeCell ref="B3:S3"/>
    <mergeCell ref="B45:S45"/>
  </mergeCells>
  <phoneticPr fontId="4" type="noConversion"/>
  <printOptions horizontalCentered="1"/>
  <pageMargins left="0.6692913385826772" right="0.6692913385826772" top="0.51181102362204722" bottom="0.27559055118110237" header="0" footer="0"/>
  <pageSetup paperSize="9" scale="78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2">
    <pageSetUpPr fitToPage="1"/>
  </sheetPr>
  <dimension ref="A1:T46"/>
  <sheetViews>
    <sheetView topLeftCell="A9" workbookViewId="0">
      <selection activeCell="W21" sqref="W21"/>
    </sheetView>
  </sheetViews>
  <sheetFormatPr defaultRowHeight="12.75" x14ac:dyDescent="0.2"/>
  <cols>
    <col min="1" max="1" width="3.7109375" customWidth="1"/>
    <col min="2" max="2" width="4" style="5" customWidth="1"/>
    <col min="3" max="3" width="8.7109375" style="5" hidden="1" customWidth="1"/>
    <col min="4" max="15" width="8.7109375" style="5" customWidth="1"/>
    <col min="16" max="17" width="10" style="282" customWidth="1"/>
    <col min="18" max="18" width="7.85546875" style="282" customWidth="1"/>
    <col min="19" max="19" width="4.5703125" style="5" customWidth="1"/>
  </cols>
  <sheetData>
    <row r="1" spans="1:20" ht="14.25" customHeight="1" x14ac:dyDescent="0.2">
      <c r="B1" s="272"/>
      <c r="C1" s="272"/>
      <c r="D1" s="272"/>
      <c r="E1" s="272"/>
      <c r="F1" s="272"/>
      <c r="J1" s="16"/>
      <c r="K1" s="16"/>
      <c r="L1" s="16"/>
      <c r="M1" s="16"/>
      <c r="N1" s="440"/>
      <c r="O1" s="478"/>
      <c r="P1" s="273"/>
      <c r="Q1" s="273"/>
      <c r="R1" s="273"/>
      <c r="S1" s="16" t="s">
        <v>157</v>
      </c>
    </row>
    <row r="2" spans="1:20" s="46" customFormat="1" ht="30" customHeight="1" x14ac:dyDescent="0.2">
      <c r="B2" s="1000" t="s">
        <v>95</v>
      </c>
      <c r="C2" s="1000"/>
      <c r="D2" s="1000"/>
      <c r="E2" s="1000"/>
      <c r="F2" s="1000"/>
      <c r="G2" s="1000"/>
      <c r="H2" s="1000"/>
      <c r="I2" s="1000"/>
      <c r="J2" s="1000"/>
      <c r="K2" s="1000"/>
      <c r="L2" s="1000"/>
      <c r="M2" s="1000"/>
      <c r="N2" s="1000"/>
      <c r="O2" s="1000"/>
      <c r="P2" s="1000"/>
      <c r="Q2" s="1000"/>
      <c r="R2" s="1000"/>
      <c r="S2" s="1000"/>
    </row>
    <row r="3" spans="1:20" ht="15" customHeight="1" x14ac:dyDescent="0.2">
      <c r="B3" s="1001" t="s">
        <v>97</v>
      </c>
      <c r="C3" s="1001"/>
      <c r="D3" s="1001"/>
      <c r="E3" s="1001"/>
      <c r="F3" s="1001"/>
      <c r="G3" s="1001"/>
      <c r="H3" s="1001"/>
      <c r="I3" s="1001"/>
      <c r="J3" s="1001"/>
      <c r="K3" s="1001"/>
      <c r="L3" s="1001"/>
      <c r="M3" s="1001"/>
      <c r="N3" s="1001"/>
      <c r="O3" s="1001"/>
      <c r="P3" s="1001"/>
      <c r="Q3" s="1001"/>
      <c r="R3" s="1001"/>
      <c r="S3" s="1001"/>
    </row>
    <row r="4" spans="1:20" ht="12.75" customHeight="1" x14ac:dyDescent="0.2">
      <c r="L4" s="7"/>
      <c r="M4" s="7"/>
      <c r="N4" s="7"/>
      <c r="O4" s="7"/>
      <c r="P4" s="7" t="s">
        <v>3</v>
      </c>
      <c r="Q4" s="7"/>
      <c r="R4" s="7"/>
      <c r="S4" s="7"/>
    </row>
    <row r="5" spans="1:20" ht="37.5" customHeight="1" x14ac:dyDescent="0.2">
      <c r="C5" s="60">
        <v>1995</v>
      </c>
      <c r="D5" s="60">
        <v>2000</v>
      </c>
      <c r="E5" s="61">
        <v>2001</v>
      </c>
      <c r="F5" s="61">
        <v>2002</v>
      </c>
      <c r="G5" s="61">
        <v>2003</v>
      </c>
      <c r="H5" s="61">
        <v>2004</v>
      </c>
      <c r="I5" s="61">
        <v>2005</v>
      </c>
      <c r="J5" s="61">
        <v>2006</v>
      </c>
      <c r="K5" s="61">
        <v>2007</v>
      </c>
      <c r="L5" s="61">
        <v>2008</v>
      </c>
      <c r="M5" s="61">
        <v>2009</v>
      </c>
      <c r="N5" s="61">
        <v>2010</v>
      </c>
      <c r="O5" s="61">
        <v>2011</v>
      </c>
      <c r="P5" s="61">
        <v>2012</v>
      </c>
      <c r="Q5" s="539">
        <v>2013</v>
      </c>
      <c r="R5" s="283" t="s">
        <v>249</v>
      </c>
      <c r="S5" s="284"/>
    </row>
    <row r="6" spans="1:20" ht="12.75" customHeight="1" x14ac:dyDescent="0.2">
      <c r="B6" s="59" t="s">
        <v>236</v>
      </c>
      <c r="C6" s="285"/>
      <c r="D6" s="605"/>
      <c r="E6" s="605"/>
      <c r="F6" s="605"/>
      <c r="G6" s="605"/>
      <c r="H6" s="605"/>
      <c r="I6" s="605"/>
      <c r="J6" s="605"/>
      <c r="K6" s="605"/>
      <c r="L6" s="605"/>
      <c r="M6" s="606">
        <f t="shared" ref="M6:N6" si="0">SUM(M9:M36)</f>
        <v>760.12139435814845</v>
      </c>
      <c r="N6" s="606">
        <f t="shared" si="0"/>
        <v>646.81094504546866</v>
      </c>
      <c r="O6" s="606">
        <f>SUM(O9:O36)</f>
        <v>588.73198561920765</v>
      </c>
      <c r="P6" s="606">
        <f>SUM(P9:P36)</f>
        <v>493.52602819859095</v>
      </c>
      <c r="Q6" s="657">
        <f>SUM(Q9:Q36)</f>
        <v>396.20866728291406</v>
      </c>
      <c r="R6" s="446">
        <f>Q6/P6*100-100</f>
        <v>-19.71878996349858</v>
      </c>
      <c r="S6" s="59" t="s">
        <v>236</v>
      </c>
    </row>
    <row r="7" spans="1:20" ht="12.75" customHeight="1" x14ac:dyDescent="0.2">
      <c r="B7" s="57" t="s">
        <v>241</v>
      </c>
      <c r="C7" s="275"/>
      <c r="D7" s="656">
        <f t="shared" ref="D7:L7" si="1">SUM(D9,D12:D13,D15:D18,D24,D27:D28,D30,D34:D36,D20)</f>
        <v>1094.8990000000001</v>
      </c>
      <c r="E7" s="656">
        <f t="shared" si="1"/>
        <v>856.197</v>
      </c>
      <c r="F7" s="656">
        <f t="shared" si="1"/>
        <v>732.50199999999995</v>
      </c>
      <c r="G7" s="656">
        <f t="shared" si="1"/>
        <v>714.22500000000002</v>
      </c>
      <c r="H7" s="656">
        <f t="shared" si="1"/>
        <v>663.23799999999994</v>
      </c>
      <c r="I7" s="656">
        <f t="shared" si="1"/>
        <v>673.01900000000001</v>
      </c>
      <c r="J7" s="656">
        <f t="shared" si="1"/>
        <v>747.76400000000001</v>
      </c>
      <c r="K7" s="656">
        <f t="shared" si="1"/>
        <v>789.42799999999988</v>
      </c>
      <c r="L7" s="656">
        <f t="shared" si="1"/>
        <v>715.88300000000004</v>
      </c>
      <c r="M7" s="656">
        <f>SUM(M9,M12:M13,M15:M18,M24,M27:M28,M30,M34:M36,M20)</f>
        <v>630.56299999999987</v>
      </c>
      <c r="N7" s="656">
        <f t="shared" ref="N7:O7" si="2">SUM(N9,N12:N13,N15:N18,N24,N27:N28,N30,N34:N36,N20)</f>
        <v>551.53300000000002</v>
      </c>
      <c r="O7" s="656">
        <f t="shared" si="2"/>
        <v>496.47500000000002</v>
      </c>
      <c r="P7" s="656">
        <f t="shared" ref="P7" si="3">SUM(P9,P12:P13,P15:P18,P24,P27:P28,P30,P34:P36,P20)</f>
        <v>411.41600000000005</v>
      </c>
      <c r="Q7" s="656">
        <f t="shared" ref="Q7" si="4">SUM(Q9,Q12:Q13,Q15:Q18,Q24,Q27:Q28,Q30,Q34:Q36,Q20)</f>
        <v>328.88600000000002</v>
      </c>
      <c r="R7" s="444">
        <f t="shared" ref="R7:R44" si="5">Q7/P7*100-100</f>
        <v>-20.05998794407607</v>
      </c>
      <c r="S7" s="57" t="s">
        <v>241</v>
      </c>
    </row>
    <row r="8" spans="1:20" ht="12.75" customHeight="1" x14ac:dyDescent="0.2">
      <c r="B8" s="58" t="s">
        <v>245</v>
      </c>
      <c r="C8" s="276"/>
      <c r="D8" s="659"/>
      <c r="E8" s="659"/>
      <c r="F8" s="659"/>
      <c r="G8" s="659"/>
      <c r="H8" s="659"/>
      <c r="I8" s="659"/>
      <c r="J8" s="659"/>
      <c r="K8" s="659"/>
      <c r="L8" s="659"/>
      <c r="M8" s="761">
        <f t="shared" ref="M8:N8" si="6">M6-M7</f>
        <v>129.55839435814858</v>
      </c>
      <c r="N8" s="761">
        <f t="shared" si="6"/>
        <v>95.277945045468641</v>
      </c>
      <c r="O8" s="761">
        <f>O6-O7</f>
        <v>92.256985619207626</v>
      </c>
      <c r="P8" s="761">
        <f>P6-P7</f>
        <v>82.110028198590896</v>
      </c>
      <c r="Q8" s="657">
        <f>Q6-Q7</f>
        <v>67.32266728291404</v>
      </c>
      <c r="R8" s="445">
        <f t="shared" si="5"/>
        <v>-18.009202091506069</v>
      </c>
      <c r="S8" s="58" t="s">
        <v>245</v>
      </c>
    </row>
    <row r="9" spans="1:20" ht="12.75" customHeight="1" x14ac:dyDescent="0.2">
      <c r="A9" s="8"/>
      <c r="B9" s="9" t="s">
        <v>63</v>
      </c>
      <c r="C9" s="277">
        <v>27.582000000000001</v>
      </c>
      <c r="D9" s="615">
        <v>33.191000000000003</v>
      </c>
      <c r="E9" s="615">
        <v>30.190999999999999</v>
      </c>
      <c r="F9" s="615">
        <v>26.651</v>
      </c>
      <c r="G9" s="615">
        <v>20.581</v>
      </c>
      <c r="H9" s="615">
        <v>17.751000000000001</v>
      </c>
      <c r="I9" s="615">
        <v>17.347000000000001</v>
      </c>
      <c r="J9" s="615">
        <v>20.279</v>
      </c>
      <c r="K9" s="615">
        <v>21.434000000000001</v>
      </c>
      <c r="L9" s="615">
        <v>19.614000000000001</v>
      </c>
      <c r="M9" s="615">
        <v>17.044</v>
      </c>
      <c r="N9" s="615">
        <v>14.209</v>
      </c>
      <c r="O9" s="615">
        <f>12.125</f>
        <v>12.125</v>
      </c>
      <c r="P9" s="615">
        <v>10.385999999999999</v>
      </c>
      <c r="Q9" s="684">
        <v>8.8239999999999998</v>
      </c>
      <c r="R9" s="417">
        <f t="shared" si="5"/>
        <v>-15.039476217985751</v>
      </c>
      <c r="S9" s="9" t="s">
        <v>63</v>
      </c>
    </row>
    <row r="10" spans="1:20" ht="12.75" customHeight="1" x14ac:dyDescent="0.2">
      <c r="A10" s="8"/>
      <c r="B10" s="57" t="s">
        <v>46</v>
      </c>
      <c r="C10" s="278"/>
      <c r="D10" s="619">
        <v>2.052</v>
      </c>
      <c r="E10" s="619">
        <v>2.1989999999999998</v>
      </c>
      <c r="F10" s="619">
        <v>2.4119999999999999</v>
      </c>
      <c r="G10" s="619">
        <v>2.6219999999999999</v>
      </c>
      <c r="H10" s="661">
        <f>AVERAGE(G10,I10)</f>
        <v>1.8434999999999999</v>
      </c>
      <c r="I10" s="619">
        <v>1.0649999999999999</v>
      </c>
      <c r="J10" s="619">
        <v>1.4890000000000001</v>
      </c>
      <c r="K10" s="619">
        <v>2.101</v>
      </c>
      <c r="L10" s="619">
        <v>3.9649999999999999</v>
      </c>
      <c r="M10" s="619">
        <v>2.4910000000000001</v>
      </c>
      <c r="N10" s="619">
        <v>2.1469999999999998</v>
      </c>
      <c r="O10" s="619">
        <v>1.6839999999999999</v>
      </c>
      <c r="P10" s="619">
        <v>1.7270000000000001</v>
      </c>
      <c r="Q10" s="660">
        <v>1.272</v>
      </c>
      <c r="R10" s="443">
        <f t="shared" si="5"/>
        <v>-26.346265199768396</v>
      </c>
      <c r="S10" s="57" t="s">
        <v>46</v>
      </c>
      <c r="T10" s="93" t="s">
        <v>229</v>
      </c>
    </row>
    <row r="11" spans="1:20" ht="12.75" customHeight="1" x14ac:dyDescent="0.2">
      <c r="A11" s="8"/>
      <c r="B11" s="10" t="s">
        <v>48</v>
      </c>
      <c r="C11" s="279"/>
      <c r="D11" s="624"/>
      <c r="E11" s="624"/>
      <c r="F11" s="624"/>
      <c r="G11" s="624">
        <v>7.7240000000000002</v>
      </c>
      <c r="H11" s="624">
        <v>6.9029999999999996</v>
      </c>
      <c r="I11" s="624">
        <v>8.0169999999999995</v>
      </c>
      <c r="J11" s="624">
        <v>6.0789999999999997</v>
      </c>
      <c r="K11" s="624">
        <v>6.1210000000000004</v>
      </c>
      <c r="L11" s="624">
        <v>5.7069999999999999</v>
      </c>
      <c r="M11" s="624">
        <v>4.327</v>
      </c>
      <c r="N11" s="624">
        <v>2.8530000000000002</v>
      </c>
      <c r="O11" s="624">
        <f>2.142</f>
        <v>2.1419999999999999</v>
      </c>
      <c r="P11" s="624">
        <v>2.3420000000000001</v>
      </c>
      <c r="Q11" s="688">
        <v>2.3360996765583817</v>
      </c>
      <c r="R11" s="756">
        <f t="shared" si="5"/>
        <v>-0.25193524515877641</v>
      </c>
      <c r="S11" s="10" t="s">
        <v>48</v>
      </c>
      <c r="T11" s="93" t="s">
        <v>254</v>
      </c>
    </row>
    <row r="12" spans="1:20" ht="12.75" customHeight="1" x14ac:dyDescent="0.2">
      <c r="A12" s="8"/>
      <c r="B12" s="57" t="s">
        <v>59</v>
      </c>
      <c r="C12" s="278">
        <v>10.818</v>
      </c>
      <c r="D12" s="619">
        <v>9.766</v>
      </c>
      <c r="E12" s="619">
        <v>6.7960000000000003</v>
      </c>
      <c r="F12" s="619">
        <v>5.048</v>
      </c>
      <c r="G12" s="619">
        <v>3.758</v>
      </c>
      <c r="H12" s="619">
        <v>4.1970000000000001</v>
      </c>
      <c r="I12" s="619">
        <v>4.9160000000000004</v>
      </c>
      <c r="J12" s="619">
        <v>4.4619999999999997</v>
      </c>
      <c r="K12" s="619">
        <v>4.5179999999999998</v>
      </c>
      <c r="L12" s="619">
        <v>3.67</v>
      </c>
      <c r="M12" s="619">
        <v>17.509</v>
      </c>
      <c r="N12" s="619">
        <v>16.545999999999999</v>
      </c>
      <c r="O12" s="619">
        <v>12.114000000000001</v>
      </c>
      <c r="P12" s="619">
        <v>10.811999999999999</v>
      </c>
      <c r="Q12" s="660">
        <v>8.1609999999999996</v>
      </c>
      <c r="R12" s="443">
        <f t="shared" si="5"/>
        <v>-24.519052904180541</v>
      </c>
      <c r="S12" s="57" t="s">
        <v>59</v>
      </c>
    </row>
    <row r="13" spans="1:20" ht="12.75" customHeight="1" x14ac:dyDescent="0.2">
      <c r="A13" s="8"/>
      <c r="B13" s="10" t="s">
        <v>64</v>
      </c>
      <c r="C13" s="279">
        <v>124.497</v>
      </c>
      <c r="D13" s="624">
        <v>108.67100000000001</v>
      </c>
      <c r="E13" s="624">
        <v>112.322</v>
      </c>
      <c r="F13" s="624">
        <v>94.576999999999998</v>
      </c>
      <c r="G13" s="624">
        <v>93.02</v>
      </c>
      <c r="H13" s="624">
        <v>81.28</v>
      </c>
      <c r="I13" s="624">
        <v>97.332999999999998</v>
      </c>
      <c r="J13" s="624">
        <v>109.90600000000001</v>
      </c>
      <c r="K13" s="624">
        <v>94.215000000000003</v>
      </c>
      <c r="L13" s="624">
        <v>79.56</v>
      </c>
      <c r="M13" s="624">
        <v>74.688000000000002</v>
      </c>
      <c r="N13" s="624">
        <v>64.938999999999993</v>
      </c>
      <c r="O13" s="624">
        <f>57.367</f>
        <v>57.366999999999997</v>
      </c>
      <c r="P13" s="624">
        <v>50.59</v>
      </c>
      <c r="Q13" s="630">
        <v>41.36</v>
      </c>
      <c r="R13" s="222">
        <f t="shared" si="5"/>
        <v>-18.244712393753716</v>
      </c>
      <c r="S13" s="10" t="s">
        <v>64</v>
      </c>
    </row>
    <row r="14" spans="1:20" ht="12.75" customHeight="1" x14ac:dyDescent="0.2">
      <c r="A14" s="8"/>
      <c r="B14" s="57" t="s">
        <v>49</v>
      </c>
      <c r="C14" s="278"/>
      <c r="D14" s="619"/>
      <c r="E14" s="619"/>
      <c r="F14" s="619"/>
      <c r="G14" s="619"/>
      <c r="H14" s="619">
        <v>6.9029999999999996</v>
      </c>
      <c r="I14" s="619">
        <v>8.0169999999999995</v>
      </c>
      <c r="J14" s="619">
        <v>6.0789999999999997</v>
      </c>
      <c r="K14" s="619">
        <v>6.1210000000000004</v>
      </c>
      <c r="L14" s="619">
        <v>5.7069999999999999</v>
      </c>
      <c r="M14" s="632">
        <v>2.3E-2</v>
      </c>
      <c r="N14" s="619">
        <v>1.6E-2</v>
      </c>
      <c r="O14" s="619">
        <f>0.003</f>
        <v>3.0000000000000001E-3</v>
      </c>
      <c r="P14" s="632">
        <v>0.66200000000000003</v>
      </c>
      <c r="Q14" s="660">
        <v>0.66200000000000003</v>
      </c>
      <c r="R14" s="443">
        <f t="shared" si="5"/>
        <v>0</v>
      </c>
      <c r="S14" s="57" t="s">
        <v>49</v>
      </c>
    </row>
    <row r="15" spans="1:20" ht="12.75" customHeight="1" x14ac:dyDescent="0.2">
      <c r="A15" s="8"/>
      <c r="B15" s="10" t="s">
        <v>67</v>
      </c>
      <c r="C15" s="279">
        <v>0.437</v>
      </c>
      <c r="D15" s="624">
        <v>3.0230000000000001</v>
      </c>
      <c r="E15" s="624">
        <v>2.214</v>
      </c>
      <c r="F15" s="624">
        <v>2.3490000000000002</v>
      </c>
      <c r="G15" s="624">
        <v>2.14</v>
      </c>
      <c r="H15" s="624">
        <v>1.2989999999999999</v>
      </c>
      <c r="I15" s="624">
        <v>0.84899999999999998</v>
      </c>
      <c r="J15" s="624">
        <v>0.69799999999999995</v>
      </c>
      <c r="K15" s="624">
        <v>0.64100000000000001</v>
      </c>
      <c r="L15" s="624">
        <v>0.54900000000000004</v>
      </c>
      <c r="M15" s="624">
        <v>0.44700000000000001</v>
      </c>
      <c r="N15" s="624">
        <v>0.20599999999999999</v>
      </c>
      <c r="O15" s="624">
        <f>0.201</f>
        <v>0.20100000000000001</v>
      </c>
      <c r="P15" s="624">
        <v>0.18099999999999999</v>
      </c>
      <c r="Q15" s="630">
        <v>0.16900000000000001</v>
      </c>
      <c r="R15" s="222">
        <f t="shared" si="5"/>
        <v>-6.6298342541436455</v>
      </c>
      <c r="S15" s="10" t="s">
        <v>67</v>
      </c>
    </row>
    <row r="16" spans="1:20" ht="12.75" customHeight="1" x14ac:dyDescent="0.2">
      <c r="A16" s="8"/>
      <c r="B16" s="57" t="s">
        <v>60</v>
      </c>
      <c r="C16" s="278">
        <v>13.5</v>
      </c>
      <c r="D16" s="619">
        <v>19.242999999999999</v>
      </c>
      <c r="E16" s="619">
        <v>21.149000000000001</v>
      </c>
      <c r="F16" s="619">
        <v>20.221</v>
      </c>
      <c r="G16" s="619">
        <v>20.920999999999999</v>
      </c>
      <c r="H16" s="619">
        <v>21.856000000000002</v>
      </c>
      <c r="I16" s="619">
        <v>24.106999999999999</v>
      </c>
      <c r="J16" s="619">
        <v>36.295000000000002</v>
      </c>
      <c r="K16" s="619">
        <v>21.899000000000001</v>
      </c>
      <c r="L16" s="619">
        <v>25.01</v>
      </c>
      <c r="M16" s="619">
        <v>20.387</v>
      </c>
      <c r="N16" s="619">
        <v>18.858000000000001</v>
      </c>
      <c r="O16" s="619">
        <f>17.257</f>
        <v>17.257000000000001</v>
      </c>
      <c r="P16" s="619">
        <v>13.276</v>
      </c>
      <c r="Q16" s="660">
        <v>8.6140000000000008</v>
      </c>
      <c r="R16" s="443">
        <f t="shared" si="5"/>
        <v>-35.115998794817699</v>
      </c>
      <c r="S16" s="57" t="s">
        <v>60</v>
      </c>
    </row>
    <row r="17" spans="1:20" ht="12.75" customHeight="1" x14ac:dyDescent="0.2">
      <c r="A17" s="8"/>
      <c r="B17" s="10" t="s">
        <v>65</v>
      </c>
      <c r="C17" s="279">
        <v>155.22999999999999</v>
      </c>
      <c r="D17" s="624">
        <v>248.63300000000001</v>
      </c>
      <c r="E17" s="624">
        <v>176.489</v>
      </c>
      <c r="F17" s="624">
        <v>113.756</v>
      </c>
      <c r="G17" s="624">
        <v>110.42100000000001</v>
      </c>
      <c r="H17" s="624">
        <v>118.128</v>
      </c>
      <c r="I17" s="624">
        <v>115.142</v>
      </c>
      <c r="J17" s="624">
        <v>137.46</v>
      </c>
      <c r="K17" s="624">
        <v>125.86199999999999</v>
      </c>
      <c r="L17" s="624">
        <v>84.221999999999994</v>
      </c>
      <c r="M17" s="624">
        <v>43.954000000000001</v>
      </c>
      <c r="N17" s="624">
        <v>34.186999999999998</v>
      </c>
      <c r="O17" s="624">
        <f>23.26</f>
        <v>23.26</v>
      </c>
      <c r="P17" s="624">
        <v>18.710999999999999</v>
      </c>
      <c r="Q17" s="630">
        <v>15.416</v>
      </c>
      <c r="R17" s="222">
        <f t="shared" si="5"/>
        <v>-17.609962054406495</v>
      </c>
      <c r="S17" s="10" t="s">
        <v>65</v>
      </c>
    </row>
    <row r="18" spans="1:20" ht="12.75" customHeight="1" x14ac:dyDescent="0.2">
      <c r="A18" s="8"/>
      <c r="B18" s="57" t="s">
        <v>66</v>
      </c>
      <c r="C18" s="278">
        <v>218.19800000000001</v>
      </c>
      <c r="D18" s="619">
        <v>192.273</v>
      </c>
      <c r="E18" s="619">
        <v>184.666</v>
      </c>
      <c r="F18" s="619">
        <v>166.124</v>
      </c>
      <c r="G18" s="619">
        <v>166.12700000000001</v>
      </c>
      <c r="H18" s="619">
        <v>166.00299999999999</v>
      </c>
      <c r="I18" s="619">
        <v>154.922</v>
      </c>
      <c r="J18" s="619">
        <v>184.869</v>
      </c>
      <c r="K18" s="619">
        <v>209.45099999999999</v>
      </c>
      <c r="L18" s="619">
        <v>190.315</v>
      </c>
      <c r="M18" s="619">
        <v>156.96299999999999</v>
      </c>
      <c r="N18" s="619">
        <v>144.46700000000001</v>
      </c>
      <c r="O18" s="619">
        <f>146.442</f>
        <v>146.44200000000001</v>
      </c>
      <c r="P18" s="619">
        <v>127.20099999999999</v>
      </c>
      <c r="Q18" s="660">
        <v>106.054</v>
      </c>
      <c r="R18" s="443">
        <f t="shared" si="5"/>
        <v>-16.62486930134196</v>
      </c>
      <c r="S18" s="57" t="s">
        <v>66</v>
      </c>
    </row>
    <row r="19" spans="1:20" ht="12.75" customHeight="1" x14ac:dyDescent="0.2">
      <c r="A19" s="8"/>
      <c r="B19" s="10" t="s">
        <v>77</v>
      </c>
      <c r="C19" s="279"/>
      <c r="D19" s="624"/>
      <c r="E19" s="624"/>
      <c r="F19" s="624"/>
      <c r="G19" s="624"/>
      <c r="H19" s="624"/>
      <c r="I19" s="624">
        <v>13.233000000000001</v>
      </c>
      <c r="J19" s="624">
        <v>15.228</v>
      </c>
      <c r="K19" s="624">
        <v>18.158999999999999</v>
      </c>
      <c r="L19" s="624">
        <v>19.785</v>
      </c>
      <c r="M19" s="624">
        <v>10.57</v>
      </c>
      <c r="N19" s="624">
        <v>6.4420000000000002</v>
      </c>
      <c r="O19" s="624">
        <f>5.352</f>
        <v>5.3520000000000003</v>
      </c>
      <c r="P19" s="624">
        <v>4.05</v>
      </c>
      <c r="Q19" s="630">
        <v>3.1190000000000002</v>
      </c>
      <c r="R19" s="222">
        <f t="shared" si="5"/>
        <v>-22.987654320987644</v>
      </c>
      <c r="S19" s="10" t="s">
        <v>77</v>
      </c>
    </row>
    <row r="20" spans="1:20" ht="12.75" customHeight="1" x14ac:dyDescent="0.2">
      <c r="A20" s="8"/>
      <c r="B20" s="197" t="s">
        <v>68</v>
      </c>
      <c r="C20" s="495">
        <v>575.11199999999997</v>
      </c>
      <c r="D20" s="635">
        <v>311.83600000000001</v>
      </c>
      <c r="E20" s="635">
        <v>175.54300000000001</v>
      </c>
      <c r="F20" s="635">
        <v>166.755</v>
      </c>
      <c r="G20" s="635">
        <v>161.893</v>
      </c>
      <c r="H20" s="635">
        <v>132.36699999999999</v>
      </c>
      <c r="I20" s="635">
        <v>128.28399999999999</v>
      </c>
      <c r="J20" s="635">
        <v>109.85</v>
      </c>
      <c r="K20" s="635">
        <v>130.696</v>
      </c>
      <c r="L20" s="635">
        <v>123.11</v>
      </c>
      <c r="M20" s="635">
        <v>114.36799999999999</v>
      </c>
      <c r="N20" s="635">
        <v>88.433999999999997</v>
      </c>
      <c r="O20" s="635">
        <f>75.354</f>
        <v>75.353999999999999</v>
      </c>
      <c r="P20" s="635">
        <v>51.716999999999999</v>
      </c>
      <c r="Q20" s="685">
        <v>33.575000000000003</v>
      </c>
      <c r="R20" s="221">
        <f t="shared" si="5"/>
        <v>-35.07937428698493</v>
      </c>
      <c r="S20" s="197" t="s">
        <v>68</v>
      </c>
    </row>
    <row r="21" spans="1:20" ht="12.75" customHeight="1" x14ac:dyDescent="0.2">
      <c r="A21" s="8"/>
      <c r="B21" s="10" t="s">
        <v>47</v>
      </c>
      <c r="C21" s="279"/>
      <c r="D21" s="624"/>
      <c r="E21" s="624"/>
      <c r="F21" s="624">
        <v>2.3149999999999999</v>
      </c>
      <c r="G21" s="624">
        <v>2.6520000000000001</v>
      </c>
      <c r="H21" s="624">
        <v>2.4119999999999999</v>
      </c>
      <c r="I21" s="624">
        <v>2.08</v>
      </c>
      <c r="J21" s="624">
        <v>1.7390000000000001</v>
      </c>
      <c r="K21" s="624">
        <v>1.7470000000000001</v>
      </c>
      <c r="L21" s="624">
        <v>1.7310000000000001</v>
      </c>
      <c r="M21" s="624">
        <v>1.4159999999999999</v>
      </c>
      <c r="N21" s="624">
        <v>0.45700000000000002</v>
      </c>
      <c r="O21" s="624">
        <f>0.447</f>
        <v>0.44700000000000001</v>
      </c>
      <c r="P21" s="624">
        <v>0.26400000000000001</v>
      </c>
      <c r="Q21" s="630">
        <v>0.20699999999999999</v>
      </c>
      <c r="R21" s="222">
        <f t="shared" si="5"/>
        <v>-21.590909090909093</v>
      </c>
      <c r="S21" s="10" t="s">
        <v>47</v>
      </c>
    </row>
    <row r="22" spans="1:20" ht="12.75" customHeight="1" x14ac:dyDescent="0.2">
      <c r="A22" s="8"/>
      <c r="B22" s="197" t="s">
        <v>51</v>
      </c>
      <c r="C22" s="495"/>
      <c r="D22" s="635"/>
      <c r="E22" s="635"/>
      <c r="F22" s="635"/>
      <c r="G22" s="635"/>
      <c r="H22" s="635">
        <v>0.45700000000000002</v>
      </c>
      <c r="I22" s="635">
        <v>0.63700000000000001</v>
      </c>
      <c r="J22" s="635">
        <v>1.7110000000000001</v>
      </c>
      <c r="K22" s="635">
        <v>3.464</v>
      </c>
      <c r="L22" s="635">
        <v>3.73</v>
      </c>
      <c r="M22" s="635">
        <v>0.64900000000000002</v>
      </c>
      <c r="N22" s="635">
        <v>0.97</v>
      </c>
      <c r="O22" s="635">
        <f>1.343</f>
        <v>1.343</v>
      </c>
      <c r="P22" s="635">
        <v>1.6539999999999999</v>
      </c>
      <c r="Q22" s="685">
        <v>1.556</v>
      </c>
      <c r="R22" s="221">
        <f t="shared" si="5"/>
        <v>-5.9250302297460706</v>
      </c>
      <c r="S22" s="197" t="s">
        <v>51</v>
      </c>
    </row>
    <row r="23" spans="1:20" ht="12.75" customHeight="1" x14ac:dyDescent="0.2">
      <c r="A23" s="8"/>
      <c r="B23" s="10" t="s">
        <v>52</v>
      </c>
      <c r="C23" s="279"/>
      <c r="D23" s="624"/>
      <c r="E23" s="624"/>
      <c r="F23" s="624"/>
      <c r="G23" s="624"/>
      <c r="H23" s="624"/>
      <c r="I23" s="624"/>
      <c r="J23" s="624"/>
      <c r="K23" s="624"/>
      <c r="L23" s="624">
        <v>5.4039999999999999</v>
      </c>
      <c r="M23" s="624">
        <v>3.4990000000000001</v>
      </c>
      <c r="N23" s="624">
        <v>1.18</v>
      </c>
      <c r="O23" s="624">
        <f>1.319</f>
        <v>1.319</v>
      </c>
      <c r="P23" s="624">
        <v>0.96899999999999997</v>
      </c>
      <c r="Q23" s="630">
        <v>0.98699999999999999</v>
      </c>
      <c r="R23" s="222">
        <f t="shared" si="5"/>
        <v>1.8575851393188856</v>
      </c>
      <c r="S23" s="10" t="s">
        <v>52</v>
      </c>
    </row>
    <row r="24" spans="1:20" ht="12.75" customHeight="1" x14ac:dyDescent="0.2">
      <c r="A24" s="8"/>
      <c r="B24" s="197" t="s">
        <v>69</v>
      </c>
      <c r="C24" s="495"/>
      <c r="D24" s="635">
        <v>0.45400000000000001</v>
      </c>
      <c r="E24" s="635">
        <v>0.437</v>
      </c>
      <c r="F24" s="635">
        <v>0.48299999999999998</v>
      </c>
      <c r="G24" s="635">
        <v>0.63</v>
      </c>
      <c r="H24" s="635">
        <v>0.55200000000000005</v>
      </c>
      <c r="I24" s="635">
        <v>0.52800000000000002</v>
      </c>
      <c r="J24" s="635">
        <v>0.65700000000000003</v>
      </c>
      <c r="K24" s="635">
        <v>0.60399999999999998</v>
      </c>
      <c r="L24" s="635">
        <v>0.67700000000000005</v>
      </c>
      <c r="M24" s="635">
        <v>0.64500000000000002</v>
      </c>
      <c r="N24" s="635">
        <v>0.69899999999999995</v>
      </c>
      <c r="O24" s="635">
        <f>0.884</f>
        <v>0.88400000000000001</v>
      </c>
      <c r="P24" s="635">
        <v>0.97599999999999998</v>
      </c>
      <c r="Q24" s="685">
        <v>1.0760000000000001</v>
      </c>
      <c r="R24" s="221">
        <f t="shared" si="5"/>
        <v>10.245901639344268</v>
      </c>
      <c r="S24" s="197" t="s">
        <v>69</v>
      </c>
    </row>
    <row r="25" spans="1:20" ht="12.75" customHeight="1" x14ac:dyDescent="0.2">
      <c r="A25" s="8"/>
      <c r="B25" s="10" t="s">
        <v>50</v>
      </c>
      <c r="C25" s="279"/>
      <c r="D25" s="624"/>
      <c r="E25" s="624"/>
      <c r="F25" s="624"/>
      <c r="G25" s="624"/>
      <c r="H25" s="624"/>
      <c r="I25" s="624"/>
      <c r="J25" s="624"/>
      <c r="K25" s="624"/>
      <c r="L25" s="637">
        <v>11.088659415107342</v>
      </c>
      <c r="M25" s="637">
        <v>5.4334189540724775</v>
      </c>
      <c r="N25" s="637">
        <v>3.5558148443735038</v>
      </c>
      <c r="O25" s="637">
        <v>2.9422083159890851</v>
      </c>
      <c r="P25" s="637">
        <v>3.1834551539491303</v>
      </c>
      <c r="Q25" s="637">
        <v>3.3980370952094967</v>
      </c>
      <c r="R25" s="459">
        <f t="shared" si="5"/>
        <v>6.7405360177344988</v>
      </c>
      <c r="S25" s="10" t="s">
        <v>50</v>
      </c>
      <c r="T25" s="93" t="s">
        <v>255</v>
      </c>
    </row>
    <row r="26" spans="1:20" ht="12.75" customHeight="1" x14ac:dyDescent="0.2">
      <c r="A26" s="8"/>
      <c r="B26" s="197" t="s">
        <v>53</v>
      </c>
      <c r="C26" s="495"/>
      <c r="D26" s="635"/>
      <c r="E26" s="635"/>
      <c r="F26" s="635"/>
      <c r="G26" s="635"/>
      <c r="H26" s="635"/>
      <c r="I26" s="635"/>
      <c r="J26" s="635"/>
      <c r="K26" s="635"/>
      <c r="L26" s="641"/>
      <c r="M26" s="641">
        <v>0.476975404075896</v>
      </c>
      <c r="N26" s="641">
        <v>0.1651302010950966</v>
      </c>
      <c r="O26" s="641">
        <v>0.17477730321835039</v>
      </c>
      <c r="P26" s="641">
        <v>0.10157304464177108</v>
      </c>
      <c r="Q26" s="641">
        <v>8.753051114613826E-2</v>
      </c>
      <c r="R26" s="225">
        <f t="shared" si="5"/>
        <v>-13.825059143553474</v>
      </c>
      <c r="S26" s="197" t="s">
        <v>53</v>
      </c>
      <c r="T26" s="93" t="s">
        <v>228</v>
      </c>
    </row>
    <row r="27" spans="1:20" ht="12.75" customHeight="1" x14ac:dyDescent="0.2">
      <c r="A27" s="8"/>
      <c r="B27" s="10" t="s">
        <v>61</v>
      </c>
      <c r="C27" s="279">
        <v>59.152999999999999</v>
      </c>
      <c r="D27" s="624">
        <v>66.941000000000003</v>
      </c>
      <c r="E27" s="624">
        <v>56.206000000000003</v>
      </c>
      <c r="F27" s="624">
        <v>53.856999999999999</v>
      </c>
      <c r="G27" s="624">
        <v>45.878</v>
      </c>
      <c r="H27" s="624">
        <v>39.131</v>
      </c>
      <c r="I27" s="624">
        <v>40.857999999999997</v>
      </c>
      <c r="J27" s="624">
        <v>48.776000000000003</v>
      </c>
      <c r="K27" s="624">
        <v>57.427</v>
      </c>
      <c r="L27" s="624">
        <v>69.593999999999994</v>
      </c>
      <c r="M27" s="624">
        <v>93.820999999999998</v>
      </c>
      <c r="N27" s="624">
        <v>93.716999999999999</v>
      </c>
      <c r="O27" s="624">
        <f>82.146</f>
        <v>82.146000000000001</v>
      </c>
      <c r="P27" s="624">
        <v>68.492999999999995</v>
      </c>
      <c r="Q27" s="630">
        <v>59.353000000000002</v>
      </c>
      <c r="R27" s="222">
        <f t="shared" si="5"/>
        <v>-13.344429357744588</v>
      </c>
      <c r="S27" s="10" t="s">
        <v>61</v>
      </c>
    </row>
    <row r="28" spans="1:20" ht="12.75" customHeight="1" x14ac:dyDescent="0.2">
      <c r="A28" s="8"/>
      <c r="B28" s="197" t="s">
        <v>70</v>
      </c>
      <c r="C28" s="495">
        <v>10.742000000000001</v>
      </c>
      <c r="D28" s="635">
        <v>21.335000000000001</v>
      </c>
      <c r="E28" s="635">
        <v>20.459</v>
      </c>
      <c r="F28" s="635">
        <v>16.277999999999999</v>
      </c>
      <c r="G28" s="635">
        <v>19.914000000000001</v>
      </c>
      <c r="H28" s="635">
        <v>21.710999999999999</v>
      </c>
      <c r="I28" s="635">
        <v>27.728000000000002</v>
      </c>
      <c r="J28" s="635">
        <v>28.292000000000002</v>
      </c>
      <c r="K28" s="635">
        <v>30.933</v>
      </c>
      <c r="L28" s="635">
        <v>30.97</v>
      </c>
      <c r="M28" s="635">
        <v>26.056999999999999</v>
      </c>
      <c r="N28" s="635">
        <v>24.905999999999999</v>
      </c>
      <c r="O28" s="635">
        <f>23.916</f>
        <v>23.916</v>
      </c>
      <c r="P28" s="635">
        <v>21.094999999999999</v>
      </c>
      <c r="Q28" s="685">
        <v>16.927</v>
      </c>
      <c r="R28" s="221">
        <f t="shared" si="5"/>
        <v>-19.758236548945234</v>
      </c>
      <c r="S28" s="197" t="s">
        <v>70</v>
      </c>
    </row>
    <row r="29" spans="1:20" ht="12.75" customHeight="1" x14ac:dyDescent="0.2">
      <c r="A29" s="8"/>
      <c r="B29" s="10" t="s">
        <v>54</v>
      </c>
      <c r="C29" s="279"/>
      <c r="D29" s="624"/>
      <c r="E29" s="624"/>
      <c r="F29" s="624"/>
      <c r="G29" s="624"/>
      <c r="H29" s="624"/>
      <c r="I29" s="624">
        <v>23.309000000000001</v>
      </c>
      <c r="J29" s="624">
        <v>43.57</v>
      </c>
      <c r="K29" s="624">
        <v>91.912999999999997</v>
      </c>
      <c r="L29" s="624">
        <v>135.994</v>
      </c>
      <c r="M29" s="624">
        <v>94.031000000000006</v>
      </c>
      <c r="N29" s="624">
        <v>72.186000000000007</v>
      </c>
      <c r="O29" s="624">
        <f>69.26</f>
        <v>69.260000000000005</v>
      </c>
      <c r="P29" s="624">
        <v>59.991</v>
      </c>
      <c r="Q29" s="630">
        <v>48.749000000000002</v>
      </c>
      <c r="R29" s="222">
        <f t="shared" si="5"/>
        <v>-18.739477588304908</v>
      </c>
      <c r="S29" s="10" t="s">
        <v>54</v>
      </c>
    </row>
    <row r="30" spans="1:20" ht="12.75" customHeight="1" x14ac:dyDescent="0.2">
      <c r="A30" s="8"/>
      <c r="B30" s="197" t="s">
        <v>71</v>
      </c>
      <c r="C30" s="495">
        <v>42</v>
      </c>
      <c r="D30" s="635">
        <v>14.968999999999999</v>
      </c>
      <c r="E30" s="635">
        <v>7.6360000000000001</v>
      </c>
      <c r="F30" s="635"/>
      <c r="G30" s="635"/>
      <c r="H30" s="635"/>
      <c r="I30" s="635"/>
      <c r="J30" s="635">
        <v>1.982</v>
      </c>
      <c r="K30" s="635">
        <v>7.8860000000000001</v>
      </c>
      <c r="L30" s="635">
        <v>7.2359999999999998</v>
      </c>
      <c r="M30" s="635">
        <v>5.6929999999999996</v>
      </c>
      <c r="N30" s="635">
        <v>4.6459999999999999</v>
      </c>
      <c r="O30" s="635">
        <f>3.791</f>
        <v>3.7909999999999999</v>
      </c>
      <c r="P30" s="635">
        <v>3.2330000000000001</v>
      </c>
      <c r="Q30" s="685">
        <v>2.4510000000000001</v>
      </c>
      <c r="R30" s="221">
        <f t="shared" si="5"/>
        <v>-24.188060624806681</v>
      </c>
      <c r="S30" s="197" t="s">
        <v>71</v>
      </c>
    </row>
    <row r="31" spans="1:20" ht="12.75" customHeight="1" x14ac:dyDescent="0.2">
      <c r="A31" s="8"/>
      <c r="B31" s="10" t="s">
        <v>55</v>
      </c>
      <c r="C31" s="279"/>
      <c r="D31" s="624"/>
      <c r="E31" s="624"/>
      <c r="F31" s="624"/>
      <c r="G31" s="624"/>
      <c r="H31" s="624"/>
      <c r="I31" s="624"/>
      <c r="J31" s="624"/>
      <c r="K31" s="624"/>
      <c r="L31" s="637"/>
      <c r="M31" s="637"/>
      <c r="N31" s="637"/>
      <c r="O31" s="624">
        <v>2.5230000000000001</v>
      </c>
      <c r="P31" s="624">
        <v>2.976</v>
      </c>
      <c r="Q31" s="624">
        <v>1.524</v>
      </c>
      <c r="R31" s="459">
        <f t="shared" si="5"/>
        <v>-48.79032258064516</v>
      </c>
      <c r="S31" s="10" t="s">
        <v>55</v>
      </c>
    </row>
    <row r="32" spans="1:20" ht="12.75" customHeight="1" x14ac:dyDescent="0.2">
      <c r="A32" s="8"/>
      <c r="B32" s="197" t="s">
        <v>57</v>
      </c>
      <c r="C32" s="495"/>
      <c r="D32" s="635"/>
      <c r="E32" s="635"/>
      <c r="F32" s="635">
        <v>1.7410000000000001</v>
      </c>
      <c r="G32" s="635">
        <v>1.3979999999999999</v>
      </c>
      <c r="H32" s="635">
        <v>2.2149999999999999</v>
      </c>
      <c r="I32" s="635">
        <v>3.121</v>
      </c>
      <c r="J32" s="635">
        <v>4.6890000000000001</v>
      </c>
      <c r="K32" s="635">
        <v>5.7350000000000003</v>
      </c>
      <c r="L32" s="635">
        <v>5.86</v>
      </c>
      <c r="M32" s="635">
        <v>4.5659999999999998</v>
      </c>
      <c r="N32" s="635">
        <v>3.4740000000000002</v>
      </c>
      <c r="O32" s="635">
        <f>3.455</f>
        <v>3.4550000000000001</v>
      </c>
      <c r="P32" s="635">
        <v>2.6779999999999999</v>
      </c>
      <c r="Q32" s="685">
        <v>2.91</v>
      </c>
      <c r="R32" s="221">
        <f t="shared" si="5"/>
        <v>8.6631814787154724</v>
      </c>
      <c r="S32" s="197" t="s">
        <v>57</v>
      </c>
    </row>
    <row r="33" spans="1:20" ht="12.75" customHeight="1" x14ac:dyDescent="0.2">
      <c r="A33" s="8"/>
      <c r="B33" s="10" t="s">
        <v>56</v>
      </c>
      <c r="C33" s="279"/>
      <c r="D33" s="624"/>
      <c r="E33" s="624"/>
      <c r="F33" s="624"/>
      <c r="G33" s="624"/>
      <c r="H33" s="624">
        <v>1.7629999999999999</v>
      </c>
      <c r="I33" s="624">
        <v>2.0369999999999999</v>
      </c>
      <c r="J33" s="624">
        <v>2.577</v>
      </c>
      <c r="K33" s="624">
        <v>3.0169999999999999</v>
      </c>
      <c r="L33" s="624">
        <v>2.6160000000000001</v>
      </c>
      <c r="M33" s="624">
        <v>2.0760000000000001</v>
      </c>
      <c r="N33" s="624">
        <v>1.8320000000000001</v>
      </c>
      <c r="O33" s="624">
        <f>1.612</f>
        <v>1.6120000000000001</v>
      </c>
      <c r="P33" s="624">
        <v>1.512</v>
      </c>
      <c r="Q33" s="630">
        <v>0.51500000000000001</v>
      </c>
      <c r="R33" s="222">
        <f t="shared" si="5"/>
        <v>-65.939153439153444</v>
      </c>
      <c r="S33" s="10" t="s">
        <v>56</v>
      </c>
    </row>
    <row r="34" spans="1:20" ht="12.75" customHeight="1" x14ac:dyDescent="0.2">
      <c r="A34" s="8"/>
      <c r="B34" s="197" t="s">
        <v>72</v>
      </c>
      <c r="C34" s="495"/>
      <c r="D34" s="635">
        <v>6.423</v>
      </c>
      <c r="E34" s="635">
        <v>6.7050000000000001</v>
      </c>
      <c r="F34" s="635">
        <v>8.8350000000000009</v>
      </c>
      <c r="G34" s="635">
        <v>12.750999999999999</v>
      </c>
      <c r="H34" s="635">
        <v>17.808</v>
      </c>
      <c r="I34" s="635">
        <v>20.895</v>
      </c>
      <c r="J34" s="635">
        <v>25.693000000000001</v>
      </c>
      <c r="K34" s="635">
        <v>27.448</v>
      </c>
      <c r="L34" s="635">
        <v>25.254999999999999</v>
      </c>
      <c r="M34" s="635">
        <v>21.1</v>
      </c>
      <c r="N34" s="635">
        <v>17.936</v>
      </c>
      <c r="O34" s="635">
        <f>17.25</f>
        <v>17.25</v>
      </c>
      <c r="P34" s="635">
        <v>12.547000000000001</v>
      </c>
      <c r="Q34" s="685">
        <v>8.26</v>
      </c>
      <c r="R34" s="221">
        <f t="shared" si="5"/>
        <v>-34.16753008687337</v>
      </c>
      <c r="S34" s="197" t="s">
        <v>72</v>
      </c>
    </row>
    <row r="35" spans="1:20" ht="12.75" customHeight="1" x14ac:dyDescent="0.2">
      <c r="A35" s="8"/>
      <c r="B35" s="10" t="s">
        <v>73</v>
      </c>
      <c r="C35" s="279">
        <v>5.7</v>
      </c>
      <c r="D35" s="624">
        <v>9.9770000000000003</v>
      </c>
      <c r="E35" s="624">
        <v>10.01</v>
      </c>
      <c r="F35" s="624">
        <v>21.297000000000001</v>
      </c>
      <c r="G35" s="624">
        <v>19.846</v>
      </c>
      <c r="H35" s="624">
        <v>13.608000000000001</v>
      </c>
      <c r="I35" s="624">
        <v>15.365</v>
      </c>
      <c r="J35" s="624">
        <v>14.994999999999999</v>
      </c>
      <c r="K35" s="624">
        <v>31.852</v>
      </c>
      <c r="L35" s="624">
        <v>31.148</v>
      </c>
      <c r="M35" s="624">
        <v>21.443000000000001</v>
      </c>
      <c r="N35" s="624">
        <v>13.253</v>
      </c>
      <c r="O35" s="624">
        <v>9.9019999999999992</v>
      </c>
      <c r="P35" s="624">
        <v>8.7759999999999998</v>
      </c>
      <c r="Q35" s="630">
        <v>7.9160000000000004</v>
      </c>
      <c r="R35" s="222">
        <f t="shared" si="5"/>
        <v>-9.79945305378304</v>
      </c>
      <c r="S35" s="10" t="s">
        <v>73</v>
      </c>
      <c r="T35" s="93" t="s">
        <v>256</v>
      </c>
    </row>
    <row r="36" spans="1:20" ht="12.75" customHeight="1" x14ac:dyDescent="0.2">
      <c r="A36" s="8"/>
      <c r="B36" s="199" t="s">
        <v>62</v>
      </c>
      <c r="C36" s="496">
        <v>6.2919999999999998</v>
      </c>
      <c r="D36" s="643">
        <v>48.164000000000001</v>
      </c>
      <c r="E36" s="643">
        <v>45.374000000000002</v>
      </c>
      <c r="F36" s="643">
        <v>36.271000000000001</v>
      </c>
      <c r="G36" s="643">
        <v>36.344999999999999</v>
      </c>
      <c r="H36" s="643">
        <v>27.547000000000001</v>
      </c>
      <c r="I36" s="643">
        <v>24.745000000000001</v>
      </c>
      <c r="J36" s="643">
        <v>23.55</v>
      </c>
      <c r="K36" s="643">
        <v>24.562000000000001</v>
      </c>
      <c r="L36" s="643">
        <v>24.952999999999999</v>
      </c>
      <c r="M36" s="643">
        <v>16.443999999999999</v>
      </c>
      <c r="N36" s="643">
        <v>14.53</v>
      </c>
      <c r="O36" s="643">
        <f>14.466</f>
        <v>14.465999999999999</v>
      </c>
      <c r="P36" s="643">
        <v>13.422000000000001</v>
      </c>
      <c r="Q36" s="687">
        <v>10.73</v>
      </c>
      <c r="R36" s="223">
        <f t="shared" si="5"/>
        <v>-20.056623454030699</v>
      </c>
      <c r="S36" s="199" t="s">
        <v>62</v>
      </c>
    </row>
    <row r="37" spans="1:20" s="526" customFormat="1" ht="12.75" customHeight="1" x14ac:dyDescent="0.2">
      <c r="A37" s="8"/>
      <c r="B37" s="529" t="s">
        <v>234</v>
      </c>
      <c r="C37" s="277"/>
      <c r="D37" s="615"/>
      <c r="E37" s="615"/>
      <c r="F37" s="615"/>
      <c r="G37" s="615"/>
      <c r="H37" s="615"/>
      <c r="I37" s="615"/>
      <c r="J37" s="615"/>
      <c r="K37" s="615"/>
      <c r="L37" s="615"/>
      <c r="M37" s="615"/>
      <c r="N37" s="615"/>
      <c r="O37" s="615"/>
      <c r="P37" s="615"/>
      <c r="Q37" s="684"/>
      <c r="R37" s="417"/>
      <c r="S37" s="529" t="s">
        <v>234</v>
      </c>
    </row>
    <row r="38" spans="1:20" ht="12.75" customHeight="1" x14ac:dyDescent="0.2">
      <c r="A38" s="8"/>
      <c r="B38" s="197" t="s">
        <v>223</v>
      </c>
      <c r="C38" s="495"/>
      <c r="D38" s="635"/>
      <c r="E38" s="635"/>
      <c r="F38" s="635"/>
      <c r="G38" s="635"/>
      <c r="H38" s="635"/>
      <c r="I38" s="635"/>
      <c r="J38" s="635"/>
      <c r="K38" s="635"/>
      <c r="L38" s="635"/>
      <c r="M38" s="635"/>
      <c r="N38" s="635"/>
      <c r="O38" s="635"/>
      <c r="P38" s="635"/>
      <c r="Q38" s="685"/>
      <c r="R38" s="221"/>
      <c r="S38" s="197" t="s">
        <v>223</v>
      </c>
    </row>
    <row r="39" spans="1:20" ht="12.75" customHeight="1" x14ac:dyDescent="0.2">
      <c r="A39" s="8"/>
      <c r="B39" s="530" t="s">
        <v>1</v>
      </c>
      <c r="C39" s="279"/>
      <c r="D39" s="624"/>
      <c r="E39" s="624"/>
      <c r="F39" s="624"/>
      <c r="G39" s="624"/>
      <c r="H39" s="624"/>
      <c r="I39" s="624"/>
      <c r="J39" s="624"/>
      <c r="K39" s="624"/>
      <c r="L39" s="624"/>
      <c r="M39" s="624"/>
      <c r="N39" s="624"/>
      <c r="O39" s="624"/>
      <c r="P39" s="624"/>
      <c r="Q39" s="630"/>
      <c r="R39" s="418"/>
      <c r="S39" s="530" t="s">
        <v>1</v>
      </c>
    </row>
    <row r="40" spans="1:20" ht="12.75" customHeight="1" x14ac:dyDescent="0.2">
      <c r="A40" s="8"/>
      <c r="B40" s="197" t="s">
        <v>222</v>
      </c>
      <c r="C40" s="495"/>
      <c r="D40" s="635"/>
      <c r="E40" s="635"/>
      <c r="F40" s="635"/>
      <c r="G40" s="635"/>
      <c r="H40" s="635"/>
      <c r="I40" s="635"/>
      <c r="J40" s="635"/>
      <c r="K40" s="635"/>
      <c r="L40" s="635"/>
      <c r="M40" s="635"/>
      <c r="N40" s="635">
        <v>8.7829999999999995</v>
      </c>
      <c r="O40" s="635">
        <v>6.25</v>
      </c>
      <c r="P40" s="635">
        <v>6.6219999999999999</v>
      </c>
      <c r="Q40" s="685">
        <v>5.6550000000000002</v>
      </c>
      <c r="R40" s="221">
        <f t="shared" si="5"/>
        <v>-14.602839021443671</v>
      </c>
      <c r="S40" s="197" t="s">
        <v>222</v>
      </c>
    </row>
    <row r="41" spans="1:20" ht="12.75" customHeight="1" x14ac:dyDescent="0.2">
      <c r="A41" s="8"/>
      <c r="B41" s="531" t="s">
        <v>58</v>
      </c>
      <c r="C41" s="281"/>
      <c r="D41" s="648"/>
      <c r="E41" s="648"/>
      <c r="F41" s="648"/>
      <c r="G41" s="648"/>
      <c r="H41" s="648"/>
      <c r="I41" s="648"/>
      <c r="J41" s="648"/>
      <c r="K41" s="648"/>
      <c r="L41" s="648"/>
      <c r="M41" s="648">
        <v>2.4409999999999998</v>
      </c>
      <c r="N41" s="648">
        <v>1.5069999999999999</v>
      </c>
      <c r="O41" s="648">
        <f>1.537</f>
        <v>1.5369999999999999</v>
      </c>
      <c r="P41" s="648">
        <v>0.624</v>
      </c>
      <c r="Q41" s="690">
        <v>0.54200000000000004</v>
      </c>
      <c r="R41" s="248">
        <f t="shared" si="5"/>
        <v>-13.141025641025635</v>
      </c>
      <c r="S41" s="531" t="s">
        <v>58</v>
      </c>
      <c r="T41" s="93" t="s">
        <v>252</v>
      </c>
    </row>
    <row r="42" spans="1:20" ht="12.75" customHeight="1" x14ac:dyDescent="0.2">
      <c r="A42" s="8"/>
      <c r="B42" s="195" t="s">
        <v>44</v>
      </c>
      <c r="C42" s="692"/>
      <c r="D42" s="651"/>
      <c r="E42" s="651"/>
      <c r="F42" s="651"/>
      <c r="G42" s="651"/>
      <c r="H42" s="651"/>
      <c r="I42" s="651"/>
      <c r="J42" s="651"/>
      <c r="K42" s="651"/>
      <c r="L42" s="651"/>
      <c r="M42" s="651"/>
      <c r="N42" s="651"/>
      <c r="O42" s="651"/>
      <c r="P42" s="651"/>
      <c r="Q42" s="685"/>
      <c r="R42" s="221"/>
      <c r="S42" s="195" t="s">
        <v>44</v>
      </c>
    </row>
    <row r="43" spans="1:20" ht="12.75" customHeight="1" x14ac:dyDescent="0.2">
      <c r="A43" s="8"/>
      <c r="B43" s="530" t="s">
        <v>74</v>
      </c>
      <c r="C43" s="279"/>
      <c r="D43" s="624"/>
      <c r="E43" s="624"/>
      <c r="F43" s="624">
        <v>13.64</v>
      </c>
      <c r="G43" s="624">
        <v>15.009</v>
      </c>
      <c r="H43" s="624">
        <v>16.37</v>
      </c>
      <c r="I43" s="624">
        <v>11.856999999999999</v>
      </c>
      <c r="J43" s="624">
        <v>11.02</v>
      </c>
      <c r="K43" s="624">
        <v>10.534000000000001</v>
      </c>
      <c r="L43" s="624">
        <v>11.438000000000001</v>
      </c>
      <c r="M43" s="624">
        <v>9.0329999999999995</v>
      </c>
      <c r="N43" s="624">
        <v>8.0579999999999998</v>
      </c>
      <c r="O43" s="624">
        <f>8.453</f>
        <v>8.4529999999999994</v>
      </c>
      <c r="P43" s="624">
        <v>8.99</v>
      </c>
      <c r="Q43" s="630">
        <v>7.5410000000000004</v>
      </c>
      <c r="R43" s="222">
        <f t="shared" si="5"/>
        <v>-16.117908787541708</v>
      </c>
      <c r="S43" s="530" t="s">
        <v>74</v>
      </c>
    </row>
    <row r="44" spans="1:20" ht="12.75" customHeight="1" x14ac:dyDescent="0.2">
      <c r="A44" s="8"/>
      <c r="B44" s="199" t="s">
        <v>45</v>
      </c>
      <c r="C44" s="496"/>
      <c r="D44" s="643"/>
      <c r="E44" s="643"/>
      <c r="F44" s="643">
        <v>18.425000000000001</v>
      </c>
      <c r="G44" s="643">
        <v>6.6420000000000003</v>
      </c>
      <c r="H44" s="643">
        <v>3.4340000000000002</v>
      </c>
      <c r="I44" s="643">
        <v>3.0859999999999999</v>
      </c>
      <c r="J44" s="643">
        <v>3.0139999999999998</v>
      </c>
      <c r="K44" s="643">
        <v>2.738</v>
      </c>
      <c r="L44" s="643">
        <v>3.1269999999999998</v>
      </c>
      <c r="M44" s="643">
        <v>9.3520000000000003</v>
      </c>
      <c r="N44" s="643">
        <v>8.3780000000000001</v>
      </c>
      <c r="O44" s="643">
        <f>9.131</f>
        <v>9.1310000000000002</v>
      </c>
      <c r="P44" s="643">
        <v>8.92</v>
      </c>
      <c r="Q44" s="687">
        <v>7.8769999999999998</v>
      </c>
      <c r="R44" s="223">
        <f t="shared" si="5"/>
        <v>-11.692825112107627</v>
      </c>
      <c r="S44" s="199" t="s">
        <v>45</v>
      </c>
    </row>
    <row r="45" spans="1:20" ht="24" customHeight="1" x14ac:dyDescent="0.2">
      <c r="B45" s="970" t="s">
        <v>253</v>
      </c>
      <c r="C45" s="970"/>
      <c r="D45" s="970"/>
      <c r="E45" s="970"/>
      <c r="F45" s="970"/>
      <c r="G45" s="970"/>
      <c r="H45" s="970"/>
      <c r="I45" s="970"/>
      <c r="J45" s="970"/>
      <c r="K45" s="970"/>
      <c r="L45" s="970"/>
      <c r="M45" s="970"/>
      <c r="N45" s="970"/>
      <c r="O45" s="970"/>
      <c r="P45" s="970"/>
      <c r="Q45" s="970"/>
      <c r="R45" s="970"/>
      <c r="S45" s="970"/>
    </row>
    <row r="46" spans="1:20" ht="14.25" customHeight="1" x14ac:dyDescent="0.2">
      <c r="B46" s="14" t="s">
        <v>195</v>
      </c>
    </row>
  </sheetData>
  <mergeCells count="3">
    <mergeCell ref="B2:S2"/>
    <mergeCell ref="B3:S3"/>
    <mergeCell ref="B45:S45"/>
  </mergeCells>
  <phoneticPr fontId="4" type="noConversion"/>
  <printOptions horizontalCentered="1"/>
  <pageMargins left="0.6692913385826772" right="0.28000000000000003" top="0.51181102362204722" bottom="0.27559055118110237" header="0" footer="0"/>
  <pageSetup paperSize="9" scale="7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3"/>
  <dimension ref="A1:M54"/>
  <sheetViews>
    <sheetView topLeftCell="A16" workbookViewId="0">
      <selection activeCell="P33" sqref="P33"/>
    </sheetView>
  </sheetViews>
  <sheetFormatPr defaultRowHeight="11.25" x14ac:dyDescent="0.2"/>
  <cols>
    <col min="1" max="1" width="3.7109375" style="23" customWidth="1"/>
    <col min="2" max="2" width="4.140625" style="3" customWidth="1"/>
    <col min="3" max="3" width="10.85546875" style="3" bestFit="1" customWidth="1"/>
    <col min="4" max="4" width="10" style="3" customWidth="1"/>
    <col min="5" max="10" width="8.7109375" style="3" customWidth="1"/>
    <col min="11" max="11" width="4.5703125" style="3" customWidth="1"/>
    <col min="12" max="16384" width="9.140625" style="3"/>
  </cols>
  <sheetData>
    <row r="1" spans="1:13" ht="14.25" customHeight="1" x14ac:dyDescent="0.2">
      <c r="A1" s="30"/>
      <c r="B1" s="31"/>
      <c r="C1" s="31"/>
      <c r="D1" s="31"/>
      <c r="E1" s="31"/>
      <c r="F1" s="31"/>
      <c r="G1" s="31"/>
      <c r="H1" s="31"/>
      <c r="I1" s="31"/>
      <c r="K1" s="16" t="s">
        <v>158</v>
      </c>
    </row>
    <row r="2" spans="1:13" s="63" customFormat="1" ht="30" customHeight="1" x14ac:dyDescent="0.2">
      <c r="A2" s="104"/>
      <c r="B2" s="964" t="s">
        <v>19</v>
      </c>
      <c r="C2" s="964"/>
      <c r="D2" s="964"/>
      <c r="E2" s="964"/>
      <c r="F2" s="964"/>
      <c r="G2" s="964"/>
      <c r="H2" s="964"/>
      <c r="I2" s="964"/>
      <c r="J2" s="964"/>
      <c r="K2" s="964"/>
    </row>
    <row r="3" spans="1:13" s="14" customFormat="1" ht="15" customHeight="1" x14ac:dyDescent="0.2">
      <c r="A3" s="36"/>
      <c r="B3" s="969" t="s">
        <v>212</v>
      </c>
      <c r="C3" s="969"/>
      <c r="D3" s="969"/>
      <c r="E3" s="969"/>
      <c r="F3" s="969"/>
      <c r="G3" s="969"/>
      <c r="H3" s="969"/>
      <c r="I3" s="969"/>
      <c r="J3" s="969"/>
      <c r="K3" s="969"/>
    </row>
    <row r="4" spans="1:13" s="14" customFormat="1" ht="12.75" customHeight="1" x14ac:dyDescent="0.2">
      <c r="A4" s="36"/>
      <c r="B4" s="1002" t="s">
        <v>264</v>
      </c>
      <c r="C4" s="1002"/>
      <c r="D4" s="1002"/>
      <c r="E4" s="1002"/>
      <c r="F4" s="1002"/>
      <c r="G4" s="1002"/>
      <c r="H4" s="1002"/>
      <c r="I4" s="1002"/>
      <c r="J4" s="1002"/>
      <c r="K4" s="1002"/>
    </row>
    <row r="5" spans="1:13" ht="30" customHeight="1" x14ac:dyDescent="0.2">
      <c r="C5" s="991" t="s">
        <v>20</v>
      </c>
      <c r="D5" s="997"/>
      <c r="E5" s="991" t="s">
        <v>214</v>
      </c>
      <c r="F5" s="997"/>
      <c r="G5" s="991" t="s">
        <v>217</v>
      </c>
      <c r="H5" s="997"/>
      <c r="I5" s="991" t="s">
        <v>220</v>
      </c>
      <c r="J5" s="997"/>
      <c r="K5" s="65"/>
    </row>
    <row r="6" spans="1:13" ht="15" customHeight="1" x14ac:dyDescent="0.2">
      <c r="A6" s="3"/>
      <c r="B6" s="4"/>
      <c r="C6" s="66" t="s">
        <v>21</v>
      </c>
      <c r="D6" s="286" t="s">
        <v>22</v>
      </c>
      <c r="E6" s="66" t="s">
        <v>21</v>
      </c>
      <c r="F6" s="286" t="s">
        <v>22</v>
      </c>
      <c r="G6" s="66" t="s">
        <v>21</v>
      </c>
      <c r="H6" s="286" t="s">
        <v>22</v>
      </c>
      <c r="I6" s="66" t="s">
        <v>21</v>
      </c>
      <c r="J6" s="287" t="s">
        <v>22</v>
      </c>
      <c r="K6" s="288"/>
    </row>
    <row r="7" spans="1:13" ht="12.75" customHeight="1" x14ac:dyDescent="0.2">
      <c r="A7" s="3"/>
      <c r="B7" s="56" t="s">
        <v>236</v>
      </c>
      <c r="C7" s="581">
        <f t="shared" ref="C7:H7" si="0">SUM(C10:C37)</f>
        <v>13163</v>
      </c>
      <c r="D7" s="289">
        <f t="shared" si="0"/>
        <v>575.03199999999993</v>
      </c>
      <c r="E7" s="581">
        <f t="shared" si="0"/>
        <v>3646</v>
      </c>
      <c r="F7" s="289">
        <f t="shared" si="0"/>
        <v>149.39399999999995</v>
      </c>
      <c r="G7" s="581">
        <f t="shared" si="0"/>
        <v>9517</v>
      </c>
      <c r="H7" s="289">
        <f t="shared" si="0"/>
        <v>425.63800000000015</v>
      </c>
      <c r="I7" s="450"/>
      <c r="J7" s="451"/>
      <c r="K7" s="56" t="s">
        <v>236</v>
      </c>
      <c r="L7" s="45"/>
    </row>
    <row r="8" spans="1:13" ht="12.75" customHeight="1" x14ac:dyDescent="0.2">
      <c r="A8" s="8"/>
      <c r="B8" s="55" t="s">
        <v>241</v>
      </c>
      <c r="C8" s="581">
        <f>SUM(C10,C13:C14,C16:C19,C25,C28:C29,C31,C35:C37,C21)</f>
        <v>12345</v>
      </c>
      <c r="D8" s="289">
        <f t="shared" ref="D8:H8" si="1">SUM(D10,D13:D14,D16:D19,D25,D28:D29,D31,D35:D37,D21)</f>
        <v>558.18399999999997</v>
      </c>
      <c r="E8" s="581">
        <f t="shared" si="1"/>
        <v>3401</v>
      </c>
      <c r="F8" s="289">
        <f t="shared" si="1"/>
        <v>144.27000000000001</v>
      </c>
      <c r="G8" s="581">
        <f t="shared" si="1"/>
        <v>8944</v>
      </c>
      <c r="H8" s="289">
        <f t="shared" si="1"/>
        <v>413.91399999999999</v>
      </c>
      <c r="I8" s="452"/>
      <c r="J8" s="453"/>
      <c r="K8" s="55" t="s">
        <v>241</v>
      </c>
      <c r="L8" s="45"/>
      <c r="M8" s="261"/>
    </row>
    <row r="9" spans="1:13" ht="12.75" customHeight="1" x14ac:dyDescent="0.2">
      <c r="A9" s="8"/>
      <c r="B9" s="58" t="s">
        <v>245</v>
      </c>
      <c r="C9" s="584">
        <f>C7-C8</f>
        <v>818</v>
      </c>
      <c r="D9" s="290">
        <f t="shared" ref="D9:H9" si="2">D7-D8</f>
        <v>16.847999999999956</v>
      </c>
      <c r="E9" s="584">
        <f t="shared" si="2"/>
        <v>245</v>
      </c>
      <c r="F9" s="290">
        <f t="shared" si="2"/>
        <v>5.1239999999999384</v>
      </c>
      <c r="G9" s="584">
        <f t="shared" si="2"/>
        <v>573</v>
      </c>
      <c r="H9" s="290">
        <f t="shared" si="2"/>
        <v>11.72400000000016</v>
      </c>
      <c r="I9" s="454"/>
      <c r="J9" s="454"/>
      <c r="K9" s="58" t="s">
        <v>245</v>
      </c>
      <c r="L9" s="45"/>
    </row>
    <row r="10" spans="1:13" ht="12.75" customHeight="1" x14ac:dyDescent="0.2">
      <c r="A10" s="8"/>
      <c r="B10" s="292" t="s">
        <v>63</v>
      </c>
      <c r="C10" s="910">
        <f t="shared" ref="C10:C11" si="3">E10+G10</f>
        <v>169</v>
      </c>
      <c r="D10" s="296">
        <f t="shared" ref="D10:D11" si="4">F10+H10</f>
        <v>13.613</v>
      </c>
      <c r="E10" s="910">
        <v>53</v>
      </c>
      <c r="F10" s="296">
        <v>4.9800000000000004</v>
      </c>
      <c r="G10" s="910">
        <v>116</v>
      </c>
      <c r="H10" s="296">
        <v>8.6329999999999991</v>
      </c>
      <c r="I10" s="300">
        <f t="shared" ref="I10:J24" si="5">G10/C10</f>
        <v>0.68639053254437865</v>
      </c>
      <c r="J10" s="303">
        <f t="shared" si="5"/>
        <v>0.6341732167780797</v>
      </c>
      <c r="K10" s="292" t="s">
        <v>63</v>
      </c>
      <c r="M10" s="261"/>
    </row>
    <row r="11" spans="1:13" ht="12.75" customHeight="1" x14ac:dyDescent="0.2">
      <c r="A11" s="8"/>
      <c r="B11" s="293" t="s">
        <v>46</v>
      </c>
      <c r="C11" s="911">
        <f t="shared" si="3"/>
        <v>72</v>
      </c>
      <c r="D11" s="297">
        <f t="shared" si="4"/>
        <v>1.266</v>
      </c>
      <c r="E11" s="911">
        <v>21</v>
      </c>
      <c r="F11" s="297">
        <v>0.247</v>
      </c>
      <c r="G11" s="911">
        <v>51</v>
      </c>
      <c r="H11" s="297">
        <v>1.0189999999999999</v>
      </c>
      <c r="I11" s="301">
        <f t="shared" si="5"/>
        <v>0.70833333333333337</v>
      </c>
      <c r="J11" s="304">
        <f t="shared" si="5"/>
        <v>0.80489731437598733</v>
      </c>
      <c r="K11" s="293" t="s">
        <v>46</v>
      </c>
      <c r="M11" s="527"/>
    </row>
    <row r="12" spans="1:13" ht="12.75" customHeight="1" x14ac:dyDescent="0.2">
      <c r="A12" s="8"/>
      <c r="B12" s="294" t="s">
        <v>48</v>
      </c>
      <c r="C12" s="912" t="s">
        <v>76</v>
      </c>
      <c r="D12" s="298" t="s">
        <v>76</v>
      </c>
      <c r="E12" s="912" t="s">
        <v>76</v>
      </c>
      <c r="F12" s="298" t="s">
        <v>76</v>
      </c>
      <c r="G12" s="912" t="s">
        <v>76</v>
      </c>
      <c r="H12" s="298" t="s">
        <v>76</v>
      </c>
      <c r="I12" s="449" t="s">
        <v>76</v>
      </c>
      <c r="J12" s="305" t="s">
        <v>76</v>
      </c>
      <c r="K12" s="294" t="s">
        <v>48</v>
      </c>
    </row>
    <row r="13" spans="1:13" ht="12.75" customHeight="1" x14ac:dyDescent="0.2">
      <c r="A13" s="8"/>
      <c r="B13" s="293" t="s">
        <v>59</v>
      </c>
      <c r="C13" s="911">
        <f t="shared" ref="C13:D23" si="6">E13+G13</f>
        <v>902</v>
      </c>
      <c r="D13" s="297">
        <f t="shared" si="6"/>
        <v>41.135999999999996</v>
      </c>
      <c r="E13" s="911">
        <v>330</v>
      </c>
      <c r="F13" s="297">
        <v>13.459</v>
      </c>
      <c r="G13" s="911">
        <v>572</v>
      </c>
      <c r="H13" s="297">
        <v>27.677</v>
      </c>
      <c r="I13" s="301">
        <f t="shared" si="5"/>
        <v>0.63414634146341464</v>
      </c>
      <c r="J13" s="304">
        <f t="shared" si="5"/>
        <v>0.67281699727732402</v>
      </c>
      <c r="K13" s="293" t="s">
        <v>59</v>
      </c>
    </row>
    <row r="14" spans="1:13" ht="12.75" customHeight="1" x14ac:dyDescent="0.2">
      <c r="A14" s="8"/>
      <c r="B14" s="294" t="s">
        <v>64</v>
      </c>
      <c r="C14" s="912">
        <f t="shared" si="6"/>
        <v>3811</v>
      </c>
      <c r="D14" s="298">
        <f t="shared" si="6"/>
        <v>126.977</v>
      </c>
      <c r="E14" s="912">
        <v>333</v>
      </c>
      <c r="F14" s="298">
        <v>15.882</v>
      </c>
      <c r="G14" s="912">
        <v>3478</v>
      </c>
      <c r="H14" s="298">
        <v>111.095</v>
      </c>
      <c r="I14" s="302">
        <f t="shared" si="5"/>
        <v>0.91262135922330101</v>
      </c>
      <c r="J14" s="305">
        <f t="shared" si="5"/>
        <v>0.87492223001015923</v>
      </c>
      <c r="K14" s="294" t="s">
        <v>64</v>
      </c>
    </row>
    <row r="15" spans="1:13" ht="12.75" customHeight="1" x14ac:dyDescent="0.2">
      <c r="A15" s="8"/>
      <c r="B15" s="293" t="s">
        <v>49</v>
      </c>
      <c r="C15" s="911">
        <f t="shared" si="6"/>
        <v>91</v>
      </c>
      <c r="D15" s="297">
        <f t="shared" si="6"/>
        <v>0.54600000000000004</v>
      </c>
      <c r="E15" s="911">
        <v>17</v>
      </c>
      <c r="F15" s="297">
        <v>0.05</v>
      </c>
      <c r="G15" s="911">
        <v>74</v>
      </c>
      <c r="H15" s="297">
        <v>0.496</v>
      </c>
      <c r="I15" s="301">
        <f t="shared" si="5"/>
        <v>0.81318681318681318</v>
      </c>
      <c r="J15" s="304">
        <f t="shared" si="5"/>
        <v>0.90842490842490831</v>
      </c>
      <c r="K15" s="293" t="s">
        <v>49</v>
      </c>
    </row>
    <row r="16" spans="1:13" ht="12.75" customHeight="1" x14ac:dyDescent="0.2">
      <c r="A16" s="8"/>
      <c r="B16" s="294" t="s">
        <v>67</v>
      </c>
      <c r="C16" s="912">
        <f t="shared" si="6"/>
        <v>65</v>
      </c>
      <c r="D16" s="298">
        <f t="shared" si="6"/>
        <v>0.67999999999999994</v>
      </c>
      <c r="E16" s="912">
        <v>30</v>
      </c>
      <c r="F16" s="298">
        <v>0.252</v>
      </c>
      <c r="G16" s="912">
        <v>35</v>
      </c>
      <c r="H16" s="298">
        <v>0.42799999999999999</v>
      </c>
      <c r="I16" s="302">
        <f t="shared" si="5"/>
        <v>0.53846153846153844</v>
      </c>
      <c r="J16" s="305">
        <f t="shared" si="5"/>
        <v>0.62941176470588245</v>
      </c>
      <c r="K16" s="294" t="s">
        <v>67</v>
      </c>
    </row>
    <row r="17" spans="1:11" ht="12.75" customHeight="1" x14ac:dyDescent="0.2">
      <c r="A17" s="8"/>
      <c r="B17" s="293" t="s">
        <v>60</v>
      </c>
      <c r="C17" s="911">
        <f t="shared" si="6"/>
        <v>3989</v>
      </c>
      <c r="D17" s="297">
        <f t="shared" si="6"/>
        <v>282.2</v>
      </c>
      <c r="E17" s="911">
        <v>816</v>
      </c>
      <c r="F17" s="297">
        <v>73.736999999999995</v>
      </c>
      <c r="G17" s="911">
        <v>3173</v>
      </c>
      <c r="H17" s="297">
        <v>208.46299999999999</v>
      </c>
      <c r="I17" s="301">
        <f t="shared" si="5"/>
        <v>0.79543745299573831</v>
      </c>
      <c r="J17" s="304">
        <f t="shared" si="5"/>
        <v>0.73870659107016301</v>
      </c>
      <c r="K17" s="293" t="s">
        <v>60</v>
      </c>
    </row>
    <row r="18" spans="1:11" ht="12.75" customHeight="1" x14ac:dyDescent="0.2">
      <c r="A18" s="8"/>
      <c r="B18" s="294" t="s">
        <v>65</v>
      </c>
      <c r="C18" s="912">
        <f t="shared" si="6"/>
        <v>192</v>
      </c>
      <c r="D18" s="298">
        <f t="shared" si="6"/>
        <v>2.4809999999999999</v>
      </c>
      <c r="E18" s="912">
        <v>98</v>
      </c>
      <c r="F18" s="298">
        <v>0.59199999999999997</v>
      </c>
      <c r="G18" s="912">
        <v>94</v>
      </c>
      <c r="H18" s="298">
        <v>1.889</v>
      </c>
      <c r="I18" s="302">
        <f t="shared" si="5"/>
        <v>0.48958333333333331</v>
      </c>
      <c r="J18" s="305">
        <f t="shared" si="5"/>
        <v>0.76138653768641684</v>
      </c>
      <c r="K18" s="294" t="s">
        <v>65</v>
      </c>
    </row>
    <row r="19" spans="1:11" ht="12.75" customHeight="1" x14ac:dyDescent="0.2">
      <c r="A19" s="8"/>
      <c r="B19" s="293" t="s">
        <v>66</v>
      </c>
      <c r="C19" s="911">
        <f t="shared" si="6"/>
        <v>278</v>
      </c>
      <c r="D19" s="297">
        <f t="shared" si="6"/>
        <v>9.9819999999999993</v>
      </c>
      <c r="E19" s="911">
        <v>125</v>
      </c>
      <c r="F19" s="297">
        <v>3.3490000000000002</v>
      </c>
      <c r="G19" s="911">
        <v>153</v>
      </c>
      <c r="H19" s="297">
        <v>6.633</v>
      </c>
      <c r="I19" s="301">
        <f t="shared" si="5"/>
        <v>0.55035971223021585</v>
      </c>
      <c r="J19" s="304">
        <f t="shared" si="5"/>
        <v>0.66449609296734125</v>
      </c>
      <c r="K19" s="293" t="s">
        <v>66</v>
      </c>
    </row>
    <row r="20" spans="1:11" ht="12.75" customHeight="1" x14ac:dyDescent="0.2">
      <c r="A20" s="8"/>
      <c r="B20" s="501" t="s">
        <v>77</v>
      </c>
      <c r="C20" s="913">
        <f t="shared" ref="C20" si="7">E20+G20</f>
        <v>100</v>
      </c>
      <c r="D20" s="502">
        <f t="shared" ref="D20" si="8">F20+H20</f>
        <v>3.2560000000000002</v>
      </c>
      <c r="E20" s="913">
        <v>67</v>
      </c>
      <c r="F20" s="502">
        <v>2.2280000000000002</v>
      </c>
      <c r="G20" s="913">
        <v>33</v>
      </c>
      <c r="H20" s="502">
        <v>1.028</v>
      </c>
      <c r="I20" s="503">
        <f t="shared" ref="I20" si="9">G20/C20</f>
        <v>0.33</v>
      </c>
      <c r="J20" s="504">
        <f t="shared" ref="J20" si="10">H20/D20</f>
        <v>0.3157248157248157</v>
      </c>
      <c r="K20" s="501" t="s">
        <v>77</v>
      </c>
    </row>
    <row r="21" spans="1:11" ht="12.75" customHeight="1" x14ac:dyDescent="0.2">
      <c r="A21" s="8"/>
      <c r="B21" s="293" t="s">
        <v>68</v>
      </c>
      <c r="C21" s="911">
        <f t="shared" si="6"/>
        <v>1036</v>
      </c>
      <c r="D21" s="297">
        <f t="shared" si="6"/>
        <v>41.064</v>
      </c>
      <c r="E21" s="911">
        <v>553</v>
      </c>
      <c r="F21" s="297">
        <v>17.751999999999999</v>
      </c>
      <c r="G21" s="911">
        <v>483</v>
      </c>
      <c r="H21" s="297">
        <v>23.312000000000001</v>
      </c>
      <c r="I21" s="301">
        <f t="shared" si="5"/>
        <v>0.46621621621621623</v>
      </c>
      <c r="J21" s="304">
        <f t="shared" si="5"/>
        <v>0.56769920124683426</v>
      </c>
      <c r="K21" s="293" t="s">
        <v>68</v>
      </c>
    </row>
    <row r="22" spans="1:11" ht="12.75" customHeight="1" x14ac:dyDescent="0.2">
      <c r="A22" s="8"/>
      <c r="B22" s="501" t="s">
        <v>47</v>
      </c>
      <c r="C22" s="913">
        <f t="shared" si="6"/>
        <v>181</v>
      </c>
      <c r="D22" s="502">
        <f t="shared" si="6"/>
        <v>6.1520000000000001</v>
      </c>
      <c r="E22" s="913">
        <v>72</v>
      </c>
      <c r="F22" s="502">
        <v>2.141</v>
      </c>
      <c r="G22" s="913">
        <v>109</v>
      </c>
      <c r="H22" s="502">
        <v>4.0110000000000001</v>
      </c>
      <c r="I22" s="503">
        <f t="shared" si="5"/>
        <v>0.60220994475138123</v>
      </c>
      <c r="J22" s="504">
        <f t="shared" si="5"/>
        <v>0.6519830949284785</v>
      </c>
      <c r="K22" s="501" t="s">
        <v>47</v>
      </c>
    </row>
    <row r="23" spans="1:11" ht="12.75" customHeight="1" x14ac:dyDescent="0.2">
      <c r="A23" s="8"/>
      <c r="B23" s="293" t="s">
        <v>51</v>
      </c>
      <c r="C23" s="911">
        <f t="shared" si="6"/>
        <v>82</v>
      </c>
      <c r="D23" s="297">
        <f t="shared" si="6"/>
        <v>1.198</v>
      </c>
      <c r="E23" s="911">
        <v>8</v>
      </c>
      <c r="F23" s="297">
        <v>4.1000000000000002E-2</v>
      </c>
      <c r="G23" s="911">
        <v>74</v>
      </c>
      <c r="H23" s="297">
        <v>1.157</v>
      </c>
      <c r="I23" s="301">
        <f t="shared" si="5"/>
        <v>0.90243902439024393</v>
      </c>
      <c r="J23" s="304">
        <f t="shared" si="5"/>
        <v>0.96577629382303842</v>
      </c>
      <c r="K23" s="293" t="s">
        <v>51</v>
      </c>
    </row>
    <row r="24" spans="1:11" ht="12.75" customHeight="1" x14ac:dyDescent="0.2">
      <c r="A24" s="8"/>
      <c r="B24" s="501" t="s">
        <v>52</v>
      </c>
      <c r="C24" s="913">
        <f>E24+G24</f>
        <v>59</v>
      </c>
      <c r="D24" s="502">
        <f>F24+H24</f>
        <v>0.35499999999999998</v>
      </c>
      <c r="E24" s="913">
        <v>24</v>
      </c>
      <c r="F24" s="502">
        <v>0.20200000000000001</v>
      </c>
      <c r="G24" s="913">
        <v>35</v>
      </c>
      <c r="H24" s="502">
        <v>0.153</v>
      </c>
      <c r="I24" s="503">
        <f t="shared" si="5"/>
        <v>0.59322033898305082</v>
      </c>
      <c r="J24" s="504">
        <f t="shared" si="5"/>
        <v>0.43098591549295778</v>
      </c>
      <c r="K24" s="501" t="s">
        <v>52</v>
      </c>
    </row>
    <row r="25" spans="1:11" ht="12.75" customHeight="1" x14ac:dyDescent="0.2">
      <c r="A25" s="8"/>
      <c r="B25" s="293" t="s">
        <v>69</v>
      </c>
      <c r="C25" s="911" t="s">
        <v>76</v>
      </c>
      <c r="D25" s="297" t="s">
        <v>76</v>
      </c>
      <c r="E25" s="911" t="s">
        <v>76</v>
      </c>
      <c r="F25" s="497" t="s">
        <v>76</v>
      </c>
      <c r="G25" s="911" t="s">
        <v>76</v>
      </c>
      <c r="H25" s="297" t="s">
        <v>76</v>
      </c>
      <c r="I25" s="498" t="s">
        <v>76</v>
      </c>
      <c r="J25" s="304" t="s">
        <v>76</v>
      </c>
      <c r="K25" s="293" t="s">
        <v>69</v>
      </c>
    </row>
    <row r="26" spans="1:11" ht="12.75" customHeight="1" x14ac:dyDescent="0.2">
      <c r="A26" s="8"/>
      <c r="B26" s="501" t="s">
        <v>50</v>
      </c>
      <c r="C26" s="913" t="s">
        <v>76</v>
      </c>
      <c r="D26" s="502" t="s">
        <v>76</v>
      </c>
      <c r="E26" s="913" t="s">
        <v>76</v>
      </c>
      <c r="F26" s="502" t="s">
        <v>76</v>
      </c>
      <c r="G26" s="913" t="s">
        <v>76</v>
      </c>
      <c r="H26" s="502" t="s">
        <v>76</v>
      </c>
      <c r="I26" s="503" t="s">
        <v>76</v>
      </c>
      <c r="J26" s="504" t="s">
        <v>76</v>
      </c>
      <c r="K26" s="501" t="s">
        <v>50</v>
      </c>
    </row>
    <row r="27" spans="1:11" ht="12.75" customHeight="1" x14ac:dyDescent="0.2">
      <c r="A27" s="8"/>
      <c r="B27" s="293" t="s">
        <v>53</v>
      </c>
      <c r="C27" s="911">
        <f t="shared" ref="C27:D32" si="11">E27+G27</f>
        <v>34</v>
      </c>
      <c r="D27" s="297">
        <f t="shared" si="11"/>
        <v>0.35</v>
      </c>
      <c r="E27" s="911">
        <v>22</v>
      </c>
      <c r="F27" s="297">
        <v>0.14399999999999999</v>
      </c>
      <c r="G27" s="911">
        <v>12</v>
      </c>
      <c r="H27" s="297">
        <v>0.20599999999999999</v>
      </c>
      <c r="I27" s="301">
        <f t="shared" ref="I27:J44" si="12">G27/C27</f>
        <v>0.35294117647058826</v>
      </c>
      <c r="J27" s="304">
        <f t="shared" si="12"/>
        <v>0.58857142857142852</v>
      </c>
      <c r="K27" s="293" t="s">
        <v>53</v>
      </c>
    </row>
    <row r="28" spans="1:11" ht="12.75" customHeight="1" x14ac:dyDescent="0.2">
      <c r="A28" s="8"/>
      <c r="B28" s="501" t="s">
        <v>61</v>
      </c>
      <c r="C28" s="913">
        <f t="shared" si="11"/>
        <v>879</v>
      </c>
      <c r="D28" s="502">
        <f t="shared" si="11"/>
        <v>8.9390000000000001</v>
      </c>
      <c r="E28" s="913">
        <v>637</v>
      </c>
      <c r="F28" s="502">
        <v>5.39</v>
      </c>
      <c r="G28" s="913">
        <v>242</v>
      </c>
      <c r="H28" s="502">
        <v>3.5489999999999999</v>
      </c>
      <c r="I28" s="503">
        <f t="shared" si="12"/>
        <v>0.27531285551763368</v>
      </c>
      <c r="J28" s="504">
        <f t="shared" si="12"/>
        <v>0.39702427564604542</v>
      </c>
      <c r="K28" s="501" t="s">
        <v>61</v>
      </c>
    </row>
    <row r="29" spans="1:11" ht="12.75" customHeight="1" x14ac:dyDescent="0.2">
      <c r="A29" s="8"/>
      <c r="B29" s="293" t="s">
        <v>70</v>
      </c>
      <c r="C29" s="911">
        <f>G29</f>
        <v>7</v>
      </c>
      <c r="D29" s="297">
        <f>H29</f>
        <v>0.05</v>
      </c>
      <c r="E29" s="911" t="s">
        <v>76</v>
      </c>
      <c r="F29" s="297" t="s">
        <v>76</v>
      </c>
      <c r="G29" s="911">
        <v>7</v>
      </c>
      <c r="H29" s="297">
        <v>0.05</v>
      </c>
      <c r="I29" s="301">
        <f t="shared" si="12"/>
        <v>1</v>
      </c>
      <c r="J29" s="304">
        <f t="shared" si="12"/>
        <v>1</v>
      </c>
      <c r="K29" s="293" t="s">
        <v>70</v>
      </c>
    </row>
    <row r="30" spans="1:11" ht="12.75" customHeight="1" x14ac:dyDescent="0.2">
      <c r="A30" s="8"/>
      <c r="B30" s="501" t="s">
        <v>54</v>
      </c>
      <c r="C30" s="913">
        <f t="shared" si="11"/>
        <v>115</v>
      </c>
      <c r="D30" s="502">
        <f t="shared" si="11"/>
        <v>2.7120000000000002</v>
      </c>
      <c r="E30" s="913">
        <v>11</v>
      </c>
      <c r="F30" s="502">
        <v>3.2000000000000001E-2</v>
      </c>
      <c r="G30" s="913">
        <v>104</v>
      </c>
      <c r="H30" s="502">
        <v>2.68</v>
      </c>
      <c r="I30" s="503">
        <f t="shared" si="12"/>
        <v>0.90434782608695652</v>
      </c>
      <c r="J30" s="504">
        <f t="shared" si="12"/>
        <v>0.98820058997050142</v>
      </c>
      <c r="K30" s="501" t="s">
        <v>54</v>
      </c>
    </row>
    <row r="31" spans="1:11" ht="12.75" customHeight="1" x14ac:dyDescent="0.2">
      <c r="A31" s="8"/>
      <c r="B31" s="293" t="s">
        <v>71</v>
      </c>
      <c r="C31" s="911">
        <f t="shared" si="11"/>
        <v>43</v>
      </c>
      <c r="D31" s="297">
        <f t="shared" si="11"/>
        <v>0.91499999999999992</v>
      </c>
      <c r="E31" s="911">
        <v>21</v>
      </c>
      <c r="F31" s="297">
        <v>9.9000000000000005E-2</v>
      </c>
      <c r="G31" s="911">
        <v>22</v>
      </c>
      <c r="H31" s="297">
        <v>0.81599999999999995</v>
      </c>
      <c r="I31" s="301">
        <f t="shared" si="12"/>
        <v>0.51162790697674421</v>
      </c>
      <c r="J31" s="304">
        <f t="shared" si="12"/>
        <v>0.8918032786885246</v>
      </c>
      <c r="K31" s="293" t="s">
        <v>71</v>
      </c>
    </row>
    <row r="32" spans="1:11" ht="12.75" customHeight="1" x14ac:dyDescent="0.2">
      <c r="A32" s="8"/>
      <c r="B32" s="501" t="s">
        <v>55</v>
      </c>
      <c r="C32" s="913">
        <f t="shared" si="11"/>
        <v>78</v>
      </c>
      <c r="D32" s="502">
        <f t="shared" si="11"/>
        <v>0.99</v>
      </c>
      <c r="E32" s="913">
        <v>3</v>
      </c>
      <c r="F32" s="502">
        <v>3.9E-2</v>
      </c>
      <c r="G32" s="913">
        <v>75</v>
      </c>
      <c r="H32" s="502">
        <v>0.95099999999999996</v>
      </c>
      <c r="I32" s="503">
        <f t="shared" si="12"/>
        <v>0.96153846153846156</v>
      </c>
      <c r="J32" s="504">
        <f t="shared" si="12"/>
        <v>0.96060606060606057</v>
      </c>
      <c r="K32" s="501" t="s">
        <v>55</v>
      </c>
    </row>
    <row r="33" spans="1:13" ht="12.75" customHeight="1" x14ac:dyDescent="0.2">
      <c r="A33" s="8"/>
      <c r="B33" s="293" t="s">
        <v>57</v>
      </c>
      <c r="C33" s="911">
        <f>G33</f>
        <v>6</v>
      </c>
      <c r="D33" s="297">
        <f>H33</f>
        <v>2.3E-2</v>
      </c>
      <c r="E33" s="917" t="s">
        <v>76</v>
      </c>
      <c r="F33" s="297" t="s">
        <v>76</v>
      </c>
      <c r="G33" s="911">
        <v>6</v>
      </c>
      <c r="H33" s="297">
        <v>2.3E-2</v>
      </c>
      <c r="I33" s="301">
        <f t="shared" si="12"/>
        <v>1</v>
      </c>
      <c r="J33" s="304">
        <f t="shared" si="12"/>
        <v>1</v>
      </c>
      <c r="K33" s="293" t="s">
        <v>57</v>
      </c>
    </row>
    <row r="34" spans="1:13" ht="12.75" customHeight="1" x14ac:dyDescent="0.2">
      <c r="A34" s="8"/>
      <c r="B34" s="501" t="s">
        <v>56</v>
      </c>
      <c r="C34" s="913" t="str">
        <f>E34</f>
        <v>-</v>
      </c>
      <c r="D34" s="502" t="str">
        <f>F34</f>
        <v>-</v>
      </c>
      <c r="E34" s="913" t="s">
        <v>76</v>
      </c>
      <c r="F34" s="502" t="s">
        <v>76</v>
      </c>
      <c r="G34" s="913" t="s">
        <v>76</v>
      </c>
      <c r="H34" s="502" t="s">
        <v>76</v>
      </c>
      <c r="I34" s="503" t="s">
        <v>76</v>
      </c>
      <c r="J34" s="504" t="s">
        <v>76</v>
      </c>
      <c r="K34" s="501" t="s">
        <v>56</v>
      </c>
    </row>
    <row r="35" spans="1:13" ht="12.75" customHeight="1" x14ac:dyDescent="0.2">
      <c r="A35" s="8"/>
      <c r="B35" s="293" t="s">
        <v>72</v>
      </c>
      <c r="C35" s="911">
        <f t="shared" ref="C35:D45" si="13">E35+G35</f>
        <v>99</v>
      </c>
      <c r="D35" s="297">
        <f t="shared" si="13"/>
        <v>1.6970000000000001</v>
      </c>
      <c r="E35" s="911">
        <v>67</v>
      </c>
      <c r="F35" s="297">
        <v>0.80500000000000005</v>
      </c>
      <c r="G35" s="911">
        <v>32</v>
      </c>
      <c r="H35" s="297">
        <v>0.89200000000000002</v>
      </c>
      <c r="I35" s="301">
        <f t="shared" si="12"/>
        <v>0.32323232323232326</v>
      </c>
      <c r="J35" s="304">
        <f t="shared" si="12"/>
        <v>0.52563347083087797</v>
      </c>
      <c r="K35" s="293" t="s">
        <v>72</v>
      </c>
    </row>
    <row r="36" spans="1:13" ht="12.75" customHeight="1" x14ac:dyDescent="0.2">
      <c r="A36" s="8"/>
      <c r="B36" s="501" t="s">
        <v>73</v>
      </c>
      <c r="C36" s="913">
        <f t="shared" si="13"/>
        <v>327</v>
      </c>
      <c r="D36" s="502">
        <f t="shared" si="13"/>
        <v>6.6379999999999999</v>
      </c>
      <c r="E36" s="913">
        <v>95</v>
      </c>
      <c r="F36" s="502">
        <v>1.1719999999999999</v>
      </c>
      <c r="G36" s="913">
        <v>232</v>
      </c>
      <c r="H36" s="502">
        <v>5.4660000000000002</v>
      </c>
      <c r="I36" s="503">
        <f t="shared" si="12"/>
        <v>0.70948012232415902</v>
      </c>
      <c r="J36" s="504">
        <f t="shared" si="12"/>
        <v>0.82344079542030735</v>
      </c>
      <c r="K36" s="501" t="s">
        <v>73</v>
      </c>
    </row>
    <row r="37" spans="1:13" ht="12.75" customHeight="1" x14ac:dyDescent="0.2">
      <c r="A37" s="8"/>
      <c r="B37" s="295" t="s">
        <v>62</v>
      </c>
      <c r="C37" s="914">
        <f t="shared" si="13"/>
        <v>548</v>
      </c>
      <c r="D37" s="299">
        <f t="shared" si="13"/>
        <v>21.811999999999998</v>
      </c>
      <c r="E37" s="914">
        <v>243</v>
      </c>
      <c r="F37" s="299">
        <v>6.8010000000000002</v>
      </c>
      <c r="G37" s="914">
        <v>305</v>
      </c>
      <c r="H37" s="299">
        <v>15.010999999999999</v>
      </c>
      <c r="I37" s="499">
        <f t="shared" si="12"/>
        <v>0.55656934306569339</v>
      </c>
      <c r="J37" s="306">
        <f t="shared" si="12"/>
        <v>0.6881991564276545</v>
      </c>
      <c r="K37" s="295" t="s">
        <v>62</v>
      </c>
    </row>
    <row r="38" spans="1:13" ht="12.75" customHeight="1" x14ac:dyDescent="0.2">
      <c r="A38" s="8"/>
      <c r="B38" s="501" t="s">
        <v>234</v>
      </c>
      <c r="C38" s="913">
        <f t="shared" ref="C38" si="14">E38+G38</f>
        <v>19</v>
      </c>
      <c r="D38" s="502">
        <f t="shared" ref="D38" si="15">F38+H38</f>
        <v>7.3000000000000009E-2</v>
      </c>
      <c r="E38" s="913">
        <v>13</v>
      </c>
      <c r="F38" s="502">
        <v>4.2000000000000003E-2</v>
      </c>
      <c r="G38" s="913">
        <v>6</v>
      </c>
      <c r="H38" s="502">
        <v>3.1E-2</v>
      </c>
      <c r="I38" s="503">
        <f t="shared" ref="I38" si="16">G38/C38</f>
        <v>0.31578947368421051</v>
      </c>
      <c r="J38" s="504">
        <f t="shared" ref="J38" si="17">H38/D38</f>
        <v>0.42465753424657526</v>
      </c>
      <c r="K38" s="501" t="s">
        <v>234</v>
      </c>
    </row>
    <row r="39" spans="1:13" ht="12.75" customHeight="1" x14ac:dyDescent="0.2">
      <c r="A39" s="8"/>
      <c r="B39" s="293" t="s">
        <v>223</v>
      </c>
      <c r="C39" s="911">
        <f t="shared" ref="C39" si="18">E39+G39</f>
        <v>4</v>
      </c>
      <c r="D39" s="297">
        <f t="shared" ref="D39" si="19">F39+H39</f>
        <v>7.2999999999999995E-2</v>
      </c>
      <c r="E39" s="911">
        <v>3</v>
      </c>
      <c r="F39" s="297">
        <v>7.1999999999999995E-2</v>
      </c>
      <c r="G39" s="911">
        <v>1</v>
      </c>
      <c r="H39" s="297">
        <v>1E-3</v>
      </c>
      <c r="I39" s="301">
        <f>G39/C39</f>
        <v>0.25</v>
      </c>
      <c r="J39" s="304">
        <f>H39/D39</f>
        <v>1.3698630136986302E-2</v>
      </c>
      <c r="K39" s="293" t="s">
        <v>223</v>
      </c>
    </row>
    <row r="40" spans="1:13" ht="12.75" customHeight="1" x14ac:dyDescent="0.2">
      <c r="A40" s="8"/>
      <c r="B40" s="501" t="s">
        <v>1</v>
      </c>
      <c r="C40" s="918"/>
      <c r="D40" s="904"/>
      <c r="E40" s="918"/>
      <c r="F40" s="25"/>
      <c r="G40" s="915"/>
      <c r="H40" s="25"/>
      <c r="I40" s="905"/>
      <c r="J40" s="25"/>
      <c r="K40" s="501" t="s">
        <v>1</v>
      </c>
      <c r="M40" s="3" t="s">
        <v>213</v>
      </c>
    </row>
    <row r="41" spans="1:13" ht="12.75" customHeight="1" x14ac:dyDescent="0.2">
      <c r="A41" s="8"/>
      <c r="B41" s="293" t="s">
        <v>222</v>
      </c>
      <c r="C41" s="911"/>
      <c r="D41" s="297"/>
      <c r="E41" s="911"/>
      <c r="F41" s="297"/>
      <c r="G41" s="911"/>
      <c r="H41" s="297"/>
      <c r="I41" s="301"/>
      <c r="J41" s="304"/>
      <c r="K41" s="293" t="s">
        <v>222</v>
      </c>
    </row>
    <row r="42" spans="1:13" ht="12.75" customHeight="1" x14ac:dyDescent="0.2">
      <c r="A42" s="8"/>
      <c r="B42" s="906" t="s">
        <v>58</v>
      </c>
      <c r="C42" s="916">
        <f t="shared" si="13"/>
        <v>1381</v>
      </c>
      <c r="D42" s="907">
        <f t="shared" si="13"/>
        <v>27.571999999999999</v>
      </c>
      <c r="E42" s="916">
        <v>583</v>
      </c>
      <c r="F42" s="907">
        <v>8.4209999999999994</v>
      </c>
      <c r="G42" s="916">
        <v>798</v>
      </c>
      <c r="H42" s="907">
        <v>19.151</v>
      </c>
      <c r="I42" s="908">
        <f t="shared" si="12"/>
        <v>0.57784214337436635</v>
      </c>
      <c r="J42" s="909">
        <f t="shared" si="12"/>
        <v>0.69458145945161764</v>
      </c>
      <c r="K42" s="906" t="s">
        <v>58</v>
      </c>
    </row>
    <row r="43" spans="1:13" ht="12.75" customHeight="1" x14ac:dyDescent="0.2">
      <c r="A43" s="8"/>
      <c r="B43" s="293" t="s">
        <v>44</v>
      </c>
      <c r="C43" s="911">
        <f t="shared" si="13"/>
        <v>22</v>
      </c>
      <c r="D43" s="297">
        <f t="shared" si="13"/>
        <v>0.125</v>
      </c>
      <c r="E43" s="911">
        <v>1</v>
      </c>
      <c r="F43" s="297">
        <v>0</v>
      </c>
      <c r="G43" s="911">
        <v>21</v>
      </c>
      <c r="H43" s="297">
        <v>0.125</v>
      </c>
      <c r="I43" s="301">
        <f t="shared" si="12"/>
        <v>0.95454545454545459</v>
      </c>
      <c r="J43" s="304">
        <f t="shared" si="12"/>
        <v>1</v>
      </c>
      <c r="K43" s="293" t="s">
        <v>44</v>
      </c>
    </row>
    <row r="44" spans="1:13" ht="12.75" customHeight="1" x14ac:dyDescent="0.2">
      <c r="A44" s="8"/>
      <c r="B44" s="501" t="s">
        <v>74</v>
      </c>
      <c r="C44" s="913">
        <f>E44+G44</f>
        <v>1542</v>
      </c>
      <c r="D44" s="502">
        <f>F44+H44</f>
        <v>58.805</v>
      </c>
      <c r="E44" s="913">
        <v>504</v>
      </c>
      <c r="F44" s="502">
        <v>15.284000000000001</v>
      </c>
      <c r="G44" s="913">
        <v>1038</v>
      </c>
      <c r="H44" s="502">
        <v>43.521000000000001</v>
      </c>
      <c r="I44" s="503">
        <f t="shared" si="12"/>
        <v>0.6731517509727627</v>
      </c>
      <c r="J44" s="504">
        <f t="shared" si="12"/>
        <v>0.74009012839044297</v>
      </c>
      <c r="K44" s="501" t="s">
        <v>74</v>
      </c>
    </row>
    <row r="45" spans="1:13" ht="12.75" customHeight="1" x14ac:dyDescent="0.2">
      <c r="A45" s="8"/>
      <c r="B45" s="295" t="s">
        <v>45</v>
      </c>
      <c r="C45" s="914">
        <f t="shared" si="13"/>
        <v>179</v>
      </c>
      <c r="D45" s="299">
        <f t="shared" si="13"/>
        <v>5.968</v>
      </c>
      <c r="E45" s="914">
        <v>47</v>
      </c>
      <c r="F45" s="299">
        <v>1.4019999999999999</v>
      </c>
      <c r="G45" s="914">
        <v>132</v>
      </c>
      <c r="H45" s="299">
        <v>4.5659999999999998</v>
      </c>
      <c r="I45" s="499">
        <f>G45/C45</f>
        <v>0.73743016759776536</v>
      </c>
      <c r="J45" s="306">
        <f>H45/D45</f>
        <v>0.76508042895442352</v>
      </c>
      <c r="K45" s="295" t="s">
        <v>45</v>
      </c>
    </row>
    <row r="46" spans="1:13" ht="26.25" customHeight="1" x14ac:dyDescent="0.2">
      <c r="B46" s="975" t="s">
        <v>216</v>
      </c>
      <c r="C46" s="975"/>
      <c r="D46" s="975"/>
      <c r="E46" s="975"/>
      <c r="F46" s="975"/>
      <c r="G46" s="975"/>
      <c r="H46" s="975"/>
      <c r="I46" s="975"/>
      <c r="J46" s="975"/>
      <c r="K46" s="50"/>
    </row>
    <row r="47" spans="1:13" ht="11.25" customHeight="1" x14ac:dyDescent="0.2">
      <c r="B47" s="986" t="s">
        <v>0</v>
      </c>
      <c r="C47" s="986"/>
      <c r="D47" s="291"/>
      <c r="E47" s="291"/>
      <c r="F47" s="291"/>
      <c r="G47" s="291"/>
      <c r="H47" s="291"/>
      <c r="I47" s="291"/>
      <c r="J47" s="291"/>
      <c r="K47" s="291"/>
    </row>
    <row r="48" spans="1:13" ht="10.5" customHeight="1" x14ac:dyDescent="0.2">
      <c r="B48" s="999" t="s">
        <v>215</v>
      </c>
      <c r="C48" s="999"/>
      <c r="D48" s="999"/>
      <c r="E48" s="999"/>
      <c r="F48" s="999"/>
      <c r="G48" s="999"/>
      <c r="H48" s="999"/>
      <c r="I48" s="999"/>
      <c r="J48" s="999"/>
      <c r="K48" s="999"/>
    </row>
    <row r="49" spans="2:11" ht="24.75" customHeight="1" x14ac:dyDescent="0.2">
      <c r="B49" s="999" t="s">
        <v>265</v>
      </c>
      <c r="C49" s="999"/>
      <c r="D49" s="999"/>
      <c r="E49" s="999"/>
      <c r="F49" s="999"/>
      <c r="G49" s="999"/>
      <c r="H49" s="999"/>
      <c r="I49" s="999"/>
      <c r="J49" s="999"/>
      <c r="K49" s="999"/>
    </row>
    <row r="54" spans="2:11" x14ac:dyDescent="0.2">
      <c r="C54" s="307"/>
    </row>
  </sheetData>
  <mergeCells count="11">
    <mergeCell ref="G5:H5"/>
    <mergeCell ref="I5:J5"/>
    <mergeCell ref="B47:C47"/>
    <mergeCell ref="B49:K49"/>
    <mergeCell ref="B2:K2"/>
    <mergeCell ref="B3:K3"/>
    <mergeCell ref="B4:K4"/>
    <mergeCell ref="B48:K48"/>
    <mergeCell ref="B46:J46"/>
    <mergeCell ref="C5:D5"/>
    <mergeCell ref="E5:F5"/>
  </mergeCells>
  <phoneticPr fontId="4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/>
  <dimension ref="A1:U27"/>
  <sheetViews>
    <sheetView workbookViewId="0">
      <selection activeCell="V20" sqref="V20"/>
    </sheetView>
  </sheetViews>
  <sheetFormatPr defaultRowHeight="12.75" x14ac:dyDescent="0.2"/>
  <cols>
    <col min="1" max="1" width="1.85546875" customWidth="1"/>
    <col min="2" max="2" width="17.140625" customWidth="1"/>
    <col min="3" max="4" width="9.7109375" customWidth="1"/>
    <col min="5" max="8" width="9.7109375" hidden="1" customWidth="1"/>
    <col min="9" max="9" width="9.7109375" customWidth="1"/>
    <col min="10" max="11" width="9.7109375" hidden="1" customWidth="1"/>
    <col min="12" max="12" width="9.7109375" customWidth="1"/>
    <col min="14" max="15" width="9.140625" customWidth="1"/>
    <col min="16" max="16" width="9.28515625" customWidth="1"/>
    <col min="17" max="18" width="9.28515625" style="526" customWidth="1"/>
    <col min="19" max="19" width="2" customWidth="1"/>
  </cols>
  <sheetData>
    <row r="1" spans="2:21" ht="14.25" customHeight="1" x14ac:dyDescent="0.3">
      <c r="B1" s="1006"/>
      <c r="C1" s="1006"/>
      <c r="L1" s="16"/>
      <c r="M1" s="1009" t="s">
        <v>159</v>
      </c>
      <c r="N1" s="1009"/>
      <c r="O1" s="1009"/>
      <c r="P1" s="1009"/>
      <c r="Q1" s="1009"/>
      <c r="R1" s="1009"/>
      <c r="S1" s="1009"/>
    </row>
    <row r="2" spans="2:21" s="46" customFormat="1" ht="30" customHeight="1" x14ac:dyDescent="0.2">
      <c r="B2" s="1017" t="s">
        <v>23</v>
      </c>
      <c r="C2" s="1017"/>
      <c r="D2" s="1017"/>
      <c r="E2" s="1017"/>
      <c r="F2" s="1017"/>
      <c r="G2" s="1017"/>
      <c r="H2" s="1017"/>
      <c r="I2" s="1017"/>
      <c r="J2" s="1017"/>
      <c r="K2" s="1017"/>
      <c r="L2" s="1017"/>
      <c r="M2" s="1017"/>
      <c r="N2" s="1017"/>
      <c r="O2" s="1017"/>
      <c r="P2" s="1017"/>
      <c r="Q2" s="1017"/>
      <c r="R2" s="1017"/>
    </row>
    <row r="3" spans="2:21" ht="20.100000000000001" customHeight="1" x14ac:dyDescent="0.2">
      <c r="B3" s="1010" t="s">
        <v>99</v>
      </c>
      <c r="C3" s="1011"/>
      <c r="D3" s="1011"/>
      <c r="E3" s="1011"/>
      <c r="F3" s="1011"/>
      <c r="G3" s="1011"/>
      <c r="H3" s="1011"/>
      <c r="I3" s="1011"/>
      <c r="J3" s="1011"/>
      <c r="K3" s="1011"/>
      <c r="L3" s="1011"/>
      <c r="M3" s="1011"/>
      <c r="N3" s="1011"/>
      <c r="O3" s="1011"/>
      <c r="P3" s="1011"/>
      <c r="Q3" s="1012"/>
      <c r="R3" s="1012"/>
      <c r="S3" s="1013"/>
    </row>
    <row r="4" spans="2:21" ht="9.75" customHeight="1" x14ac:dyDescent="0.2">
      <c r="B4" s="1007" t="s">
        <v>100</v>
      </c>
      <c r="C4" s="308" t="s">
        <v>98</v>
      </c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490"/>
      <c r="P4" s="447"/>
      <c r="Q4" s="803"/>
      <c r="R4" s="803"/>
      <c r="S4" s="266"/>
    </row>
    <row r="5" spans="2:21" ht="15" customHeight="1" x14ac:dyDescent="0.2">
      <c r="B5" s="1007"/>
      <c r="C5" s="309">
        <v>1995</v>
      </c>
      <c r="D5" s="310">
        <v>2000</v>
      </c>
      <c r="E5" s="310">
        <v>2001</v>
      </c>
      <c r="F5" s="310">
        <v>2002</v>
      </c>
      <c r="G5" s="310">
        <v>2003</v>
      </c>
      <c r="H5" s="310">
        <v>2004</v>
      </c>
      <c r="I5" s="310">
        <v>2005</v>
      </c>
      <c r="J5" s="310">
        <v>2006</v>
      </c>
      <c r="K5" s="310">
        <v>2007</v>
      </c>
      <c r="L5" s="310">
        <v>2008</v>
      </c>
      <c r="M5" s="310">
        <v>2009</v>
      </c>
      <c r="N5" s="310">
        <v>2010</v>
      </c>
      <c r="O5" s="310">
        <v>2011</v>
      </c>
      <c r="P5" s="310">
        <v>2012</v>
      </c>
      <c r="Q5" s="310">
        <v>2013</v>
      </c>
      <c r="R5" s="310">
        <v>2014</v>
      </c>
      <c r="S5" s="311"/>
    </row>
    <row r="6" spans="2:21" ht="15" customHeight="1" x14ac:dyDescent="0.2">
      <c r="B6" s="1008"/>
      <c r="C6" s="1014" t="s">
        <v>188</v>
      </c>
      <c r="D6" s="1015"/>
      <c r="E6" s="1015"/>
      <c r="F6" s="1015"/>
      <c r="G6" s="1015"/>
      <c r="H6" s="1015"/>
      <c r="I6" s="1015"/>
      <c r="J6" s="1015"/>
      <c r="K6" s="1015"/>
      <c r="L6" s="1015"/>
      <c r="M6" s="1015"/>
      <c r="N6" s="1015"/>
      <c r="O6" s="1015"/>
      <c r="P6" s="1015"/>
      <c r="Q6" s="1015"/>
      <c r="R6" s="1015"/>
      <c r="S6" s="1016"/>
    </row>
    <row r="7" spans="2:21" ht="20.100000000000001" customHeight="1" x14ac:dyDescent="0.2">
      <c r="B7" s="313" t="s">
        <v>24</v>
      </c>
      <c r="C7" s="314">
        <v>311.24599999999998</v>
      </c>
      <c r="D7" s="315">
        <v>350.13600000000002</v>
      </c>
      <c r="E7" s="315">
        <v>361.42200000000003</v>
      </c>
      <c r="F7" s="315">
        <v>372.28</v>
      </c>
      <c r="G7" s="315">
        <v>371.67200000000003</v>
      </c>
      <c r="H7" s="315">
        <v>383.18099999999998</v>
      </c>
      <c r="I7" s="315">
        <v>400.947</v>
      </c>
      <c r="J7" s="315">
        <v>420.62400000000002</v>
      </c>
      <c r="K7" s="315">
        <v>465.14699999999999</v>
      </c>
      <c r="L7" s="315">
        <v>480.86900000000003</v>
      </c>
      <c r="M7" s="315">
        <v>507.666</v>
      </c>
      <c r="N7" s="315">
        <f>501.075+17.201</f>
        <v>518.27599999999995</v>
      </c>
      <c r="O7" s="315">
        <f>533.31+19.66</f>
        <v>552.96999999999991</v>
      </c>
      <c r="P7" s="315">
        <f>578.437+22.572</f>
        <v>601.00900000000001</v>
      </c>
      <c r="Q7" s="919">
        <f>639.537+30.327</f>
        <v>669.86400000000003</v>
      </c>
      <c r="R7" s="919">
        <f>665.973+30.427</f>
        <v>696.4</v>
      </c>
      <c r="S7" s="316"/>
      <c r="U7" s="389"/>
    </row>
    <row r="8" spans="2:21" ht="20.100000000000001" customHeight="1" x14ac:dyDescent="0.2">
      <c r="B8" s="317" t="s">
        <v>237</v>
      </c>
      <c r="C8" s="318">
        <v>223.56400000000002</v>
      </c>
      <c r="D8" s="319">
        <v>257.97500000000002</v>
      </c>
      <c r="E8" s="319">
        <v>266.34699999999998</v>
      </c>
      <c r="F8" s="319">
        <v>274.61200000000002</v>
      </c>
      <c r="G8" s="319">
        <v>277.38600000000002</v>
      </c>
      <c r="H8" s="319">
        <v>292.79100000000005</v>
      </c>
      <c r="I8" s="319">
        <v>316.85000000000002</v>
      </c>
      <c r="J8" s="319">
        <v>332.11</v>
      </c>
      <c r="K8" s="319">
        <v>368.48599999999999</v>
      </c>
      <c r="L8" s="319">
        <v>392.05200000000002</v>
      </c>
      <c r="M8" s="319">
        <v>417.89499999999998</v>
      </c>
      <c r="N8" s="319">
        <v>432.24599999999998</v>
      </c>
      <c r="O8" s="319">
        <v>460.399</v>
      </c>
      <c r="P8" s="505">
        <v>508.58100000000002</v>
      </c>
      <c r="Q8" s="319">
        <v>545.01199999999994</v>
      </c>
      <c r="R8" s="319">
        <v>575.03099999999995</v>
      </c>
      <c r="S8" s="320"/>
    </row>
    <row r="9" spans="2:21" ht="20.100000000000001" customHeight="1" x14ac:dyDescent="0.2">
      <c r="B9" s="317" t="s">
        <v>242</v>
      </c>
      <c r="C9" s="318">
        <v>207.54300000000001</v>
      </c>
      <c r="D9" s="319">
        <v>247.54900000000001</v>
      </c>
      <c r="E9" s="319">
        <v>257.25400000000002</v>
      </c>
      <c r="F9" s="319">
        <v>264.52300000000002</v>
      </c>
      <c r="G9" s="319">
        <v>267.19400000000002</v>
      </c>
      <c r="H9" s="319">
        <v>282.17099999999999</v>
      </c>
      <c r="I9" s="319">
        <v>305.02999999999997</v>
      </c>
      <c r="J9" s="319">
        <v>321.24400000000003</v>
      </c>
      <c r="K9" s="319">
        <v>355.85</v>
      </c>
      <c r="L9" s="319">
        <v>377.38400000000001</v>
      </c>
      <c r="M9" s="319">
        <v>402.88400000000001</v>
      </c>
      <c r="N9" s="319">
        <v>417.61</v>
      </c>
      <c r="O9" s="319">
        <v>444.625</v>
      </c>
      <c r="P9" s="319">
        <v>490.74300000000011</v>
      </c>
      <c r="Q9" s="319"/>
      <c r="R9" s="319">
        <v>558.18399999999997</v>
      </c>
      <c r="S9" s="320"/>
    </row>
    <row r="10" spans="2:21" ht="20.100000000000001" customHeight="1" x14ac:dyDescent="0.2">
      <c r="B10" s="321" t="s">
        <v>25</v>
      </c>
      <c r="C10" s="322">
        <v>51.024000000000001</v>
      </c>
      <c r="D10" s="323">
        <v>49.412999999999997</v>
      </c>
      <c r="E10" s="323">
        <v>45.368000000000002</v>
      </c>
      <c r="F10" s="323">
        <v>42.62</v>
      </c>
      <c r="G10" s="323">
        <v>45.817999999999998</v>
      </c>
      <c r="H10" s="323">
        <v>49.67</v>
      </c>
      <c r="I10" s="323">
        <v>45.414000000000001</v>
      </c>
      <c r="J10" s="323">
        <v>51.569000000000003</v>
      </c>
      <c r="K10" s="323">
        <v>49.341999999999999</v>
      </c>
      <c r="L10" s="323">
        <v>49.689</v>
      </c>
      <c r="M10" s="323">
        <v>52.244</v>
      </c>
      <c r="N10" s="324">
        <f>34.867+15.672</f>
        <v>50.539000000000001</v>
      </c>
      <c r="O10" s="324">
        <f>39.166+16.867</f>
        <v>56.033000000000001</v>
      </c>
      <c r="P10" s="324">
        <f>44.471+18.502</f>
        <v>62.972999999999999</v>
      </c>
      <c r="Q10" s="324">
        <v>69.063999999999993</v>
      </c>
      <c r="R10" s="324">
        <v>70.210999999999999</v>
      </c>
      <c r="S10" s="325"/>
      <c r="U10" s="389"/>
    </row>
    <row r="11" spans="2:21" ht="20.100000000000001" customHeight="1" x14ac:dyDescent="0.2">
      <c r="B11" s="321" t="s">
        <v>26</v>
      </c>
      <c r="C11" s="322">
        <v>18.690999999999999</v>
      </c>
      <c r="D11" s="323">
        <v>15.679</v>
      </c>
      <c r="E11" s="323">
        <v>14.335000000000001</v>
      </c>
      <c r="F11" s="323">
        <v>15.473000000000001</v>
      </c>
      <c r="G11" s="323">
        <v>14.599</v>
      </c>
      <c r="H11" s="323">
        <v>12.605</v>
      </c>
      <c r="I11" s="323">
        <v>14.422000000000001</v>
      </c>
      <c r="J11" s="323">
        <v>12.314</v>
      </c>
      <c r="K11" s="323">
        <v>12.398</v>
      </c>
      <c r="L11" s="323">
        <v>13.47</v>
      </c>
      <c r="M11" s="323">
        <v>13.99</v>
      </c>
      <c r="N11" s="323">
        <f>81.406-N10</f>
        <v>30.867000000000004</v>
      </c>
      <c r="O11" s="323">
        <f>103.088-O10</f>
        <v>47.054999999999993</v>
      </c>
      <c r="P11" s="323">
        <f>110.521-P10</f>
        <v>47.548000000000002</v>
      </c>
      <c r="Q11" s="323">
        <v>22.651</v>
      </c>
      <c r="R11" s="323">
        <v>31.838000000000001</v>
      </c>
      <c r="S11" s="325"/>
    </row>
    <row r="12" spans="2:21" ht="20.100000000000001" customHeight="1" x14ac:dyDescent="0.2">
      <c r="B12" s="321" t="s">
        <v>27</v>
      </c>
      <c r="C12" s="322">
        <v>246.72200000000001</v>
      </c>
      <c r="D12" s="323">
        <v>292.72199999999998</v>
      </c>
      <c r="E12" s="323">
        <v>301.20699999999999</v>
      </c>
      <c r="F12" s="323">
        <v>304.7</v>
      </c>
      <c r="G12" s="323">
        <v>313.80799999999999</v>
      </c>
      <c r="H12" s="323">
        <v>329.48500000000001</v>
      </c>
      <c r="I12" s="323">
        <v>361.31099999999998</v>
      </c>
      <c r="J12" s="323">
        <v>399.41899999999998</v>
      </c>
      <c r="K12" s="323">
        <v>423.42500000000001</v>
      </c>
      <c r="L12" s="323">
        <v>462.661</v>
      </c>
      <c r="M12" s="323">
        <v>497.78800000000001</v>
      </c>
      <c r="N12" s="323">
        <f>548.037-17.201+1.61</f>
        <v>532.44600000000003</v>
      </c>
      <c r="O12" s="323">
        <f>1.658+578.392-19.66</f>
        <v>560.3900000000001</v>
      </c>
      <c r="P12" s="323">
        <f>628.822-22.572+1.225</f>
        <v>607.47500000000002</v>
      </c>
      <c r="Q12" s="323">
        <f>778.693-30.327</f>
        <v>748.36599999999999</v>
      </c>
      <c r="R12" s="323">
        <f>811.253-30.427</f>
        <v>780.82600000000002</v>
      </c>
      <c r="S12" s="325"/>
    </row>
    <row r="13" spans="2:21" ht="20.100000000000001" customHeight="1" x14ac:dyDescent="0.2">
      <c r="B13" s="321" t="s">
        <v>28</v>
      </c>
      <c r="C13" s="322">
        <v>6.742</v>
      </c>
      <c r="D13" s="323">
        <v>7.1210000000000004</v>
      </c>
      <c r="E13" s="323">
        <v>5.4390000000000001</v>
      </c>
      <c r="F13" s="323">
        <v>5.1230000000000002</v>
      </c>
      <c r="G13" s="323">
        <v>4.8310000000000004</v>
      </c>
      <c r="H13" s="323">
        <v>4.7270000000000003</v>
      </c>
      <c r="I13" s="323">
        <v>5.1420000000000003</v>
      </c>
      <c r="J13" s="323">
        <v>5.0389999999999997</v>
      </c>
      <c r="K13" s="323">
        <v>5.016</v>
      </c>
      <c r="L13" s="323">
        <v>5.07</v>
      </c>
      <c r="M13" s="323">
        <v>5.04</v>
      </c>
      <c r="N13" s="323">
        <f>6.981</f>
        <v>6.9809999999999999</v>
      </c>
      <c r="O13" s="323">
        <v>7.5860000000000003</v>
      </c>
      <c r="P13" s="323">
        <v>8.8179999999999996</v>
      </c>
      <c r="Q13" s="323">
        <v>12.753</v>
      </c>
      <c r="R13" s="323">
        <v>13.64</v>
      </c>
      <c r="S13" s="325"/>
    </row>
    <row r="14" spans="2:21" ht="20.100000000000001" customHeight="1" x14ac:dyDescent="0.2">
      <c r="B14" s="321" t="s">
        <v>29</v>
      </c>
      <c r="C14" s="326">
        <v>37.956000000000003</v>
      </c>
      <c r="D14" s="323">
        <v>38.115000000000002</v>
      </c>
      <c r="E14" s="323">
        <v>42.411999999999999</v>
      </c>
      <c r="F14" s="323">
        <v>51.149000000000051</v>
      </c>
      <c r="G14" s="323">
        <v>57.487000000000002</v>
      </c>
      <c r="H14" s="323">
        <v>52.56</v>
      </c>
      <c r="I14" s="323">
        <v>52.686999999999998</v>
      </c>
      <c r="J14" s="323">
        <v>47.4</v>
      </c>
      <c r="K14" s="323">
        <v>45.79</v>
      </c>
      <c r="L14" s="323">
        <v>59.274000000000001</v>
      </c>
      <c r="M14" s="323">
        <v>67.647000000000006</v>
      </c>
      <c r="N14" s="323">
        <v>86.555000000000007</v>
      </c>
      <c r="O14" s="323">
        <v>116.621</v>
      </c>
      <c r="P14" s="323">
        <v>126.018</v>
      </c>
      <c r="Q14" s="323">
        <v>8.1780000000000008</v>
      </c>
      <c r="R14" s="323">
        <v>3.0070000000000001</v>
      </c>
      <c r="S14" s="325"/>
      <c r="T14" s="347"/>
      <c r="U14" s="389"/>
    </row>
    <row r="15" spans="2:21" ht="20.100000000000001" customHeight="1" x14ac:dyDescent="0.2">
      <c r="B15" s="327" t="s">
        <v>79</v>
      </c>
      <c r="C15" s="921">
        <v>672.38099999999997</v>
      </c>
      <c r="D15" s="922">
        <v>753.226</v>
      </c>
      <c r="E15" s="922">
        <v>770.18299999999999</v>
      </c>
      <c r="F15" s="922">
        <v>791.34500000000003</v>
      </c>
      <c r="G15" s="922">
        <v>808.21500000000003</v>
      </c>
      <c r="H15" s="922">
        <v>832.22799999999995</v>
      </c>
      <c r="I15" s="922">
        <f>827.237+52.686</f>
        <v>879.923</v>
      </c>
      <c r="J15" s="922">
        <v>936.36300000000006</v>
      </c>
      <c r="K15" s="922">
        <v>1001.1180000000001</v>
      </c>
      <c r="L15" s="922">
        <v>1071.0329999999999</v>
      </c>
      <c r="M15" s="922">
        <v>1144.375</v>
      </c>
      <c r="N15" s="922">
        <f>1225.665</f>
        <v>1225.665</v>
      </c>
      <c r="O15" s="922">
        <f>1340.655</f>
        <v>1340.655</v>
      </c>
      <c r="P15" s="922">
        <v>1453.8420000000001</v>
      </c>
      <c r="Q15" s="922">
        <f>Q10+Q11+Q12+Q13+Q14+Q7</f>
        <v>1530.8760000000002</v>
      </c>
      <c r="R15" s="922">
        <f>R10+R11+R12+R13+R14+R7</f>
        <v>1595.922</v>
      </c>
      <c r="S15" s="328"/>
    </row>
    <row r="16" spans="2:21" ht="20.100000000000001" customHeight="1" x14ac:dyDescent="0.2">
      <c r="B16" s="329"/>
      <c r="C16" s="1003" t="s">
        <v>101</v>
      </c>
      <c r="D16" s="1004"/>
      <c r="E16" s="1004"/>
      <c r="F16" s="1004"/>
      <c r="G16" s="1004"/>
      <c r="H16" s="1004"/>
      <c r="I16" s="1004"/>
      <c r="J16" s="1004"/>
      <c r="K16" s="1004"/>
      <c r="L16" s="1004"/>
      <c r="M16" s="1004"/>
      <c r="N16" s="1004"/>
      <c r="O16" s="1004"/>
      <c r="P16" s="1004"/>
      <c r="Q16" s="1004"/>
      <c r="R16" s="1004"/>
      <c r="S16" s="1005"/>
    </row>
    <row r="17" spans="1:19" ht="20.100000000000001" customHeight="1" x14ac:dyDescent="0.2">
      <c r="B17" s="51" t="s">
        <v>238</v>
      </c>
      <c r="C17" s="330">
        <f t="shared" ref="C17:J17" si="0">C8/C15</f>
        <v>0.33249601044645821</v>
      </c>
      <c r="D17" s="331">
        <f t="shared" si="0"/>
        <v>0.34249348801023866</v>
      </c>
      <c r="E17" s="331">
        <f t="shared" si="0"/>
        <v>0.34582300570124241</v>
      </c>
      <c r="F17" s="331">
        <f t="shared" si="0"/>
        <v>0.34701931521649854</v>
      </c>
      <c r="G17" s="331">
        <f t="shared" si="0"/>
        <v>0.34320818099144412</v>
      </c>
      <c r="H17" s="331">
        <f t="shared" si="0"/>
        <v>0.35181584854150555</v>
      </c>
      <c r="I17" s="331">
        <f t="shared" si="0"/>
        <v>0.36008832591033535</v>
      </c>
      <c r="J17" s="331">
        <f t="shared" si="0"/>
        <v>0.35468082356949177</v>
      </c>
      <c r="K17" s="331">
        <f>K8/K15</f>
        <v>0.36807449271714221</v>
      </c>
      <c r="L17" s="331">
        <f>L8/L15</f>
        <v>0.36605034578766488</v>
      </c>
      <c r="M17" s="332">
        <f>M8/M15</f>
        <v>0.36517312943746583</v>
      </c>
      <c r="N17" s="332">
        <f>N8/N15</f>
        <v>0.35266243223066662</v>
      </c>
      <c r="O17" s="332">
        <f>O8/O15</f>
        <v>0.34341348072397448</v>
      </c>
      <c r="P17" s="506">
        <v>0.34981861852938628</v>
      </c>
      <c r="Q17" s="920">
        <f>Q8/Q15</f>
        <v>0.35601315847919746</v>
      </c>
      <c r="R17" s="920">
        <f>R8/R15</f>
        <v>0.36031272205032572</v>
      </c>
      <c r="S17" s="333"/>
    </row>
    <row r="18" spans="1:19" ht="20.100000000000001" customHeight="1" x14ac:dyDescent="0.2">
      <c r="B18" s="52" t="s">
        <v>243</v>
      </c>
      <c r="C18" s="334">
        <f t="shared" ref="C18:J18" si="1">C9/C15</f>
        <v>0.30866874584498971</v>
      </c>
      <c r="D18" s="335">
        <f t="shared" si="1"/>
        <v>0.32865169285181339</v>
      </c>
      <c r="E18" s="335">
        <f t="shared" si="1"/>
        <v>0.33401672070144373</v>
      </c>
      <c r="F18" s="335">
        <f t="shared" si="1"/>
        <v>0.33427013502328318</v>
      </c>
      <c r="G18" s="335">
        <f t="shared" si="1"/>
        <v>0.3305976751235748</v>
      </c>
      <c r="H18" s="335">
        <f t="shared" si="1"/>
        <v>0.33905492244913654</v>
      </c>
      <c r="I18" s="335">
        <f t="shared" si="1"/>
        <v>0.34665533234157986</v>
      </c>
      <c r="J18" s="335">
        <f t="shared" si="1"/>
        <v>0.34307634966353862</v>
      </c>
      <c r="K18" s="335">
        <f>K9/K15</f>
        <v>0.35545260398874057</v>
      </c>
      <c r="L18" s="335">
        <f>L9/L15</f>
        <v>0.3523551561903322</v>
      </c>
      <c r="M18" s="336">
        <f>M9/M15</f>
        <v>0.3520559257236483</v>
      </c>
      <c r="N18" s="336">
        <f>N9/N15</f>
        <v>0.34072115953380411</v>
      </c>
      <c r="O18" s="336">
        <f>O9/O15</f>
        <v>0.3316475901704764</v>
      </c>
      <c r="P18" s="336">
        <v>0.33754905966398002</v>
      </c>
      <c r="Q18" s="336"/>
      <c r="R18" s="336">
        <f>R9/R15</f>
        <v>0.34975644173086151</v>
      </c>
      <c r="S18" s="337"/>
    </row>
    <row r="19" spans="1:19" ht="27.75" customHeight="1" x14ac:dyDescent="0.2">
      <c r="B19" s="53" t="s">
        <v>239</v>
      </c>
      <c r="C19" s="338">
        <v>0.56499999999999995</v>
      </c>
      <c r="D19" s="339">
        <v>0.68100000000000005</v>
      </c>
      <c r="E19" s="339">
        <v>0.66400000000000003</v>
      </c>
      <c r="F19" s="339">
        <v>0.66800000000000004</v>
      </c>
      <c r="G19" s="339">
        <v>0.67800000000000005</v>
      </c>
      <c r="H19" s="339">
        <v>0.67800000000000005</v>
      </c>
      <c r="I19" s="340">
        <v>0.67800000000000005</v>
      </c>
      <c r="J19" s="340">
        <v>0.67700000000000005</v>
      </c>
      <c r="K19" s="340">
        <v>0.69299999999999995</v>
      </c>
      <c r="L19" s="340">
        <v>0.68600000000000005</v>
      </c>
      <c r="M19" s="341">
        <v>0.69399999999999995</v>
      </c>
      <c r="N19" s="341">
        <v>0.69399999999999995</v>
      </c>
      <c r="O19" s="341">
        <v>0.69108534119318255</v>
      </c>
      <c r="P19" s="507">
        <v>0.70584626637644754</v>
      </c>
      <c r="Q19" s="341"/>
      <c r="R19" s="341">
        <v>0.7401988063273004</v>
      </c>
      <c r="S19" s="342"/>
    </row>
    <row r="20" spans="1:19" ht="24.75" customHeight="1" x14ac:dyDescent="0.2">
      <c r="B20" s="54" t="s">
        <v>244</v>
      </c>
      <c r="C20" s="343">
        <v>0.57699999999999996</v>
      </c>
      <c r="D20" s="344">
        <v>0.67700000000000005</v>
      </c>
      <c r="E20" s="344">
        <v>0.67</v>
      </c>
      <c r="F20" s="344">
        <v>0.66700000000000004</v>
      </c>
      <c r="G20" s="344">
        <v>0.67700000000000005</v>
      </c>
      <c r="H20" s="344">
        <v>0.67700000000000005</v>
      </c>
      <c r="I20" s="344">
        <v>0.67037999999999998</v>
      </c>
      <c r="J20" s="344">
        <v>0.67600000000000005</v>
      </c>
      <c r="K20" s="344">
        <v>0.69399999999999995</v>
      </c>
      <c r="L20" s="344">
        <v>0.68700000000000006</v>
      </c>
      <c r="M20" s="345">
        <v>0.69299999999999995</v>
      </c>
      <c r="N20" s="345">
        <v>0.69299999999999995</v>
      </c>
      <c r="O20" s="345">
        <v>0.69128366601068336</v>
      </c>
      <c r="P20" s="345">
        <v>0.70599274976922732</v>
      </c>
      <c r="Q20" s="345"/>
      <c r="R20" s="345">
        <v>0.74153684089834182</v>
      </c>
      <c r="S20" s="346"/>
    </row>
    <row r="21" spans="1:19" ht="26.25" customHeight="1" x14ac:dyDescent="0.2">
      <c r="B21" s="1022" t="s">
        <v>266</v>
      </c>
      <c r="C21" s="1022"/>
      <c r="D21" s="1022"/>
      <c r="E21" s="1022"/>
      <c r="F21" s="1022"/>
      <c r="G21" s="1022"/>
      <c r="H21" s="1022"/>
      <c r="I21" s="1022"/>
      <c r="J21" s="1022"/>
      <c r="K21" s="1022"/>
      <c r="L21" s="1023"/>
      <c r="M21" s="526"/>
      <c r="N21" s="526"/>
      <c r="O21" s="526"/>
      <c r="P21" s="526"/>
    </row>
    <row r="22" spans="1:19" ht="15" customHeight="1" x14ac:dyDescent="0.2">
      <c r="A22" s="1"/>
      <c r="B22" s="1018" t="s">
        <v>189</v>
      </c>
      <c r="C22" s="1018"/>
      <c r="D22" s="1018"/>
      <c r="E22" s="1018"/>
      <c r="F22" s="1018"/>
      <c r="G22" s="1018"/>
      <c r="H22" s="1018"/>
      <c r="I22" s="1018"/>
      <c r="J22" s="1018"/>
      <c r="K22" s="968"/>
      <c r="L22" s="968"/>
      <c r="M22" s="526"/>
      <c r="N22" s="526"/>
      <c r="O22" s="526"/>
      <c r="P22" s="526"/>
    </row>
    <row r="23" spans="1:19" ht="15" customHeight="1" x14ac:dyDescent="0.2">
      <c r="A23" s="1"/>
      <c r="B23" s="1019" t="s">
        <v>170</v>
      </c>
      <c r="C23" s="1019"/>
      <c r="D23" s="1019"/>
      <c r="E23" s="1019"/>
      <c r="F23" s="1019"/>
      <c r="G23" s="1019"/>
      <c r="H23" s="1019"/>
      <c r="I23" s="1019"/>
      <c r="J23" s="1019"/>
      <c r="K23" s="1020"/>
      <c r="L23" s="1020"/>
      <c r="M23" s="347"/>
      <c r="N23" s="347"/>
      <c r="O23" s="347"/>
      <c r="P23" s="347"/>
      <c r="Q23" s="347"/>
      <c r="R23" s="347"/>
    </row>
    <row r="24" spans="1:19" ht="24.75" customHeight="1" x14ac:dyDescent="0.2">
      <c r="A24" s="1"/>
      <c r="B24" s="1021" t="s">
        <v>230</v>
      </c>
      <c r="C24" s="1021"/>
      <c r="D24" s="1021"/>
      <c r="E24" s="1021"/>
      <c r="F24" s="1021"/>
      <c r="G24" s="1021"/>
      <c r="H24" s="1021"/>
      <c r="I24" s="1021"/>
      <c r="J24" s="1021"/>
      <c r="K24" s="1021"/>
      <c r="L24" s="968"/>
      <c r="M24" s="347"/>
      <c r="N24" s="526"/>
      <c r="O24" s="526"/>
      <c r="P24" s="526"/>
    </row>
    <row r="25" spans="1:19" ht="14.25" customHeight="1" x14ac:dyDescent="0.2">
      <c r="A25" s="1"/>
      <c r="B25" s="804" t="s">
        <v>240</v>
      </c>
      <c r="C25" s="804"/>
      <c r="D25" s="804"/>
      <c r="E25" s="804"/>
      <c r="F25" s="804"/>
      <c r="G25" s="804"/>
      <c r="H25" s="804"/>
      <c r="I25" s="804"/>
      <c r="J25" s="804"/>
      <c r="K25" s="804"/>
      <c r="L25" s="802"/>
      <c r="M25" s="347"/>
      <c r="N25" s="526"/>
      <c r="O25" s="526"/>
      <c r="P25" s="526"/>
    </row>
    <row r="26" spans="1:19" ht="22.5" customHeight="1" x14ac:dyDescent="0.2">
      <c r="B26" s="1021" t="s">
        <v>231</v>
      </c>
      <c r="C26" s="1021"/>
      <c r="D26" s="1021"/>
      <c r="E26" s="1021"/>
      <c r="F26" s="1021"/>
      <c r="G26" s="1021"/>
      <c r="H26" s="1021"/>
      <c r="I26" s="1021"/>
      <c r="J26" s="1021"/>
      <c r="K26" s="968"/>
      <c r="L26" s="968"/>
      <c r="M26" s="526"/>
      <c r="N26" s="526"/>
      <c r="O26" s="526"/>
      <c r="P26" s="526"/>
    </row>
    <row r="27" spans="1:19" x14ac:dyDescent="0.2">
      <c r="B27" s="3"/>
    </row>
  </sheetData>
  <mergeCells count="12">
    <mergeCell ref="B22:L22"/>
    <mergeCell ref="B23:L23"/>
    <mergeCell ref="B24:L24"/>
    <mergeCell ref="B26:L26"/>
    <mergeCell ref="B21:L21"/>
    <mergeCell ref="C16:S16"/>
    <mergeCell ref="B1:C1"/>
    <mergeCell ref="B4:B6"/>
    <mergeCell ref="M1:S1"/>
    <mergeCell ref="B3:S3"/>
    <mergeCell ref="C6:S6"/>
    <mergeCell ref="B2:R2"/>
  </mergeCells>
  <phoneticPr fontId="4" type="noConversion"/>
  <printOptions horizontalCentered="1"/>
  <pageMargins left="0.6692913385826772" right="0.6692913385826772" top="0.51181102362204722" bottom="0.27559055118110237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5"/>
  <dimension ref="B1:O46"/>
  <sheetViews>
    <sheetView workbookViewId="0">
      <selection activeCell="Q22" sqref="Q22"/>
    </sheetView>
  </sheetViews>
  <sheetFormatPr defaultRowHeight="12.75" x14ac:dyDescent="0.2"/>
  <cols>
    <col min="1" max="1" width="1.85546875" customWidth="1"/>
    <col min="2" max="2" width="22.7109375" customWidth="1"/>
    <col min="3" max="3" width="8" customWidth="1"/>
    <col min="4" max="4" width="1.7109375" customWidth="1"/>
    <col min="5" max="5" width="6.7109375" customWidth="1"/>
    <col min="6" max="6" width="1.7109375" customWidth="1"/>
    <col min="7" max="7" width="5.7109375" customWidth="1"/>
    <col min="8" max="8" width="12.42578125" customWidth="1"/>
    <col min="9" max="9" width="1.7109375" customWidth="1"/>
    <col min="10" max="10" width="9.7109375" customWidth="1"/>
    <col min="11" max="11" width="1.7109375" customWidth="1"/>
    <col min="12" max="12" width="7.28515625" customWidth="1"/>
    <col min="13" max="13" width="2.5703125" customWidth="1"/>
  </cols>
  <sheetData>
    <row r="1" spans="2:15" ht="14.25" customHeight="1" x14ac:dyDescent="0.3">
      <c r="B1" s="1006"/>
      <c r="C1" s="1006"/>
      <c r="D1" s="114"/>
      <c r="E1" s="70"/>
      <c r="M1" s="16" t="s">
        <v>160</v>
      </c>
    </row>
    <row r="2" spans="2:15" s="46" customFormat="1" ht="30" customHeight="1" x14ac:dyDescent="0.2">
      <c r="B2" s="984" t="s">
        <v>23</v>
      </c>
      <c r="C2" s="984"/>
      <c r="D2" s="984"/>
      <c r="E2" s="984"/>
      <c r="F2" s="984"/>
      <c r="G2" s="984"/>
      <c r="H2" s="984"/>
      <c r="I2" s="984"/>
      <c r="J2" s="984"/>
      <c r="K2" s="984"/>
      <c r="L2" s="984"/>
      <c r="O2" s="448"/>
    </row>
    <row r="3" spans="2:15" s="94" customFormat="1" ht="30" customHeight="1" x14ac:dyDescent="0.2">
      <c r="B3" s="1028" t="s">
        <v>135</v>
      </c>
      <c r="C3" s="1028"/>
      <c r="D3" s="1028"/>
      <c r="E3" s="1028"/>
      <c r="F3" s="1028"/>
      <c r="G3" s="1028"/>
      <c r="H3" s="1028"/>
      <c r="I3" s="1028"/>
      <c r="J3" s="1028"/>
      <c r="K3" s="1028"/>
      <c r="L3" s="1028"/>
    </row>
    <row r="4" spans="2:15" ht="20.100000000000001" customHeight="1" x14ac:dyDescent="0.2">
      <c r="B4" s="348" t="s">
        <v>264</v>
      </c>
      <c r="C4" s="991" t="s">
        <v>21</v>
      </c>
      <c r="D4" s="992"/>
      <c r="E4" s="992"/>
      <c r="F4" s="992"/>
      <c r="G4" s="997"/>
      <c r="H4" s="991" t="s">
        <v>190</v>
      </c>
      <c r="I4" s="992"/>
      <c r="J4" s="992"/>
      <c r="K4" s="992"/>
      <c r="L4" s="997"/>
    </row>
    <row r="5" spans="2:15" ht="20.100000000000001" customHeight="1" x14ac:dyDescent="0.2">
      <c r="B5" s="312" t="s">
        <v>34</v>
      </c>
      <c r="C5" s="1024" t="s">
        <v>78</v>
      </c>
      <c r="D5" s="1025"/>
      <c r="E5" s="1026" t="s">
        <v>236</v>
      </c>
      <c r="F5" s="1027"/>
      <c r="G5" s="349" t="s">
        <v>106</v>
      </c>
      <c r="H5" s="1024" t="s">
        <v>78</v>
      </c>
      <c r="I5" s="1025"/>
      <c r="J5" s="1026" t="s">
        <v>236</v>
      </c>
      <c r="K5" s="1027"/>
      <c r="L5" s="349" t="s">
        <v>106</v>
      </c>
    </row>
    <row r="6" spans="2:15" ht="30" customHeight="1" x14ac:dyDescent="0.2">
      <c r="B6" s="350" t="s">
        <v>112</v>
      </c>
      <c r="C6" s="923">
        <f>C7+C12+C15+C16+C23</f>
        <v>40246</v>
      </c>
      <c r="D6" s="924"/>
      <c r="E6" s="925">
        <f>E7+E12+E15+E16+E23</f>
        <v>13166</v>
      </c>
      <c r="F6" s="351"/>
      <c r="G6" s="352">
        <f>E6/C6</f>
        <v>0.327138100680813</v>
      </c>
      <c r="H6" s="923">
        <f>H7+H12+H15+H16+H23</f>
        <v>1595922</v>
      </c>
      <c r="I6" s="941"/>
      <c r="J6" s="925">
        <f>J7+J12+J15+J16+J23</f>
        <v>575030</v>
      </c>
      <c r="K6" s="925"/>
      <c r="L6" s="352">
        <f>J6/H6</f>
        <v>0.36031209545328657</v>
      </c>
      <c r="N6" s="44"/>
    </row>
    <row r="7" spans="2:15" ht="24.95" customHeight="1" x14ac:dyDescent="0.2">
      <c r="B7" s="353" t="s">
        <v>136</v>
      </c>
      <c r="C7" s="926">
        <v>10839</v>
      </c>
      <c r="D7" s="927"/>
      <c r="E7" s="928">
        <f>SUM(E9:E11)+18</f>
        <v>3401</v>
      </c>
      <c r="F7" s="256"/>
      <c r="G7" s="354">
        <f t="shared" ref="G7:G23" si="0">E7/C7</f>
        <v>0.31377433342559274</v>
      </c>
      <c r="H7" s="926">
        <v>565025</v>
      </c>
      <c r="I7" s="942"/>
      <c r="J7" s="928">
        <v>205145</v>
      </c>
      <c r="K7" s="928"/>
      <c r="L7" s="355">
        <f t="shared" ref="L7:L23" si="1">J7/H7</f>
        <v>0.36307243042343257</v>
      </c>
      <c r="N7" s="44"/>
      <c r="O7" s="389"/>
    </row>
    <row r="8" spans="2:15" ht="11.1" customHeight="1" x14ac:dyDescent="0.2">
      <c r="B8" s="356" t="s">
        <v>85</v>
      </c>
      <c r="C8" s="929"/>
      <c r="D8" s="930"/>
      <c r="E8" s="931"/>
      <c r="F8" s="68"/>
      <c r="G8" s="357"/>
      <c r="H8" s="929"/>
      <c r="I8" s="930"/>
      <c r="J8" s="943"/>
      <c r="K8" s="943"/>
      <c r="L8" s="359"/>
      <c r="N8" s="44"/>
    </row>
    <row r="9" spans="2:15" ht="22.5" customHeight="1" x14ac:dyDescent="0.2">
      <c r="B9" s="360" t="s">
        <v>267</v>
      </c>
      <c r="C9" s="929">
        <v>5174</v>
      </c>
      <c r="D9" s="930"/>
      <c r="E9" s="931">
        <v>1451</v>
      </c>
      <c r="F9" s="68"/>
      <c r="G9" s="357">
        <f t="shared" si="0"/>
        <v>0.28044066486277541</v>
      </c>
      <c r="H9" s="929">
        <v>429660</v>
      </c>
      <c r="I9" s="930"/>
      <c r="J9" s="943">
        <v>153275</v>
      </c>
      <c r="K9" s="943"/>
      <c r="L9" s="359">
        <f t="shared" si="1"/>
        <v>0.3567355583484616</v>
      </c>
      <c r="N9" s="44"/>
      <c r="O9" s="93"/>
    </row>
    <row r="10" spans="2:15" ht="15" customHeight="1" x14ac:dyDescent="0.2">
      <c r="B10" s="360" t="s">
        <v>268</v>
      </c>
      <c r="C10" s="929">
        <v>4181</v>
      </c>
      <c r="D10" s="930"/>
      <c r="E10" s="931">
        <v>1537</v>
      </c>
      <c r="F10" s="68"/>
      <c r="G10" s="357">
        <f t="shared" si="0"/>
        <v>0.3676154030136331</v>
      </c>
      <c r="H10" s="929">
        <v>88208</v>
      </c>
      <c r="I10" s="930"/>
      <c r="J10" s="943">
        <v>40212</v>
      </c>
      <c r="K10" s="944"/>
      <c r="L10" s="359">
        <f t="shared" si="1"/>
        <v>0.45587701795755486</v>
      </c>
      <c r="N10" s="44"/>
      <c r="O10" s="93"/>
    </row>
    <row r="11" spans="2:15" ht="15" customHeight="1" x14ac:dyDescent="0.2">
      <c r="B11" s="360" t="s">
        <v>89</v>
      </c>
      <c r="C11" s="929">
        <v>1399</v>
      </c>
      <c r="D11" s="930"/>
      <c r="E11" s="931">
        <v>395</v>
      </c>
      <c r="F11" s="68"/>
      <c r="G11" s="357">
        <f t="shared" si="0"/>
        <v>0.28234453180843461</v>
      </c>
      <c r="H11" s="943">
        <v>46183</v>
      </c>
      <c r="I11" s="930"/>
      <c r="J11" s="943">
        <v>10571</v>
      </c>
      <c r="K11" s="944"/>
      <c r="L11" s="359">
        <f t="shared" si="1"/>
        <v>0.22889374878201935</v>
      </c>
      <c r="N11" s="44"/>
      <c r="O11" s="93"/>
    </row>
    <row r="12" spans="2:15" ht="24.95" customHeight="1" x14ac:dyDescent="0.2">
      <c r="B12" s="361" t="s">
        <v>31</v>
      </c>
      <c r="C12" s="932">
        <v>9971</v>
      </c>
      <c r="D12" s="933"/>
      <c r="E12" s="934">
        <v>2855</v>
      </c>
      <c r="F12" s="362"/>
      <c r="G12" s="352">
        <f t="shared" si="0"/>
        <v>0.28633035803831108</v>
      </c>
      <c r="H12" s="932">
        <v>705358</v>
      </c>
      <c r="I12" s="933"/>
      <c r="J12" s="945">
        <v>208108</v>
      </c>
      <c r="K12" s="946"/>
      <c r="L12" s="364">
        <f t="shared" si="1"/>
        <v>0.29503883134521758</v>
      </c>
      <c r="N12" s="44"/>
      <c r="O12" s="93"/>
    </row>
    <row r="13" spans="2:15" ht="9.75" hidden="1" customHeight="1" x14ac:dyDescent="0.2">
      <c r="B13" s="356" t="s">
        <v>85</v>
      </c>
      <c r="C13" s="929"/>
      <c r="D13" s="930"/>
      <c r="E13" s="931"/>
      <c r="F13" s="68"/>
      <c r="G13" s="352" t="e">
        <f t="shared" si="0"/>
        <v>#DIV/0!</v>
      </c>
      <c r="H13" s="929"/>
      <c r="I13" s="930"/>
      <c r="J13" s="943"/>
      <c r="K13" s="943"/>
      <c r="L13" s="359" t="e">
        <f t="shared" si="1"/>
        <v>#DIV/0!</v>
      </c>
      <c r="N13" s="44"/>
      <c r="O13" s="389"/>
    </row>
    <row r="14" spans="2:15" ht="15" hidden="1" customHeight="1" x14ac:dyDescent="0.2">
      <c r="B14" s="365" t="s">
        <v>90</v>
      </c>
      <c r="C14" s="935"/>
      <c r="D14" s="936"/>
      <c r="E14" s="937"/>
      <c r="F14" s="67"/>
      <c r="G14" s="352" t="e">
        <f t="shared" si="0"/>
        <v>#DIV/0!</v>
      </c>
      <c r="H14" s="935"/>
      <c r="I14" s="936"/>
      <c r="J14" s="947"/>
      <c r="K14" s="947"/>
      <c r="L14" s="367" t="e">
        <f t="shared" si="1"/>
        <v>#DIV/0!</v>
      </c>
      <c r="N14" s="44"/>
      <c r="O14" s="389"/>
    </row>
    <row r="15" spans="2:15" ht="24.95" customHeight="1" x14ac:dyDescent="0.2">
      <c r="B15" s="350" t="s">
        <v>91</v>
      </c>
      <c r="C15" s="923">
        <v>5103</v>
      </c>
      <c r="D15" s="938"/>
      <c r="E15" s="939">
        <v>2771</v>
      </c>
      <c r="F15" s="368"/>
      <c r="G15" s="352">
        <f t="shared" si="0"/>
        <v>0.54301391338428373</v>
      </c>
      <c r="H15" s="923">
        <v>216272</v>
      </c>
      <c r="I15" s="938"/>
      <c r="J15" s="925">
        <v>127970</v>
      </c>
      <c r="K15" s="948"/>
      <c r="L15" s="369">
        <f t="shared" si="1"/>
        <v>0.5917085891839905</v>
      </c>
      <c r="N15" s="44"/>
      <c r="O15" s="93"/>
    </row>
    <row r="16" spans="2:15" ht="24.95" customHeight="1" x14ac:dyDescent="0.2">
      <c r="B16" s="353" t="s">
        <v>32</v>
      </c>
      <c r="C16" s="926">
        <f>SUM(C18:C22)</f>
        <v>12250</v>
      </c>
      <c r="D16" s="940"/>
      <c r="E16" s="928">
        <v>3391</v>
      </c>
      <c r="F16" s="69"/>
      <c r="G16" s="354">
        <f t="shared" si="0"/>
        <v>0.27681632653061222</v>
      </c>
      <c r="H16" s="926">
        <f>SUM(H18:H22)</f>
        <v>103282</v>
      </c>
      <c r="I16" s="940"/>
      <c r="J16" s="928">
        <v>31309</v>
      </c>
      <c r="K16" s="949"/>
      <c r="L16" s="370">
        <f t="shared" si="1"/>
        <v>0.30314091516430741</v>
      </c>
      <c r="N16" s="44"/>
      <c r="O16" s="389"/>
    </row>
    <row r="17" spans="2:15" ht="11.1" customHeight="1" x14ac:dyDescent="0.2">
      <c r="B17" s="356" t="s">
        <v>85</v>
      </c>
      <c r="C17" s="929"/>
      <c r="D17" s="930"/>
      <c r="E17" s="931"/>
      <c r="F17" s="68"/>
      <c r="G17" s="357"/>
      <c r="H17" s="929"/>
      <c r="I17" s="930"/>
      <c r="J17" s="943"/>
      <c r="K17" s="943"/>
      <c r="L17" s="359"/>
      <c r="N17" s="44"/>
    </row>
    <row r="18" spans="2:15" ht="15" customHeight="1" x14ac:dyDescent="0.2">
      <c r="B18" s="360" t="s">
        <v>269</v>
      </c>
      <c r="C18" s="929">
        <v>8690</v>
      </c>
      <c r="D18" s="930"/>
      <c r="E18" s="931">
        <v>2259</v>
      </c>
      <c r="F18" s="68"/>
      <c r="G18" s="357">
        <f t="shared" si="0"/>
        <v>0.25995397008055238</v>
      </c>
      <c r="H18" s="929">
        <v>48720</v>
      </c>
      <c r="I18" s="930"/>
      <c r="J18" s="943">
        <v>13882</v>
      </c>
      <c r="K18" s="943"/>
      <c r="L18" s="359">
        <f t="shared" si="1"/>
        <v>0.28493431855500823</v>
      </c>
      <c r="M18" s="70"/>
      <c r="N18" s="44"/>
      <c r="O18" s="389"/>
    </row>
    <row r="19" spans="2:15" ht="15" customHeight="1" x14ac:dyDescent="0.2">
      <c r="B19" s="360" t="s">
        <v>270</v>
      </c>
      <c r="C19" s="929">
        <v>1215</v>
      </c>
      <c r="D19" s="930"/>
      <c r="E19" s="931">
        <v>505</v>
      </c>
      <c r="F19" s="68"/>
      <c r="G19" s="357">
        <f t="shared" si="0"/>
        <v>0.41563786008230452</v>
      </c>
      <c r="H19" s="929">
        <v>31179</v>
      </c>
      <c r="I19" s="930"/>
      <c r="J19" s="943">
        <v>10270</v>
      </c>
      <c r="K19" s="943"/>
      <c r="L19" s="359">
        <f t="shared" si="1"/>
        <v>0.32938837037749769</v>
      </c>
      <c r="N19" s="44"/>
    </row>
    <row r="20" spans="2:15" ht="15" customHeight="1" x14ac:dyDescent="0.2">
      <c r="B20" s="360" t="s">
        <v>271</v>
      </c>
      <c r="C20" s="929">
        <v>754</v>
      </c>
      <c r="D20" s="930"/>
      <c r="E20" s="931">
        <v>94</v>
      </c>
      <c r="F20" s="68"/>
      <c r="G20" s="357">
        <f t="shared" si="0"/>
        <v>0.12466843501326259</v>
      </c>
      <c r="H20" s="929">
        <v>11867</v>
      </c>
      <c r="I20" s="930"/>
      <c r="J20" s="943">
        <v>1499</v>
      </c>
      <c r="K20" s="943"/>
      <c r="L20" s="359">
        <f t="shared" si="1"/>
        <v>0.12631667649785119</v>
      </c>
      <c r="M20" s="70"/>
      <c r="N20" s="44"/>
    </row>
    <row r="21" spans="2:15" ht="15" customHeight="1" x14ac:dyDescent="0.2">
      <c r="B21" s="360" t="s">
        <v>86</v>
      </c>
      <c r="C21" s="929">
        <v>734</v>
      </c>
      <c r="D21" s="930"/>
      <c r="E21" s="931">
        <v>227</v>
      </c>
      <c r="F21" s="68"/>
      <c r="G21" s="357">
        <f t="shared" si="0"/>
        <v>0.30926430517711173</v>
      </c>
      <c r="H21" s="929">
        <v>4574</v>
      </c>
      <c r="I21" s="930"/>
      <c r="J21" s="943">
        <v>1951</v>
      </c>
      <c r="K21" s="943"/>
      <c r="L21" s="359">
        <f t="shared" si="1"/>
        <v>0.42654132050721472</v>
      </c>
      <c r="N21" s="44"/>
    </row>
    <row r="22" spans="2:15" ht="15" customHeight="1" x14ac:dyDescent="0.2">
      <c r="B22" s="371" t="s">
        <v>272</v>
      </c>
      <c r="C22" s="935">
        <v>857</v>
      </c>
      <c r="D22" s="936"/>
      <c r="E22" s="937">
        <v>306</v>
      </c>
      <c r="F22" s="67"/>
      <c r="G22" s="372">
        <f t="shared" si="0"/>
        <v>0.3570595099183197</v>
      </c>
      <c r="H22" s="935">
        <v>6942</v>
      </c>
      <c r="I22" s="936"/>
      <c r="J22" s="937">
        <v>3708</v>
      </c>
      <c r="K22" s="947"/>
      <c r="L22" s="367">
        <f t="shared" si="1"/>
        <v>0.53414001728608473</v>
      </c>
      <c r="N22" s="44"/>
    </row>
    <row r="23" spans="2:15" ht="24.95" customHeight="1" x14ac:dyDescent="0.2">
      <c r="B23" s="350" t="s">
        <v>137</v>
      </c>
      <c r="C23" s="923">
        <v>2083</v>
      </c>
      <c r="D23" s="938"/>
      <c r="E23" s="939">
        <v>748</v>
      </c>
      <c r="F23" s="368"/>
      <c r="G23" s="352">
        <f t="shared" si="0"/>
        <v>0.35909745559289485</v>
      </c>
      <c r="H23" s="923">
        <v>5985</v>
      </c>
      <c r="I23" s="938"/>
      <c r="J23" s="925">
        <v>2498</v>
      </c>
      <c r="K23" s="948"/>
      <c r="L23" s="369">
        <f t="shared" si="1"/>
        <v>0.41737677527151212</v>
      </c>
      <c r="N23" s="140"/>
      <c r="O23" s="389"/>
    </row>
    <row r="24" spans="2:15" ht="15" customHeight="1" x14ac:dyDescent="0.2">
      <c r="B24" s="373"/>
      <c r="C24" s="374"/>
      <c r="D24" s="68"/>
      <c r="E24" s="374"/>
      <c r="F24" s="68"/>
      <c r="G24" s="68"/>
      <c r="H24" s="374"/>
      <c r="I24" s="280"/>
      <c r="J24" s="374"/>
      <c r="K24" s="358"/>
      <c r="L24" s="358"/>
      <c r="N24" s="140"/>
    </row>
    <row r="25" spans="2:15" s="46" customFormat="1" ht="30" customHeight="1" x14ac:dyDescent="0.2">
      <c r="B25" s="1029" t="s">
        <v>171</v>
      </c>
      <c r="C25" s="1029"/>
      <c r="D25" s="1029"/>
      <c r="E25" s="1029"/>
      <c r="F25" s="1029"/>
      <c r="G25" s="1029"/>
      <c r="H25" s="1029"/>
      <c r="I25" s="1029"/>
      <c r="J25" s="1029"/>
      <c r="K25" s="1029"/>
      <c r="L25" s="1029"/>
      <c r="N25" s="141"/>
      <c r="O25" s="448"/>
    </row>
    <row r="26" spans="2:15" ht="20.100000000000001" customHeight="1" x14ac:dyDescent="0.2">
      <c r="B26" s="348" t="s">
        <v>264</v>
      </c>
      <c r="C26" s="991" t="s">
        <v>21</v>
      </c>
      <c r="D26" s="992"/>
      <c r="E26" s="992"/>
      <c r="F26" s="992"/>
      <c r="G26" s="997"/>
      <c r="H26" s="991" t="s">
        <v>191</v>
      </c>
      <c r="I26" s="992"/>
      <c r="J26" s="992"/>
      <c r="K26" s="992"/>
      <c r="L26" s="997"/>
    </row>
    <row r="27" spans="2:15" ht="20.100000000000001" customHeight="1" x14ac:dyDescent="0.2">
      <c r="B27" s="312" t="s">
        <v>30</v>
      </c>
      <c r="C27" s="1024" t="s">
        <v>78</v>
      </c>
      <c r="D27" s="1025"/>
      <c r="E27" s="1026" t="s">
        <v>236</v>
      </c>
      <c r="F27" s="1027"/>
      <c r="G27" s="349" t="s">
        <v>106</v>
      </c>
      <c r="H27" s="1024" t="s">
        <v>78</v>
      </c>
      <c r="I27" s="1025"/>
      <c r="J27" s="1026" t="s">
        <v>33</v>
      </c>
      <c r="K27" s="1027"/>
      <c r="L27" s="349" t="s">
        <v>106</v>
      </c>
    </row>
    <row r="28" spans="2:15" ht="30" customHeight="1" x14ac:dyDescent="0.2">
      <c r="B28" s="361" t="s">
        <v>79</v>
      </c>
      <c r="C28" s="741">
        <v>4005</v>
      </c>
      <c r="D28" s="950"/>
      <c r="E28" s="695">
        <v>1218</v>
      </c>
      <c r="F28" s="69"/>
      <c r="G28" s="354">
        <f>E28/C28</f>
        <v>0.30411985018726589</v>
      </c>
      <c r="H28" s="741">
        <v>35866</v>
      </c>
      <c r="I28" s="950"/>
      <c r="J28" s="695">
        <v>15303</v>
      </c>
      <c r="K28" s="363"/>
      <c r="L28" s="364">
        <f>J28/H28</f>
        <v>0.4266714994702504</v>
      </c>
      <c r="O28" s="389"/>
    </row>
    <row r="29" spans="2:15" ht="24.95" customHeight="1" x14ac:dyDescent="0.2">
      <c r="B29" s="375" t="s">
        <v>138</v>
      </c>
      <c r="C29" s="744">
        <v>2432</v>
      </c>
      <c r="D29" s="951"/>
      <c r="E29" s="952">
        <v>824</v>
      </c>
      <c r="F29" s="68"/>
      <c r="G29" s="357">
        <f>E29/C29</f>
        <v>0.33881578947368424</v>
      </c>
      <c r="H29" s="744">
        <v>16849</v>
      </c>
      <c r="I29" s="585"/>
      <c r="J29" s="585">
        <v>9527</v>
      </c>
      <c r="K29" s="358"/>
      <c r="L29" s="359">
        <f>J29/H29</f>
        <v>0.56543415039468214</v>
      </c>
    </row>
    <row r="30" spans="2:15" ht="24.95" customHeight="1" x14ac:dyDescent="0.2">
      <c r="B30" s="365" t="s">
        <v>196</v>
      </c>
      <c r="C30" s="849">
        <v>1573</v>
      </c>
      <c r="D30" s="953"/>
      <c r="E30" s="954">
        <v>394</v>
      </c>
      <c r="F30" s="67"/>
      <c r="G30" s="376">
        <f>E30/C30</f>
        <v>0.25047679593134137</v>
      </c>
      <c r="H30" s="849">
        <v>19017</v>
      </c>
      <c r="I30" s="599"/>
      <c r="J30" s="599">
        <v>5776</v>
      </c>
      <c r="K30" s="366"/>
      <c r="L30" s="359">
        <f>J30/H30</f>
        <v>0.303728243150865</v>
      </c>
    </row>
    <row r="31" spans="2:15" ht="15" customHeight="1" x14ac:dyDescent="0.2">
      <c r="B31" s="377"/>
      <c r="C31" s="378"/>
      <c r="D31" s="378"/>
      <c r="E31" s="378"/>
      <c r="F31" s="378"/>
      <c r="G31" s="379"/>
      <c r="H31" s="378"/>
      <c r="I31" s="380"/>
      <c r="J31" s="378"/>
      <c r="K31" s="380"/>
      <c r="L31" s="381"/>
    </row>
    <row r="32" spans="2:15" s="46" customFormat="1" ht="30" customHeight="1" x14ac:dyDescent="0.2">
      <c r="B32" s="1031" t="s">
        <v>172</v>
      </c>
      <c r="C32" s="1031"/>
      <c r="D32" s="1031"/>
      <c r="E32" s="1031"/>
      <c r="F32" s="1031"/>
      <c r="G32" s="1031"/>
      <c r="H32" s="1031"/>
      <c r="I32" s="1031"/>
      <c r="J32" s="1031"/>
      <c r="K32" s="1031"/>
      <c r="L32" s="1031"/>
      <c r="N32" s="141"/>
      <c r="O32" s="448"/>
    </row>
    <row r="33" spans="2:15" ht="20.100000000000001" customHeight="1" x14ac:dyDescent="0.2">
      <c r="B33" s="348" t="s">
        <v>274</v>
      </c>
      <c r="C33" s="991" t="s">
        <v>21</v>
      </c>
      <c r="D33" s="992"/>
      <c r="E33" s="992"/>
      <c r="F33" s="992"/>
      <c r="G33" s="997"/>
      <c r="H33" s="991" t="s">
        <v>191</v>
      </c>
      <c r="I33" s="992"/>
      <c r="J33" s="992"/>
      <c r="K33" s="992"/>
      <c r="L33" s="997"/>
    </row>
    <row r="34" spans="2:15" ht="20.100000000000001" customHeight="1" x14ac:dyDescent="0.2">
      <c r="B34" s="312" t="s">
        <v>34</v>
      </c>
      <c r="C34" s="1024" t="s">
        <v>78</v>
      </c>
      <c r="D34" s="1025"/>
      <c r="E34" s="1026" t="s">
        <v>236</v>
      </c>
      <c r="F34" s="1027"/>
      <c r="G34" s="349" t="s">
        <v>106</v>
      </c>
      <c r="H34" s="1024" t="s">
        <v>78</v>
      </c>
      <c r="I34" s="1025"/>
      <c r="J34" s="1026" t="s">
        <v>236</v>
      </c>
      <c r="K34" s="1027"/>
      <c r="L34" s="349" t="s">
        <v>106</v>
      </c>
      <c r="O34" s="389"/>
    </row>
    <row r="35" spans="2:15" ht="30" customHeight="1" x14ac:dyDescent="0.2">
      <c r="B35" s="371"/>
      <c r="C35" s="382">
        <v>292</v>
      </c>
      <c r="D35" s="383"/>
      <c r="E35" s="384">
        <f>37+25+16+3+7+4+1+1+1+1</f>
        <v>96</v>
      </c>
      <c r="F35" s="67"/>
      <c r="G35" s="376">
        <f>E35/C35</f>
        <v>0.32876712328767121</v>
      </c>
      <c r="H35" s="382">
        <v>18130</v>
      </c>
      <c r="I35" s="385"/>
      <c r="J35" s="386">
        <f>2077+1996+1016+204+152+48+35+22+15+3</f>
        <v>5568</v>
      </c>
      <c r="K35" s="366"/>
      <c r="L35" s="367">
        <f>J35/H35</f>
        <v>0.30711527854384996</v>
      </c>
    </row>
    <row r="36" spans="2:15" ht="15.75" customHeight="1" x14ac:dyDescent="0.2">
      <c r="B36" s="986" t="s">
        <v>192</v>
      </c>
      <c r="C36" s="986"/>
      <c r="D36" s="986"/>
      <c r="E36" s="986"/>
      <c r="F36" s="986"/>
      <c r="G36" s="986"/>
      <c r="H36" s="986"/>
      <c r="I36" s="986"/>
      <c r="J36" s="986"/>
      <c r="K36" s="50"/>
    </row>
    <row r="37" spans="2:15" ht="15" customHeight="1" x14ac:dyDescent="0.2">
      <c r="B37" s="387" t="s">
        <v>0</v>
      </c>
      <c r="C37" s="388"/>
      <c r="D37" s="388"/>
      <c r="E37" s="388"/>
      <c r="F37" s="388"/>
      <c r="G37" s="388"/>
      <c r="H37" s="388"/>
      <c r="I37" s="388"/>
      <c r="J37" s="388"/>
      <c r="K37" s="388"/>
    </row>
    <row r="38" spans="2:15" ht="13.5" customHeight="1" x14ac:dyDescent="0.2">
      <c r="B38" s="1030" t="s">
        <v>87</v>
      </c>
      <c r="C38" s="1030"/>
      <c r="D38" s="1030"/>
      <c r="E38" s="1030"/>
      <c r="F38" s="1030"/>
      <c r="G38" s="1030"/>
      <c r="H38" s="1030"/>
      <c r="I38" s="1030"/>
      <c r="J38" s="1030"/>
      <c r="K38" s="1030"/>
      <c r="L38" s="1030"/>
      <c r="M38" s="1030"/>
    </row>
    <row r="39" spans="2:15" ht="12.75" customHeight="1" x14ac:dyDescent="0.2">
      <c r="B39" s="63" t="s">
        <v>88</v>
      </c>
      <c r="C39" s="70"/>
      <c r="D39" s="70"/>
    </row>
    <row r="40" spans="2:15" ht="12.75" customHeight="1" x14ac:dyDescent="0.2">
      <c r="B40" s="63" t="s">
        <v>92</v>
      </c>
    </row>
    <row r="41" spans="2:15" ht="12.75" customHeight="1" x14ac:dyDescent="0.2">
      <c r="B41" s="63" t="s">
        <v>273</v>
      </c>
    </row>
    <row r="42" spans="2:15" x14ac:dyDescent="0.2">
      <c r="B42" s="3"/>
    </row>
    <row r="44" spans="2:15" x14ac:dyDescent="0.2">
      <c r="B44" s="389"/>
    </row>
    <row r="46" spans="2:15" x14ac:dyDescent="0.2">
      <c r="B46" s="389"/>
    </row>
  </sheetData>
  <mergeCells count="25">
    <mergeCell ref="B38:M38"/>
    <mergeCell ref="B36:J36"/>
    <mergeCell ref="B32:L32"/>
    <mergeCell ref="C33:G33"/>
    <mergeCell ref="H33:L33"/>
    <mergeCell ref="C34:D34"/>
    <mergeCell ref="E34:F34"/>
    <mergeCell ref="H34:I34"/>
    <mergeCell ref="J34:K34"/>
    <mergeCell ref="B25:L25"/>
    <mergeCell ref="C26:G26"/>
    <mergeCell ref="H26:L26"/>
    <mergeCell ref="C27:D27"/>
    <mergeCell ref="E27:F27"/>
    <mergeCell ref="H27:I27"/>
    <mergeCell ref="J27:K27"/>
    <mergeCell ref="C5:D5"/>
    <mergeCell ref="E5:F5"/>
    <mergeCell ref="H5:I5"/>
    <mergeCell ref="J5:K5"/>
    <mergeCell ref="B1:C1"/>
    <mergeCell ref="B2:L2"/>
    <mergeCell ref="B3:L3"/>
    <mergeCell ref="C4:G4"/>
    <mergeCell ref="H4:L4"/>
  </mergeCells>
  <phoneticPr fontId="4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2"/>
  <dimension ref="A1:O49"/>
  <sheetViews>
    <sheetView topLeftCell="A17" workbookViewId="0">
      <selection activeCell="AB67" sqref="AB67"/>
    </sheetView>
  </sheetViews>
  <sheetFormatPr defaultRowHeight="11.25" x14ac:dyDescent="0.2"/>
  <cols>
    <col min="1" max="1" width="3.7109375" style="3" customWidth="1"/>
    <col min="2" max="2" width="4.5703125" style="25" customWidth="1"/>
    <col min="3" max="7" width="8.7109375" style="25" customWidth="1"/>
    <col min="8" max="8" width="1.7109375" style="25" customWidth="1"/>
    <col min="9" max="9" width="4.85546875" style="25" customWidth="1"/>
    <col min="10" max="10" width="4.7109375" style="3" customWidth="1"/>
    <col min="11" max="11" width="6.5703125" style="3" customWidth="1"/>
    <col min="12" max="12" width="7.85546875" style="3" customWidth="1"/>
    <col min="13" max="13" width="4.7109375" style="22" customWidth="1"/>
    <col min="14" max="16" width="4.7109375" style="3" customWidth="1"/>
    <col min="17" max="16384" width="9.140625" style="3"/>
  </cols>
  <sheetData>
    <row r="1" spans="1:14" ht="14.25" customHeight="1" x14ac:dyDescent="0.2">
      <c r="B1" s="24"/>
      <c r="C1" s="24"/>
      <c r="D1" s="24"/>
      <c r="E1" s="24"/>
      <c r="F1" s="24"/>
      <c r="I1" s="390" t="s">
        <v>161</v>
      </c>
    </row>
    <row r="2" spans="1:14" s="63" customFormat="1" ht="30" customHeight="1" x14ac:dyDescent="0.2">
      <c r="B2" s="1032" t="s">
        <v>173</v>
      </c>
      <c r="C2" s="1032"/>
      <c r="D2" s="1032"/>
      <c r="E2" s="1032"/>
      <c r="F2" s="1032"/>
      <c r="G2" s="1032"/>
      <c r="H2" s="1032"/>
      <c r="I2" s="1032"/>
      <c r="M2" s="92"/>
    </row>
    <row r="3" spans="1:14" ht="15" customHeight="1" x14ac:dyDescent="0.2">
      <c r="B3" s="1033" t="s">
        <v>96</v>
      </c>
      <c r="C3" s="1033"/>
      <c r="D3" s="1033"/>
      <c r="E3" s="1033"/>
      <c r="F3" s="1033"/>
      <c r="G3" s="1033"/>
      <c r="H3" s="1033"/>
      <c r="I3" s="1033"/>
      <c r="J3" s="2"/>
    </row>
    <row r="4" spans="1:14" ht="12.75" customHeight="1" x14ac:dyDescent="0.2">
      <c r="B4" s="1034" t="s">
        <v>246</v>
      </c>
      <c r="C4" s="1035"/>
      <c r="D4" s="1035"/>
      <c r="E4" s="1035"/>
      <c r="F4" s="1035"/>
      <c r="G4" s="1035"/>
      <c r="H4" s="1035"/>
      <c r="I4" s="1035"/>
      <c r="J4" s="2"/>
    </row>
    <row r="5" spans="1:14" ht="15" customHeight="1" x14ac:dyDescent="0.2">
      <c r="C5" s="1037" t="s">
        <v>35</v>
      </c>
      <c r="D5" s="1038"/>
      <c r="E5" s="1038"/>
      <c r="F5" s="1038"/>
      <c r="G5" s="1038"/>
      <c r="H5" s="1039"/>
    </row>
    <row r="6" spans="1:14" ht="33" customHeight="1" x14ac:dyDescent="0.2">
      <c r="C6" s="391" t="s">
        <v>36</v>
      </c>
      <c r="D6" s="392" t="s">
        <v>37</v>
      </c>
      <c r="E6" s="392" t="s">
        <v>38</v>
      </c>
      <c r="F6" s="393" t="s">
        <v>39</v>
      </c>
      <c r="G6" s="1014" t="s">
        <v>79</v>
      </c>
      <c r="H6" s="1016"/>
      <c r="I6" s="24"/>
      <c r="J6" s="2"/>
    </row>
    <row r="7" spans="1:14" ht="12.75" customHeight="1" x14ac:dyDescent="0.2">
      <c r="B7" s="59" t="s">
        <v>236</v>
      </c>
      <c r="C7" s="741">
        <f>SUM(C10:C37)</f>
        <v>351</v>
      </c>
      <c r="D7" s="695">
        <f>SUM(D10:D37)</f>
        <v>1259</v>
      </c>
      <c r="E7" s="695">
        <f>SUM(E10:E37)</f>
        <v>1816</v>
      </c>
      <c r="F7" s="742">
        <f>SUM(F10:F37)</f>
        <v>518</v>
      </c>
      <c r="G7" s="741">
        <f>SUM(G10:G37)</f>
        <v>3944</v>
      </c>
      <c r="H7" s="395"/>
      <c r="I7" s="59" t="s">
        <v>236</v>
      </c>
      <c r="J7" s="458"/>
      <c r="K7" s="109"/>
      <c r="L7" s="109"/>
    </row>
    <row r="8" spans="1:14" ht="12.75" customHeight="1" x14ac:dyDescent="0.2">
      <c r="B8" s="57" t="s">
        <v>241</v>
      </c>
      <c r="C8" s="699">
        <f>SUM(C10,C13:C14,C16:C19,C25,C28:C29,C31,C35:C37,C21)</f>
        <v>289</v>
      </c>
      <c r="D8" s="700">
        <f t="shared" ref="D8:G8" si="0">SUM(D10,D13:D14,D16:D19,D25,D28:D29,D31,D35:D37,D21)</f>
        <v>1112</v>
      </c>
      <c r="E8" s="700">
        <f t="shared" si="0"/>
        <v>1674</v>
      </c>
      <c r="F8" s="696">
        <f t="shared" si="0"/>
        <v>510</v>
      </c>
      <c r="G8" s="699">
        <f t="shared" si="0"/>
        <v>3585</v>
      </c>
      <c r="H8" s="397"/>
      <c r="I8" s="57" t="s">
        <v>241</v>
      </c>
      <c r="J8" s="38"/>
      <c r="K8" s="38"/>
      <c r="L8" s="38"/>
      <c r="M8" s="38"/>
      <c r="N8" s="24"/>
    </row>
    <row r="9" spans="1:14" ht="12.75" customHeight="1" x14ac:dyDescent="0.2">
      <c r="B9" s="58" t="s">
        <v>245</v>
      </c>
      <c r="C9" s="702">
        <f>C7-C8</f>
        <v>62</v>
      </c>
      <c r="D9" s="702">
        <f t="shared" ref="D9:G9" si="1">D7-D8</f>
        <v>147</v>
      </c>
      <c r="E9" s="702">
        <f t="shared" si="1"/>
        <v>142</v>
      </c>
      <c r="F9" s="743">
        <f t="shared" si="1"/>
        <v>8</v>
      </c>
      <c r="G9" s="701">
        <f t="shared" si="1"/>
        <v>359</v>
      </c>
      <c r="H9" s="398"/>
      <c r="I9" s="58" t="s">
        <v>245</v>
      </c>
      <c r="J9" s="38"/>
      <c r="K9" s="38"/>
      <c r="L9" s="38"/>
      <c r="M9" s="38"/>
      <c r="N9" s="24"/>
    </row>
    <row r="10" spans="1:14" ht="12.75" customHeight="1" x14ac:dyDescent="0.2">
      <c r="A10" s="8"/>
      <c r="B10" s="9" t="s">
        <v>63</v>
      </c>
      <c r="C10" s="805">
        <v>4</v>
      </c>
      <c r="D10" s="598">
        <v>38</v>
      </c>
      <c r="E10" s="598">
        <v>17</v>
      </c>
      <c r="F10" s="806">
        <v>10</v>
      </c>
      <c r="G10" s="805">
        <f>SUM(C10:F10)</f>
        <v>69</v>
      </c>
      <c r="H10" s="400"/>
      <c r="I10" s="9" t="s">
        <v>63</v>
      </c>
      <c r="J10" s="19"/>
    </row>
    <row r="11" spans="1:14" ht="12.75" customHeight="1" x14ac:dyDescent="0.2">
      <c r="A11" s="8"/>
      <c r="B11" s="57" t="s">
        <v>46</v>
      </c>
      <c r="C11" s="745">
        <v>6</v>
      </c>
      <c r="D11" s="746">
        <v>11</v>
      </c>
      <c r="E11" s="746">
        <v>11</v>
      </c>
      <c r="F11" s="807">
        <v>1</v>
      </c>
      <c r="G11" s="745">
        <f t="shared" ref="G11:G37" si="2">SUM(C11:F11)</f>
        <v>29</v>
      </c>
      <c r="H11" s="401"/>
      <c r="I11" s="57" t="s">
        <v>46</v>
      </c>
      <c r="J11" s="19"/>
      <c r="K11" s="2"/>
      <c r="L11" s="458"/>
      <c r="M11" s="21"/>
      <c r="N11" s="2"/>
    </row>
    <row r="12" spans="1:14" ht="12.75" customHeight="1" x14ac:dyDescent="0.2">
      <c r="A12" s="8"/>
      <c r="B12" s="10" t="s">
        <v>48</v>
      </c>
      <c r="C12" s="744">
        <v>6</v>
      </c>
      <c r="D12" s="585">
        <v>15</v>
      </c>
      <c r="E12" s="585">
        <v>10</v>
      </c>
      <c r="F12" s="593">
        <v>1</v>
      </c>
      <c r="G12" s="744">
        <f t="shared" si="2"/>
        <v>32</v>
      </c>
      <c r="H12" s="402"/>
      <c r="I12" s="10" t="s">
        <v>48</v>
      </c>
      <c r="J12" s="19"/>
    </row>
    <row r="13" spans="1:14" ht="12.75" customHeight="1" x14ac:dyDescent="0.2">
      <c r="A13" s="8"/>
      <c r="B13" s="57" t="s">
        <v>59</v>
      </c>
      <c r="C13" s="745">
        <v>20</v>
      </c>
      <c r="D13" s="746">
        <v>42</v>
      </c>
      <c r="E13" s="746">
        <v>39</v>
      </c>
      <c r="F13" s="807">
        <v>6</v>
      </c>
      <c r="G13" s="745">
        <f t="shared" si="2"/>
        <v>107</v>
      </c>
      <c r="H13" s="401"/>
      <c r="I13" s="57" t="s">
        <v>59</v>
      </c>
      <c r="J13" s="19"/>
    </row>
    <row r="14" spans="1:14" ht="12.75" customHeight="1" x14ac:dyDescent="0.2">
      <c r="A14" s="8"/>
      <c r="B14" s="10" t="s">
        <v>64</v>
      </c>
      <c r="C14" s="744">
        <v>17</v>
      </c>
      <c r="D14" s="585">
        <v>231</v>
      </c>
      <c r="E14" s="585">
        <v>292</v>
      </c>
      <c r="F14" s="593">
        <v>97</v>
      </c>
      <c r="G14" s="744">
        <f t="shared" si="2"/>
        <v>637</v>
      </c>
      <c r="H14" s="402"/>
      <c r="I14" s="10" t="s">
        <v>64</v>
      </c>
      <c r="J14" s="19"/>
    </row>
    <row r="15" spans="1:14" ht="12.75" customHeight="1" x14ac:dyDescent="0.2">
      <c r="A15" s="8"/>
      <c r="B15" s="57" t="s">
        <v>49</v>
      </c>
      <c r="C15" s="745">
        <v>11</v>
      </c>
      <c r="D15" s="746">
        <v>8</v>
      </c>
      <c r="E15" s="746">
        <v>1</v>
      </c>
      <c r="F15" s="807"/>
      <c r="G15" s="745">
        <f t="shared" si="2"/>
        <v>20</v>
      </c>
      <c r="H15" s="401"/>
      <c r="I15" s="57" t="s">
        <v>49</v>
      </c>
      <c r="J15" s="19"/>
    </row>
    <row r="16" spans="1:14" ht="12.75" customHeight="1" x14ac:dyDescent="0.2">
      <c r="A16" s="8"/>
      <c r="B16" s="10" t="s">
        <v>67</v>
      </c>
      <c r="C16" s="744">
        <v>9</v>
      </c>
      <c r="D16" s="585">
        <v>34</v>
      </c>
      <c r="E16" s="585">
        <v>336</v>
      </c>
      <c r="F16" s="593">
        <v>6</v>
      </c>
      <c r="G16" s="744">
        <f t="shared" si="2"/>
        <v>385</v>
      </c>
      <c r="H16" s="402"/>
      <c r="I16" s="10" t="s">
        <v>67</v>
      </c>
      <c r="J16" s="19"/>
      <c r="L16" s="109"/>
    </row>
    <row r="17" spans="1:14" ht="12.75" customHeight="1" x14ac:dyDescent="0.2">
      <c r="A17" s="8"/>
      <c r="B17" s="57" t="s">
        <v>60</v>
      </c>
      <c r="C17" s="745">
        <v>10</v>
      </c>
      <c r="D17" s="746">
        <v>19</v>
      </c>
      <c r="E17" s="746">
        <v>35</v>
      </c>
      <c r="F17" s="807">
        <v>1</v>
      </c>
      <c r="G17" s="745">
        <f t="shared" si="2"/>
        <v>65</v>
      </c>
      <c r="H17" s="401"/>
      <c r="I17" s="57" t="s">
        <v>60</v>
      </c>
      <c r="J17" s="19"/>
    </row>
    <row r="18" spans="1:14" ht="12.75" customHeight="1" x14ac:dyDescent="0.2">
      <c r="A18" s="8"/>
      <c r="B18" s="10" t="s">
        <v>65</v>
      </c>
      <c r="C18" s="744">
        <v>16</v>
      </c>
      <c r="D18" s="585">
        <v>97</v>
      </c>
      <c r="E18" s="585">
        <v>155</v>
      </c>
      <c r="F18" s="593">
        <v>49</v>
      </c>
      <c r="G18" s="744">
        <f t="shared" si="2"/>
        <v>317</v>
      </c>
      <c r="H18" s="402"/>
      <c r="I18" s="10" t="s">
        <v>65</v>
      </c>
      <c r="J18" s="19"/>
    </row>
    <row r="19" spans="1:14" ht="12.75" customHeight="1" x14ac:dyDescent="0.2">
      <c r="A19" s="8"/>
      <c r="B19" s="57" t="s">
        <v>66</v>
      </c>
      <c r="C19" s="745">
        <v>61</v>
      </c>
      <c r="D19" s="746">
        <v>136</v>
      </c>
      <c r="E19" s="746">
        <v>114</v>
      </c>
      <c r="F19" s="807">
        <v>102</v>
      </c>
      <c r="G19" s="745">
        <f t="shared" si="2"/>
        <v>413</v>
      </c>
      <c r="H19" s="401"/>
      <c r="I19" s="57" t="s">
        <v>66</v>
      </c>
      <c r="J19" s="19"/>
    </row>
    <row r="20" spans="1:14" ht="12.75" customHeight="1" x14ac:dyDescent="0.2">
      <c r="A20" s="8"/>
      <c r="B20" s="10" t="s">
        <v>77</v>
      </c>
      <c r="C20" s="744">
        <v>1</v>
      </c>
      <c r="D20" s="585">
        <v>11</v>
      </c>
      <c r="E20" s="585">
        <v>2</v>
      </c>
      <c r="F20" s="593"/>
      <c r="G20" s="744">
        <f t="shared" si="2"/>
        <v>14</v>
      </c>
      <c r="H20" s="402"/>
      <c r="I20" s="10" t="s">
        <v>77</v>
      </c>
      <c r="J20" s="19"/>
    </row>
    <row r="21" spans="1:14" ht="12.75" customHeight="1" x14ac:dyDescent="0.2">
      <c r="A21" s="8"/>
      <c r="B21" s="197" t="s">
        <v>68</v>
      </c>
      <c r="C21" s="748">
        <v>2</v>
      </c>
      <c r="D21" s="586">
        <v>118</v>
      </c>
      <c r="E21" s="586">
        <v>45</v>
      </c>
      <c r="F21" s="592">
        <v>18</v>
      </c>
      <c r="G21" s="748">
        <f t="shared" si="2"/>
        <v>183</v>
      </c>
      <c r="H21" s="509"/>
      <c r="I21" s="197" t="s">
        <v>68</v>
      </c>
      <c r="J21" s="19"/>
    </row>
    <row r="22" spans="1:14" ht="12.75" customHeight="1" x14ac:dyDescent="0.2">
      <c r="A22" s="8"/>
      <c r="B22" s="10" t="s">
        <v>47</v>
      </c>
      <c r="C22" s="744"/>
      <c r="D22" s="585"/>
      <c r="E22" s="585">
        <v>6</v>
      </c>
      <c r="F22" s="593"/>
      <c r="G22" s="744">
        <f t="shared" si="2"/>
        <v>6</v>
      </c>
      <c r="H22" s="402"/>
      <c r="I22" s="10" t="s">
        <v>47</v>
      </c>
      <c r="J22" s="19"/>
    </row>
    <row r="23" spans="1:14" ht="12.75" customHeight="1" x14ac:dyDescent="0.2">
      <c r="A23" s="8"/>
      <c r="B23" s="197" t="s">
        <v>51</v>
      </c>
      <c r="C23" s="748">
        <v>1</v>
      </c>
      <c r="D23" s="586">
        <v>25</v>
      </c>
      <c r="E23" s="586">
        <v>7</v>
      </c>
      <c r="F23" s="592"/>
      <c r="G23" s="748">
        <f t="shared" si="2"/>
        <v>33</v>
      </c>
      <c r="H23" s="509"/>
      <c r="I23" s="197" t="s">
        <v>51</v>
      </c>
      <c r="J23" s="19"/>
    </row>
    <row r="24" spans="1:14" ht="12.75" customHeight="1" x14ac:dyDescent="0.2">
      <c r="A24" s="8"/>
      <c r="B24" s="10" t="s">
        <v>52</v>
      </c>
      <c r="C24" s="744">
        <v>7</v>
      </c>
      <c r="D24" s="585">
        <v>5</v>
      </c>
      <c r="E24" s="585">
        <v>6</v>
      </c>
      <c r="F24" s="593"/>
      <c r="G24" s="744">
        <f t="shared" si="2"/>
        <v>18</v>
      </c>
      <c r="H24" s="402"/>
      <c r="I24" s="10" t="s">
        <v>52</v>
      </c>
      <c r="J24" s="19"/>
    </row>
    <row r="25" spans="1:14" ht="12.75" customHeight="1" x14ac:dyDescent="0.2">
      <c r="A25" s="8"/>
      <c r="B25" s="197" t="s">
        <v>69</v>
      </c>
      <c r="C25" s="748">
        <v>6</v>
      </c>
      <c r="D25" s="586">
        <v>9</v>
      </c>
      <c r="E25" s="586">
        <v>2</v>
      </c>
      <c r="F25" s="592"/>
      <c r="G25" s="748">
        <f t="shared" si="2"/>
        <v>17</v>
      </c>
      <c r="H25" s="509"/>
      <c r="I25" s="197" t="s">
        <v>69</v>
      </c>
      <c r="J25" s="19"/>
    </row>
    <row r="26" spans="1:14" ht="12.75" customHeight="1" x14ac:dyDescent="0.2">
      <c r="A26" s="8"/>
      <c r="B26" s="10" t="s">
        <v>50</v>
      </c>
      <c r="C26" s="744">
        <v>4</v>
      </c>
      <c r="D26" s="585"/>
      <c r="E26" s="585">
        <v>53</v>
      </c>
      <c r="F26" s="593"/>
      <c r="G26" s="744">
        <f t="shared" si="2"/>
        <v>57</v>
      </c>
      <c r="H26" s="402"/>
      <c r="I26" s="10" t="s">
        <v>50</v>
      </c>
      <c r="J26" s="19"/>
    </row>
    <row r="27" spans="1:14" ht="12.75" customHeight="1" x14ac:dyDescent="0.2">
      <c r="A27" s="8"/>
      <c r="B27" s="197" t="s">
        <v>53</v>
      </c>
      <c r="C27" s="748">
        <v>5</v>
      </c>
      <c r="D27" s="586">
        <v>4</v>
      </c>
      <c r="E27" s="586">
        <v>7</v>
      </c>
      <c r="F27" s="592"/>
      <c r="G27" s="748">
        <f t="shared" si="2"/>
        <v>16</v>
      </c>
      <c r="H27" s="509"/>
      <c r="I27" s="197" t="s">
        <v>53</v>
      </c>
      <c r="J27" s="19"/>
    </row>
    <row r="28" spans="1:14" ht="12.75" customHeight="1" x14ac:dyDescent="0.2">
      <c r="A28" s="8"/>
      <c r="B28" s="10" t="s">
        <v>61</v>
      </c>
      <c r="C28" s="744">
        <v>9</v>
      </c>
      <c r="D28" s="585">
        <v>76</v>
      </c>
      <c r="E28" s="585">
        <v>70</v>
      </c>
      <c r="F28" s="593">
        <v>54</v>
      </c>
      <c r="G28" s="744">
        <f t="shared" si="2"/>
        <v>209</v>
      </c>
      <c r="H28" s="402"/>
      <c r="I28" s="10" t="s">
        <v>61</v>
      </c>
      <c r="J28" s="19"/>
    </row>
    <row r="29" spans="1:14" ht="12.75" customHeight="1" x14ac:dyDescent="0.2">
      <c r="A29" s="8"/>
      <c r="B29" s="197" t="s">
        <v>70</v>
      </c>
      <c r="C29" s="748">
        <v>4</v>
      </c>
      <c r="D29" s="586">
        <v>50</v>
      </c>
      <c r="E29" s="586">
        <v>39</v>
      </c>
      <c r="F29" s="592">
        <v>8</v>
      </c>
      <c r="G29" s="748">
        <f t="shared" si="2"/>
        <v>101</v>
      </c>
      <c r="H29" s="509"/>
      <c r="I29" s="197" t="s">
        <v>70</v>
      </c>
      <c r="J29" s="19"/>
    </row>
    <row r="30" spans="1:14" ht="12.75" customHeight="1" x14ac:dyDescent="0.2">
      <c r="A30" s="8"/>
      <c r="B30" s="10" t="s">
        <v>54</v>
      </c>
      <c r="C30" s="744">
        <v>6</v>
      </c>
      <c r="D30" s="585">
        <v>39</v>
      </c>
      <c r="E30" s="585">
        <v>22</v>
      </c>
      <c r="F30" s="593">
        <v>6</v>
      </c>
      <c r="G30" s="744">
        <f t="shared" si="2"/>
        <v>73</v>
      </c>
      <c r="H30" s="402"/>
      <c r="I30" s="10" t="s">
        <v>54</v>
      </c>
      <c r="J30" s="19"/>
    </row>
    <row r="31" spans="1:14" ht="12.75" customHeight="1" x14ac:dyDescent="0.2">
      <c r="A31" s="8"/>
      <c r="B31" s="197" t="s">
        <v>71</v>
      </c>
      <c r="C31" s="748">
        <v>14</v>
      </c>
      <c r="D31" s="586">
        <v>31</v>
      </c>
      <c r="E31" s="586">
        <v>49</v>
      </c>
      <c r="F31" s="592">
        <v>9</v>
      </c>
      <c r="G31" s="748">
        <f t="shared" si="2"/>
        <v>103</v>
      </c>
      <c r="H31" s="509"/>
      <c r="I31" s="197" t="s">
        <v>71</v>
      </c>
      <c r="J31" s="19"/>
    </row>
    <row r="32" spans="1:14" ht="12.75" customHeight="1" x14ac:dyDescent="0.2">
      <c r="A32" s="8"/>
      <c r="B32" s="10" t="s">
        <v>55</v>
      </c>
      <c r="C32" s="744">
        <v>7</v>
      </c>
      <c r="D32" s="585">
        <v>21</v>
      </c>
      <c r="E32" s="585">
        <v>9</v>
      </c>
      <c r="F32" s="593"/>
      <c r="G32" s="744">
        <f t="shared" si="2"/>
        <v>37</v>
      </c>
      <c r="H32" s="402"/>
      <c r="I32" s="10" t="s">
        <v>55</v>
      </c>
      <c r="J32" s="19"/>
      <c r="K32" s="2"/>
      <c r="L32" s="2"/>
      <c r="M32" s="21"/>
      <c r="N32" s="2"/>
    </row>
    <row r="33" spans="1:15" ht="12.75" customHeight="1" x14ac:dyDescent="0.2">
      <c r="A33" s="8"/>
      <c r="B33" s="197" t="s">
        <v>57</v>
      </c>
      <c r="C33" s="748">
        <v>6</v>
      </c>
      <c r="D33" s="586">
        <v>8</v>
      </c>
      <c r="E33" s="586"/>
      <c r="F33" s="592"/>
      <c r="G33" s="748">
        <f t="shared" si="2"/>
        <v>14</v>
      </c>
      <c r="H33" s="509"/>
      <c r="I33" s="197" t="s">
        <v>57</v>
      </c>
      <c r="J33" s="19"/>
    </row>
    <row r="34" spans="1:15" ht="12.75" customHeight="1" x14ac:dyDescent="0.2">
      <c r="A34" s="8"/>
      <c r="B34" s="10" t="s">
        <v>56</v>
      </c>
      <c r="C34" s="744">
        <v>2</v>
      </c>
      <c r="D34" s="585"/>
      <c r="E34" s="585">
        <v>8</v>
      </c>
      <c r="F34" s="593"/>
      <c r="G34" s="744">
        <f t="shared" si="2"/>
        <v>10</v>
      </c>
      <c r="H34" s="402"/>
      <c r="I34" s="10" t="s">
        <v>56</v>
      </c>
      <c r="J34" s="19"/>
    </row>
    <row r="35" spans="1:15" ht="12.75" customHeight="1" x14ac:dyDescent="0.2">
      <c r="A35" s="8"/>
      <c r="B35" s="197" t="s">
        <v>72</v>
      </c>
      <c r="C35" s="748"/>
      <c r="D35" s="586">
        <v>42</v>
      </c>
      <c r="E35" s="586">
        <v>21</v>
      </c>
      <c r="F35" s="592">
        <v>15</v>
      </c>
      <c r="G35" s="748">
        <f t="shared" si="2"/>
        <v>78</v>
      </c>
      <c r="H35" s="509"/>
      <c r="I35" s="197" t="s">
        <v>72</v>
      </c>
      <c r="J35" s="19"/>
    </row>
    <row r="36" spans="1:15" ht="12.75" customHeight="1" x14ac:dyDescent="0.2">
      <c r="A36" s="8"/>
      <c r="B36" s="10" t="s">
        <v>73</v>
      </c>
      <c r="C36" s="744">
        <v>25</v>
      </c>
      <c r="D36" s="585">
        <v>34</v>
      </c>
      <c r="E36" s="585">
        <v>12</v>
      </c>
      <c r="F36" s="593">
        <v>3</v>
      </c>
      <c r="G36" s="744">
        <f t="shared" si="2"/>
        <v>74</v>
      </c>
      <c r="H36" s="402"/>
      <c r="I36" s="10" t="s">
        <v>73</v>
      </c>
      <c r="J36" s="19"/>
    </row>
    <row r="37" spans="1:15" ht="12.75" customHeight="1" x14ac:dyDescent="0.2">
      <c r="A37" s="8"/>
      <c r="B37" s="199" t="s">
        <v>62</v>
      </c>
      <c r="C37" s="749">
        <v>92</v>
      </c>
      <c r="D37" s="596">
        <v>155</v>
      </c>
      <c r="E37" s="596">
        <v>448</v>
      </c>
      <c r="F37" s="597">
        <v>132</v>
      </c>
      <c r="G37" s="749">
        <f t="shared" si="2"/>
        <v>827</v>
      </c>
      <c r="H37" s="511"/>
      <c r="I37" s="199" t="s">
        <v>62</v>
      </c>
      <c r="J37" s="19"/>
      <c r="K37" s="2"/>
      <c r="L37" s="2"/>
      <c r="M37" s="21"/>
      <c r="N37" s="2"/>
    </row>
    <row r="38" spans="1:15" ht="12.75" customHeight="1" x14ac:dyDescent="0.2">
      <c r="A38" s="8"/>
      <c r="B38" s="10" t="s">
        <v>223</v>
      </c>
      <c r="C38" s="744"/>
      <c r="D38" s="585"/>
      <c r="E38" s="585"/>
      <c r="F38" s="593"/>
      <c r="G38" s="744"/>
      <c r="H38" s="402"/>
      <c r="I38" s="10" t="s">
        <v>223</v>
      </c>
      <c r="J38" s="19"/>
      <c r="K38" s="2"/>
      <c r="L38" s="2"/>
      <c r="M38" s="21"/>
      <c r="N38" s="2"/>
    </row>
    <row r="39" spans="1:15" ht="12.75" customHeight="1" x14ac:dyDescent="0.2">
      <c r="A39" s="8"/>
      <c r="B39" s="197" t="s">
        <v>1</v>
      </c>
      <c r="C39" s="748"/>
      <c r="D39" s="586"/>
      <c r="E39" s="586"/>
      <c r="F39" s="592"/>
      <c r="G39" s="748"/>
      <c r="H39" s="509"/>
      <c r="I39" s="197" t="s">
        <v>1</v>
      </c>
      <c r="J39" s="19"/>
      <c r="K39" s="2"/>
      <c r="L39" s="2"/>
      <c r="M39" s="21"/>
      <c r="N39" s="2"/>
    </row>
    <row r="40" spans="1:15" ht="12.75" customHeight="1" x14ac:dyDescent="0.2">
      <c r="A40" s="8"/>
      <c r="B40" s="10" t="s">
        <v>222</v>
      </c>
      <c r="C40" s="744"/>
      <c r="D40" s="585"/>
      <c r="E40" s="585"/>
      <c r="F40" s="593"/>
      <c r="G40" s="744"/>
      <c r="H40" s="402"/>
      <c r="I40" s="10" t="s">
        <v>222</v>
      </c>
      <c r="J40" s="19"/>
      <c r="K40" s="2"/>
      <c r="L40" s="2"/>
      <c r="M40" s="21"/>
      <c r="N40" s="2"/>
    </row>
    <row r="41" spans="1:15" ht="12.75" customHeight="1" x14ac:dyDescent="0.2">
      <c r="A41" s="8"/>
      <c r="B41" s="199" t="s">
        <v>58</v>
      </c>
      <c r="C41" s="749">
        <v>2</v>
      </c>
      <c r="D41" s="596">
        <v>43</v>
      </c>
      <c r="E41" s="596">
        <v>301</v>
      </c>
      <c r="F41" s="597">
        <v>42</v>
      </c>
      <c r="G41" s="749">
        <f t="shared" ref="G41:G44" si="3">SUM(C41:F41)</f>
        <v>388</v>
      </c>
      <c r="H41" s="511"/>
      <c r="I41" s="199" t="s">
        <v>58</v>
      </c>
      <c r="J41" s="19"/>
      <c r="K41" s="2"/>
      <c r="L41" s="2"/>
      <c r="M41" s="21"/>
      <c r="N41" s="2"/>
    </row>
    <row r="42" spans="1:15" ht="12.75" customHeight="1" x14ac:dyDescent="0.2">
      <c r="A42" s="8"/>
      <c r="B42" s="9" t="s">
        <v>44</v>
      </c>
      <c r="C42" s="744">
        <v>13</v>
      </c>
      <c r="D42" s="585"/>
      <c r="E42" s="585">
        <v>24</v>
      </c>
      <c r="F42" s="593"/>
      <c r="G42" s="744">
        <f t="shared" si="3"/>
        <v>37</v>
      </c>
      <c r="H42" s="402"/>
      <c r="I42" s="9" t="s">
        <v>44</v>
      </c>
      <c r="J42" s="19"/>
      <c r="K42" s="2"/>
      <c r="L42" s="2"/>
      <c r="M42" s="21"/>
      <c r="N42" s="2"/>
    </row>
    <row r="43" spans="1:15" ht="12.75" customHeight="1" x14ac:dyDescent="0.2">
      <c r="A43" s="8"/>
      <c r="B43" s="197" t="s">
        <v>74</v>
      </c>
      <c r="C43" s="748">
        <v>32</v>
      </c>
      <c r="D43" s="586">
        <v>57</v>
      </c>
      <c r="E43" s="586">
        <v>116</v>
      </c>
      <c r="F43" s="592">
        <v>12</v>
      </c>
      <c r="G43" s="748">
        <f t="shared" si="3"/>
        <v>217</v>
      </c>
      <c r="H43" s="509"/>
      <c r="I43" s="197" t="s">
        <v>74</v>
      </c>
      <c r="J43" s="19"/>
      <c r="K43" s="2"/>
      <c r="L43" s="2"/>
      <c r="M43" s="21"/>
      <c r="N43" s="2"/>
    </row>
    <row r="44" spans="1:15" ht="12.75" customHeight="1" x14ac:dyDescent="0.2">
      <c r="A44" s="8"/>
      <c r="B44" s="10" t="s">
        <v>45</v>
      </c>
      <c r="C44" s="744">
        <v>27</v>
      </c>
      <c r="D44" s="585">
        <v>41</v>
      </c>
      <c r="E44" s="585">
        <v>97</v>
      </c>
      <c r="F44" s="593"/>
      <c r="G44" s="744">
        <f t="shared" si="3"/>
        <v>165</v>
      </c>
      <c r="H44" s="402"/>
      <c r="I44" s="10" t="s">
        <v>45</v>
      </c>
      <c r="J44" s="19"/>
      <c r="K44" s="2"/>
      <c r="L44" s="2"/>
      <c r="M44" s="21"/>
      <c r="N44" s="2"/>
    </row>
    <row r="45" spans="1:15" ht="15.75" customHeight="1" x14ac:dyDescent="0.2">
      <c r="B45" s="199" t="s">
        <v>84</v>
      </c>
      <c r="C45" s="808"/>
      <c r="D45" s="809"/>
      <c r="E45" s="809"/>
      <c r="F45" s="810"/>
      <c r="G45" s="749"/>
      <c r="H45" s="511"/>
      <c r="I45" s="199" t="s">
        <v>84</v>
      </c>
      <c r="J45" s="15"/>
      <c r="K45" s="15"/>
      <c r="L45" s="15"/>
      <c r="M45" s="15"/>
      <c r="N45" s="15"/>
      <c r="O45" s="29"/>
    </row>
    <row r="46" spans="1:15" ht="11.25" customHeight="1" x14ac:dyDescent="0.2">
      <c r="B46" s="1040" t="s">
        <v>193</v>
      </c>
      <c r="C46" s="1040"/>
      <c r="D46" s="1040"/>
      <c r="E46" s="1040"/>
      <c r="F46" s="1040"/>
      <c r="G46" s="1040"/>
      <c r="H46" s="1040"/>
      <c r="I46" s="1040"/>
      <c r="J46" s="12"/>
      <c r="K46" s="12"/>
      <c r="L46" s="12"/>
      <c r="M46" s="12"/>
      <c r="N46" s="12"/>
      <c r="O46" s="12"/>
    </row>
    <row r="47" spans="1:15" ht="12.75" customHeight="1" x14ac:dyDescent="0.2">
      <c r="B47" s="1041" t="s">
        <v>82</v>
      </c>
      <c r="C47" s="1041"/>
    </row>
    <row r="48" spans="1:15" ht="12.75" customHeight="1" x14ac:dyDescent="0.2">
      <c r="B48" s="1036" t="s">
        <v>80</v>
      </c>
      <c r="C48" s="1036"/>
      <c r="D48" s="1036"/>
      <c r="E48" s="1036"/>
      <c r="F48" s="1036"/>
      <c r="G48" s="1036"/>
      <c r="H48" s="403"/>
    </row>
    <row r="49" spans="2:8" x14ac:dyDescent="0.2">
      <c r="B49" s="404" t="s">
        <v>115</v>
      </c>
      <c r="C49" s="404"/>
      <c r="D49" s="404"/>
      <c r="E49" s="404"/>
      <c r="F49" s="404"/>
      <c r="G49" s="404"/>
      <c r="H49" s="404"/>
    </row>
  </sheetData>
  <mergeCells count="8">
    <mergeCell ref="B2:I2"/>
    <mergeCell ref="B3:I3"/>
    <mergeCell ref="B4:I4"/>
    <mergeCell ref="B48:G48"/>
    <mergeCell ref="C5:H5"/>
    <mergeCell ref="G6:H6"/>
    <mergeCell ref="B46:I46"/>
    <mergeCell ref="B47:C47"/>
  </mergeCells>
  <phoneticPr fontId="4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4"/>
  <dimension ref="A1:W51"/>
  <sheetViews>
    <sheetView topLeftCell="A3" workbookViewId="0">
      <selection activeCell="U42" sqref="K39:U42"/>
    </sheetView>
  </sheetViews>
  <sheetFormatPr defaultRowHeight="11.25" x14ac:dyDescent="0.2"/>
  <cols>
    <col min="1" max="1" width="3.7109375" style="3" customWidth="1"/>
    <col min="2" max="2" width="5.42578125" style="3" customWidth="1"/>
    <col min="3" max="7" width="10.7109375" style="3" customWidth="1"/>
    <col min="8" max="8" width="1.7109375" style="3" customWidth="1"/>
    <col min="9" max="9" width="5.140625" style="3" customWidth="1"/>
    <col min="10" max="10" width="4.7109375" style="3" customWidth="1"/>
    <col min="11" max="11" width="7.85546875" style="3" customWidth="1"/>
    <col min="12" max="12" width="4.7109375" style="22" customWidth="1"/>
    <col min="13" max="20" width="4.7109375" style="3" customWidth="1"/>
    <col min="21" max="16384" width="9.140625" style="3"/>
  </cols>
  <sheetData>
    <row r="1" spans="1:23" ht="14.25" customHeight="1" x14ac:dyDescent="0.2">
      <c r="B1" s="2"/>
      <c r="C1" s="2"/>
      <c r="D1" s="2"/>
      <c r="E1" s="2"/>
      <c r="F1" s="2"/>
      <c r="I1" s="17" t="s">
        <v>163</v>
      </c>
    </row>
    <row r="2" spans="1:23" s="63" customFormat="1" ht="30" customHeight="1" x14ac:dyDescent="0.2">
      <c r="B2" s="978" t="s">
        <v>174</v>
      </c>
      <c r="C2" s="978"/>
      <c r="D2" s="978"/>
      <c r="E2" s="978"/>
      <c r="F2" s="978"/>
      <c r="G2" s="978"/>
      <c r="H2" s="978"/>
      <c r="I2" s="978"/>
      <c r="L2" s="92"/>
    </row>
    <row r="3" spans="1:23" s="93" customFormat="1" ht="15" customHeight="1" x14ac:dyDescent="0.2">
      <c r="B3" s="979" t="s">
        <v>96</v>
      </c>
      <c r="C3" s="979"/>
      <c r="D3" s="979"/>
      <c r="E3" s="979"/>
      <c r="F3" s="979"/>
      <c r="G3" s="979"/>
      <c r="H3" s="979"/>
      <c r="I3" s="979"/>
      <c r="L3" s="97"/>
      <c r="M3" s="96"/>
      <c r="N3" s="96"/>
      <c r="O3" s="96"/>
      <c r="P3" s="96"/>
      <c r="Q3" s="96"/>
      <c r="R3" s="96"/>
    </row>
    <row r="4" spans="1:23" ht="12.75" customHeight="1" x14ac:dyDescent="0.2">
      <c r="B4" s="1047" t="s">
        <v>232</v>
      </c>
      <c r="C4" s="1048"/>
      <c r="D4" s="1048"/>
      <c r="E4" s="1048"/>
      <c r="F4" s="1048"/>
      <c r="G4" s="1048"/>
      <c r="H4" s="1048"/>
      <c r="I4" s="1048"/>
    </row>
    <row r="5" spans="1:23" ht="36" customHeight="1" x14ac:dyDescent="0.2">
      <c r="B5" s="25"/>
      <c r="C5" s="1044" t="s">
        <v>40</v>
      </c>
      <c r="D5" s="1045"/>
      <c r="E5" s="405" t="s">
        <v>41</v>
      </c>
      <c r="F5" s="1043" t="s">
        <v>42</v>
      </c>
      <c r="G5" s="1044" t="s">
        <v>43</v>
      </c>
      <c r="H5" s="1045"/>
      <c r="I5" s="25"/>
    </row>
    <row r="6" spans="1:23" ht="22.5" customHeight="1" x14ac:dyDescent="0.2">
      <c r="B6" s="25"/>
      <c r="C6" s="113" t="s">
        <v>259</v>
      </c>
      <c r="D6" s="111" t="s">
        <v>260</v>
      </c>
      <c r="E6" s="112" t="s">
        <v>108</v>
      </c>
      <c r="F6" s="1007"/>
      <c r="G6" s="1049"/>
      <c r="H6" s="1050"/>
      <c r="I6" s="24"/>
      <c r="W6" s="526"/>
    </row>
    <row r="7" spans="1:23" ht="10.5" customHeight="1" x14ac:dyDescent="0.2">
      <c r="B7" s="25"/>
      <c r="C7" s="106" t="s">
        <v>109</v>
      </c>
      <c r="D7" s="107" t="s">
        <v>109</v>
      </c>
      <c r="E7" s="108" t="s">
        <v>110</v>
      </c>
      <c r="F7" s="349"/>
      <c r="G7" s="1051"/>
      <c r="H7" s="1052"/>
      <c r="I7" s="24"/>
      <c r="W7" s="526"/>
    </row>
    <row r="8" spans="1:23" ht="12.75" customHeight="1" x14ac:dyDescent="0.2">
      <c r="B8" s="59" t="s">
        <v>236</v>
      </c>
      <c r="C8" s="695">
        <f>SUM(C11:C38)</f>
        <v>169</v>
      </c>
      <c r="D8" s="742">
        <f t="shared" ref="D8:G8" si="0">SUM(D11:D38)</f>
        <v>202</v>
      </c>
      <c r="E8" s="811">
        <f t="shared" si="0"/>
        <v>36</v>
      </c>
      <c r="F8" s="742">
        <f t="shared" si="0"/>
        <v>84</v>
      </c>
      <c r="G8" s="741">
        <f t="shared" si="0"/>
        <v>1961</v>
      </c>
      <c r="H8" s="394"/>
      <c r="I8" s="59" t="s">
        <v>236</v>
      </c>
      <c r="K8" s="109"/>
      <c r="L8" s="109"/>
      <c r="W8" s="526"/>
    </row>
    <row r="9" spans="1:23" ht="12.75" customHeight="1" x14ac:dyDescent="0.2">
      <c r="B9" s="57" t="s">
        <v>241</v>
      </c>
      <c r="C9" s="700">
        <f>SUM(C11,C14:C15,C17:C20,C26,C29:C30,C32,C36:C38,C22)</f>
        <v>129</v>
      </c>
      <c r="D9" s="696">
        <f t="shared" ref="D9:G9" si="1">SUM(D11,D14:D15,D17:D20,D26,D29:D30,D32,D36:D38,D22)</f>
        <v>191</v>
      </c>
      <c r="E9" s="812">
        <f t="shared" si="1"/>
        <v>33</v>
      </c>
      <c r="F9" s="696">
        <f t="shared" si="1"/>
        <v>78</v>
      </c>
      <c r="G9" s="699">
        <f t="shared" si="1"/>
        <v>1719</v>
      </c>
      <c r="H9" s="396"/>
      <c r="I9" s="57" t="s">
        <v>241</v>
      </c>
      <c r="J9" s="38"/>
      <c r="K9" s="38"/>
      <c r="L9" s="38"/>
      <c r="M9" s="24"/>
      <c r="W9" s="526"/>
    </row>
    <row r="10" spans="1:23" ht="12.75" customHeight="1" x14ac:dyDescent="0.2">
      <c r="B10" s="58" t="s">
        <v>245</v>
      </c>
      <c r="C10" s="701">
        <f>C8-C9</f>
        <v>40</v>
      </c>
      <c r="D10" s="743">
        <f t="shared" ref="D10:G10" si="2">D8-D9</f>
        <v>11</v>
      </c>
      <c r="E10" s="743">
        <f t="shared" si="2"/>
        <v>3</v>
      </c>
      <c r="F10" s="743">
        <f t="shared" si="2"/>
        <v>6</v>
      </c>
      <c r="G10" s="701">
        <f t="shared" si="2"/>
        <v>242</v>
      </c>
      <c r="H10" s="142"/>
      <c r="I10" s="58" t="s">
        <v>245</v>
      </c>
      <c r="J10" s="38"/>
      <c r="K10" s="38"/>
      <c r="L10" s="38"/>
      <c r="M10" s="24"/>
      <c r="W10" s="526"/>
    </row>
    <row r="11" spans="1:23" ht="12.75" customHeight="1" x14ac:dyDescent="0.2">
      <c r="A11" s="8"/>
      <c r="B11" s="9" t="s">
        <v>63</v>
      </c>
      <c r="C11" s="598">
        <v>5</v>
      </c>
      <c r="D11" s="806">
        <v>20</v>
      </c>
      <c r="E11" s="813"/>
      <c r="F11" s="813"/>
      <c r="G11" s="805">
        <v>60</v>
      </c>
      <c r="H11" s="399"/>
      <c r="I11" s="9" t="s">
        <v>63</v>
      </c>
      <c r="W11" s="526"/>
    </row>
    <row r="12" spans="1:23" ht="12.75" customHeight="1" x14ac:dyDescent="0.2">
      <c r="A12" s="8"/>
      <c r="B12" s="57" t="s">
        <v>46</v>
      </c>
      <c r="C12" s="745">
        <v>3</v>
      </c>
      <c r="D12" s="807">
        <v>5</v>
      </c>
      <c r="E12" s="814">
        <v>1</v>
      </c>
      <c r="F12" s="814"/>
      <c r="G12" s="745">
        <v>14</v>
      </c>
      <c r="H12" s="105"/>
      <c r="I12" s="57" t="s">
        <v>46</v>
      </c>
      <c r="J12" s="2"/>
      <c r="K12" s="2"/>
      <c r="L12" s="21"/>
      <c r="M12" s="2"/>
      <c r="W12" s="526"/>
    </row>
    <row r="13" spans="1:23" ht="12.75" customHeight="1" x14ac:dyDescent="0.2">
      <c r="A13" s="8"/>
      <c r="B13" s="10" t="s">
        <v>48</v>
      </c>
      <c r="C13" s="585"/>
      <c r="D13" s="593"/>
      <c r="E13" s="201"/>
      <c r="F13" s="201">
        <v>3</v>
      </c>
      <c r="G13" s="744">
        <v>37</v>
      </c>
      <c r="H13" s="143"/>
      <c r="I13" s="10" t="s">
        <v>48</v>
      </c>
      <c r="W13" s="526"/>
    </row>
    <row r="14" spans="1:23" ht="12.75" customHeight="1" x14ac:dyDescent="0.2">
      <c r="A14" s="8"/>
      <c r="B14" s="57" t="s">
        <v>59</v>
      </c>
      <c r="C14" s="746">
        <v>3</v>
      </c>
      <c r="D14" s="807">
        <v>15</v>
      </c>
      <c r="E14" s="814">
        <v>6</v>
      </c>
      <c r="F14" s="814">
        <v>1</v>
      </c>
      <c r="G14" s="745">
        <v>67</v>
      </c>
      <c r="H14" s="105"/>
      <c r="I14" s="57" t="s">
        <v>59</v>
      </c>
      <c r="W14" s="526"/>
    </row>
    <row r="15" spans="1:23" ht="12.75" customHeight="1" x14ac:dyDescent="0.2">
      <c r="A15" s="8"/>
      <c r="B15" s="10" t="s">
        <v>64</v>
      </c>
      <c r="C15" s="585">
        <v>9</v>
      </c>
      <c r="D15" s="593">
        <v>58</v>
      </c>
      <c r="E15" s="201"/>
      <c r="F15" s="201">
        <v>27</v>
      </c>
      <c r="G15" s="744">
        <v>382</v>
      </c>
      <c r="H15" s="143"/>
      <c r="I15" s="10" t="s">
        <v>64</v>
      </c>
      <c r="W15" s="526"/>
    </row>
    <row r="16" spans="1:23" ht="12.75" customHeight="1" x14ac:dyDescent="0.2">
      <c r="A16" s="8"/>
      <c r="B16" s="57" t="s">
        <v>49</v>
      </c>
      <c r="C16" s="746">
        <v>5</v>
      </c>
      <c r="D16" s="807"/>
      <c r="E16" s="814"/>
      <c r="F16" s="814"/>
      <c r="G16" s="745">
        <v>10</v>
      </c>
      <c r="H16" s="105"/>
      <c r="I16" s="57" t="s">
        <v>49</v>
      </c>
      <c r="W16" s="526"/>
    </row>
    <row r="17" spans="1:23" ht="12.75" customHeight="1" x14ac:dyDescent="0.2">
      <c r="A17" s="8"/>
      <c r="B17" s="10" t="s">
        <v>67</v>
      </c>
      <c r="C17" s="585">
        <v>17</v>
      </c>
      <c r="D17" s="593">
        <v>3</v>
      </c>
      <c r="E17" s="201"/>
      <c r="F17" s="201"/>
      <c r="G17" s="744">
        <v>26</v>
      </c>
      <c r="H17" s="143"/>
      <c r="I17" s="10" t="s">
        <v>67</v>
      </c>
      <c r="W17" s="526"/>
    </row>
    <row r="18" spans="1:23" ht="12.75" customHeight="1" x14ac:dyDescent="0.2">
      <c r="A18" s="8"/>
      <c r="B18" s="57" t="s">
        <v>60</v>
      </c>
      <c r="C18" s="746">
        <v>5</v>
      </c>
      <c r="D18" s="807"/>
      <c r="E18" s="814"/>
      <c r="F18" s="814">
        <v>2</v>
      </c>
      <c r="G18" s="745">
        <v>21</v>
      </c>
      <c r="H18" s="105"/>
      <c r="I18" s="57" t="s">
        <v>60</v>
      </c>
      <c r="W18" s="526"/>
    </row>
    <row r="19" spans="1:23" ht="12.75" customHeight="1" x14ac:dyDescent="0.2">
      <c r="A19" s="8"/>
      <c r="B19" s="10" t="s">
        <v>65</v>
      </c>
      <c r="C19" s="585">
        <v>39</v>
      </c>
      <c r="D19" s="593">
        <v>9</v>
      </c>
      <c r="E19" s="201">
        <v>6</v>
      </c>
      <c r="F19" s="201"/>
      <c r="G19" s="744">
        <v>84</v>
      </c>
      <c r="H19" s="143"/>
      <c r="I19" s="10" t="s">
        <v>65</v>
      </c>
      <c r="W19" s="526"/>
    </row>
    <row r="20" spans="1:23" ht="12.75" customHeight="1" x14ac:dyDescent="0.2">
      <c r="A20" s="8"/>
      <c r="B20" s="57" t="s">
        <v>66</v>
      </c>
      <c r="C20" s="746"/>
      <c r="D20" s="807">
        <v>15</v>
      </c>
      <c r="E20" s="814">
        <v>5</v>
      </c>
      <c r="F20" s="814">
        <v>17</v>
      </c>
      <c r="G20" s="745">
        <v>121</v>
      </c>
      <c r="H20" s="105"/>
      <c r="I20" s="57" t="s">
        <v>66</v>
      </c>
      <c r="W20" s="526"/>
    </row>
    <row r="21" spans="1:23" ht="12.75" customHeight="1" x14ac:dyDescent="0.2">
      <c r="A21" s="8"/>
      <c r="B21" s="10" t="s">
        <v>77</v>
      </c>
      <c r="C21" s="585"/>
      <c r="D21" s="593"/>
      <c r="E21" s="201"/>
      <c r="F21" s="201">
        <v>1</v>
      </c>
      <c r="G21" s="744">
        <v>3</v>
      </c>
      <c r="H21" s="143"/>
      <c r="I21" s="10" t="s">
        <v>77</v>
      </c>
      <c r="W21" s="526"/>
    </row>
    <row r="22" spans="1:23" ht="12.75" customHeight="1" x14ac:dyDescent="0.2">
      <c r="A22" s="8"/>
      <c r="B22" s="197" t="s">
        <v>68</v>
      </c>
      <c r="C22" s="586">
        <v>5</v>
      </c>
      <c r="D22" s="592">
        <v>2</v>
      </c>
      <c r="E22" s="202">
        <v>3</v>
      </c>
      <c r="F22" s="202">
        <v>4</v>
      </c>
      <c r="G22" s="748">
        <v>98</v>
      </c>
      <c r="H22" s="508"/>
      <c r="I22" s="197" t="s">
        <v>68</v>
      </c>
      <c r="W22" s="526"/>
    </row>
    <row r="23" spans="1:23" ht="12.75" customHeight="1" x14ac:dyDescent="0.2">
      <c r="A23" s="8"/>
      <c r="B23" s="10" t="s">
        <v>47</v>
      </c>
      <c r="C23" s="585"/>
      <c r="D23" s="593"/>
      <c r="E23" s="201"/>
      <c r="F23" s="201"/>
      <c r="G23" s="744">
        <v>8</v>
      </c>
      <c r="H23" s="143"/>
      <c r="I23" s="10" t="s">
        <v>47</v>
      </c>
      <c r="W23" s="526"/>
    </row>
    <row r="24" spans="1:23" ht="12.75" customHeight="1" x14ac:dyDescent="0.2">
      <c r="A24" s="8"/>
      <c r="B24" s="197" t="s">
        <v>51</v>
      </c>
      <c r="C24" s="586">
        <v>6</v>
      </c>
      <c r="D24" s="592"/>
      <c r="E24" s="202"/>
      <c r="F24" s="202"/>
      <c r="G24" s="748">
        <v>6</v>
      </c>
      <c r="H24" s="508"/>
      <c r="I24" s="197" t="s">
        <v>51</v>
      </c>
      <c r="W24" s="526"/>
    </row>
    <row r="25" spans="1:23" ht="12.75" customHeight="1" x14ac:dyDescent="0.2">
      <c r="A25" s="8"/>
      <c r="B25" s="10" t="s">
        <v>52</v>
      </c>
      <c r="C25" s="585">
        <v>2</v>
      </c>
      <c r="D25" s="593"/>
      <c r="E25" s="201"/>
      <c r="F25" s="201">
        <v>1</v>
      </c>
      <c r="G25" s="744">
        <v>9</v>
      </c>
      <c r="H25" s="143"/>
      <c r="I25" s="10" t="s">
        <v>52</v>
      </c>
      <c r="W25" s="526"/>
    </row>
    <row r="26" spans="1:23" ht="12.75" customHeight="1" x14ac:dyDescent="0.2">
      <c r="A26" s="8"/>
      <c r="B26" s="197" t="s">
        <v>69</v>
      </c>
      <c r="C26" s="586">
        <v>1</v>
      </c>
      <c r="D26" s="592">
        <v>19</v>
      </c>
      <c r="E26" s="202"/>
      <c r="F26" s="202">
        <v>4</v>
      </c>
      <c r="G26" s="748">
        <v>78</v>
      </c>
      <c r="H26" s="508"/>
      <c r="I26" s="197" t="s">
        <v>69</v>
      </c>
      <c r="W26" s="526"/>
    </row>
    <row r="27" spans="1:23" ht="12.75" customHeight="1" x14ac:dyDescent="0.2">
      <c r="A27" s="8"/>
      <c r="B27" s="10" t="s">
        <v>50</v>
      </c>
      <c r="C27" s="585">
        <v>7</v>
      </c>
      <c r="D27" s="593">
        <v>2</v>
      </c>
      <c r="E27" s="201"/>
      <c r="F27" s="201"/>
      <c r="G27" s="744">
        <v>9</v>
      </c>
      <c r="H27" s="143"/>
      <c r="I27" s="10" t="s">
        <v>50</v>
      </c>
      <c r="W27" s="526"/>
    </row>
    <row r="28" spans="1:23" ht="12.75" customHeight="1" x14ac:dyDescent="0.2">
      <c r="A28" s="8"/>
      <c r="B28" s="197" t="s">
        <v>53</v>
      </c>
      <c r="C28" s="586"/>
      <c r="D28" s="592"/>
      <c r="E28" s="202"/>
      <c r="F28" s="202"/>
      <c r="G28" s="748">
        <v>88</v>
      </c>
      <c r="H28" s="508"/>
      <c r="I28" s="197" t="s">
        <v>53</v>
      </c>
      <c r="W28" s="526"/>
    </row>
    <row r="29" spans="1:23" ht="12.75" customHeight="1" x14ac:dyDescent="0.2">
      <c r="A29" s="8"/>
      <c r="B29" s="10" t="s">
        <v>61</v>
      </c>
      <c r="C29" s="585"/>
      <c r="D29" s="593">
        <v>10</v>
      </c>
      <c r="E29" s="201"/>
      <c r="F29" s="201">
        <v>2</v>
      </c>
      <c r="G29" s="744">
        <v>25</v>
      </c>
      <c r="H29" s="143"/>
      <c r="I29" s="10" t="s">
        <v>61</v>
      </c>
      <c r="W29" s="526"/>
    </row>
    <row r="30" spans="1:23" ht="12.75" customHeight="1" x14ac:dyDescent="0.2">
      <c r="A30" s="8"/>
      <c r="B30" s="197" t="s">
        <v>70</v>
      </c>
      <c r="C30" s="586"/>
      <c r="D30" s="592"/>
      <c r="E30" s="202"/>
      <c r="F30" s="202">
        <v>4</v>
      </c>
      <c r="G30" s="748">
        <v>226</v>
      </c>
      <c r="H30" s="508"/>
      <c r="I30" s="197" t="s">
        <v>70</v>
      </c>
      <c r="W30" s="526"/>
    </row>
    <row r="31" spans="1:23" ht="12.75" customHeight="1" x14ac:dyDescent="0.2">
      <c r="A31" s="8"/>
      <c r="B31" s="10" t="s">
        <v>54</v>
      </c>
      <c r="C31" s="585">
        <v>16</v>
      </c>
      <c r="D31" s="593"/>
      <c r="E31" s="201">
        <v>2</v>
      </c>
      <c r="F31" s="201">
        <v>1</v>
      </c>
      <c r="G31" s="744">
        <v>18</v>
      </c>
      <c r="H31" s="143"/>
      <c r="I31" s="10" t="s">
        <v>54</v>
      </c>
      <c r="W31" s="526"/>
    </row>
    <row r="32" spans="1:23" ht="12.75" customHeight="1" x14ac:dyDescent="0.2">
      <c r="A32" s="8"/>
      <c r="B32" s="197" t="s">
        <v>71</v>
      </c>
      <c r="C32" s="586"/>
      <c r="D32" s="592">
        <v>1</v>
      </c>
      <c r="E32" s="202"/>
      <c r="F32" s="202">
        <v>2</v>
      </c>
      <c r="G32" s="748">
        <v>122</v>
      </c>
      <c r="H32" s="508"/>
      <c r="I32" s="197" t="s">
        <v>71</v>
      </c>
      <c r="W32" s="526"/>
    </row>
    <row r="33" spans="1:23" ht="12.75" customHeight="1" x14ac:dyDescent="0.2">
      <c r="A33" s="8"/>
      <c r="B33" s="10" t="s">
        <v>55</v>
      </c>
      <c r="C33" s="744"/>
      <c r="D33" s="593"/>
      <c r="E33" s="201"/>
      <c r="F33" s="201"/>
      <c r="G33" s="744">
        <v>11</v>
      </c>
      <c r="H33" s="143"/>
      <c r="I33" s="10" t="s">
        <v>55</v>
      </c>
      <c r="J33" s="2"/>
      <c r="K33" s="2"/>
      <c r="L33" s="21"/>
      <c r="M33" s="2"/>
      <c r="W33" s="526"/>
    </row>
    <row r="34" spans="1:23" ht="12.75" customHeight="1" x14ac:dyDescent="0.2">
      <c r="A34" s="8"/>
      <c r="B34" s="197" t="s">
        <v>57</v>
      </c>
      <c r="C34" s="586">
        <v>1</v>
      </c>
      <c r="D34" s="592">
        <v>2</v>
      </c>
      <c r="E34" s="202"/>
      <c r="F34" s="202"/>
      <c r="G34" s="748">
        <v>18</v>
      </c>
      <c r="H34" s="508"/>
      <c r="I34" s="197" t="s">
        <v>57</v>
      </c>
      <c r="W34" s="526"/>
    </row>
    <row r="35" spans="1:23" ht="12.75" customHeight="1" x14ac:dyDescent="0.2">
      <c r="A35" s="8"/>
      <c r="B35" s="10" t="s">
        <v>56</v>
      </c>
      <c r="C35" s="585"/>
      <c r="D35" s="593">
        <v>2</v>
      </c>
      <c r="E35" s="201"/>
      <c r="F35" s="201"/>
      <c r="G35" s="744">
        <v>11</v>
      </c>
      <c r="H35" s="143"/>
      <c r="I35" s="10" t="s">
        <v>56</v>
      </c>
      <c r="W35" s="526"/>
    </row>
    <row r="36" spans="1:23" ht="12.75" customHeight="1" x14ac:dyDescent="0.2">
      <c r="A36" s="8"/>
      <c r="B36" s="197" t="s">
        <v>72</v>
      </c>
      <c r="C36" s="586"/>
      <c r="D36" s="592">
        <v>4</v>
      </c>
      <c r="E36" s="202"/>
      <c r="F36" s="202">
        <v>2</v>
      </c>
      <c r="G36" s="748">
        <v>25</v>
      </c>
      <c r="H36" s="508"/>
      <c r="I36" s="197" t="s">
        <v>72</v>
      </c>
      <c r="W36" s="526"/>
    </row>
    <row r="37" spans="1:23" ht="12.75" customHeight="1" x14ac:dyDescent="0.2">
      <c r="A37" s="8"/>
      <c r="B37" s="10" t="s">
        <v>73</v>
      </c>
      <c r="C37" s="585">
        <v>32</v>
      </c>
      <c r="D37" s="593">
        <v>0</v>
      </c>
      <c r="E37" s="201"/>
      <c r="F37" s="201">
        <v>4</v>
      </c>
      <c r="G37" s="744">
        <v>39</v>
      </c>
      <c r="H37" s="143"/>
      <c r="I37" s="10" t="s">
        <v>73</v>
      </c>
      <c r="W37" s="526"/>
    </row>
    <row r="38" spans="1:23" ht="12.75" customHeight="1" x14ac:dyDescent="0.2">
      <c r="A38" s="8"/>
      <c r="B38" s="199" t="s">
        <v>62</v>
      </c>
      <c r="C38" s="749">
        <v>13</v>
      </c>
      <c r="D38" s="597">
        <v>35</v>
      </c>
      <c r="E38" s="204">
        <v>13</v>
      </c>
      <c r="F38" s="204">
        <v>9</v>
      </c>
      <c r="G38" s="749">
        <v>345</v>
      </c>
      <c r="H38" s="510"/>
      <c r="I38" s="199" t="s">
        <v>62</v>
      </c>
      <c r="J38" s="2"/>
      <c r="K38" s="2"/>
      <c r="L38" s="21"/>
      <c r="M38" s="2"/>
      <c r="W38" s="526"/>
    </row>
    <row r="39" spans="1:23" ht="12.75" customHeight="1" x14ac:dyDescent="0.2">
      <c r="A39" s="8"/>
      <c r="B39" s="10" t="s">
        <v>223</v>
      </c>
      <c r="C39" s="744"/>
      <c r="D39" s="593"/>
      <c r="E39" s="201"/>
      <c r="F39" s="201"/>
      <c r="G39" s="744"/>
      <c r="H39" s="143"/>
      <c r="I39" s="10" t="s">
        <v>223</v>
      </c>
      <c r="J39" s="2"/>
      <c r="K39" s="2"/>
      <c r="L39" s="21"/>
      <c r="M39" s="2"/>
      <c r="W39" s="526"/>
    </row>
    <row r="40" spans="1:23" ht="12.75" customHeight="1" x14ac:dyDescent="0.2">
      <c r="A40" s="8"/>
      <c r="B40" s="197" t="s">
        <v>1</v>
      </c>
      <c r="C40" s="748"/>
      <c r="D40" s="592"/>
      <c r="E40" s="202"/>
      <c r="F40" s="202"/>
      <c r="G40" s="748"/>
      <c r="H40" s="508"/>
      <c r="I40" s="197" t="s">
        <v>1</v>
      </c>
      <c r="J40" s="2"/>
      <c r="K40" s="2"/>
      <c r="L40" s="21"/>
      <c r="M40" s="2"/>
      <c r="W40" s="526"/>
    </row>
    <row r="41" spans="1:23" ht="12.75" customHeight="1" x14ac:dyDescent="0.2">
      <c r="A41" s="8"/>
      <c r="B41" s="10" t="s">
        <v>222</v>
      </c>
      <c r="C41" s="744"/>
      <c r="D41" s="593"/>
      <c r="E41" s="201"/>
      <c r="F41" s="201"/>
      <c r="G41" s="744"/>
      <c r="H41" s="143"/>
      <c r="I41" s="10" t="s">
        <v>222</v>
      </c>
      <c r="J41" s="2"/>
      <c r="K41" s="2"/>
      <c r="L41" s="21"/>
      <c r="M41" s="2"/>
      <c r="W41" s="526"/>
    </row>
    <row r="42" spans="1:23" ht="12.75" customHeight="1" x14ac:dyDescent="0.2">
      <c r="A42" s="8"/>
      <c r="B42" s="199" t="s">
        <v>58</v>
      </c>
      <c r="C42" s="749"/>
      <c r="D42" s="597">
        <v>18</v>
      </c>
      <c r="E42" s="204"/>
      <c r="F42" s="204">
        <v>6</v>
      </c>
      <c r="G42" s="749">
        <v>103</v>
      </c>
      <c r="H42" s="510"/>
      <c r="I42" s="199" t="s">
        <v>58</v>
      </c>
      <c r="J42" s="2"/>
      <c r="K42" s="2"/>
      <c r="L42" s="21"/>
      <c r="M42" s="2"/>
      <c r="W42" s="526"/>
    </row>
    <row r="43" spans="1:23" ht="12.75" customHeight="1" x14ac:dyDescent="0.2">
      <c r="A43" s="8"/>
      <c r="B43" s="9" t="s">
        <v>44</v>
      </c>
      <c r="C43" s="744"/>
      <c r="D43" s="593">
        <v>6</v>
      </c>
      <c r="E43" s="201"/>
      <c r="F43" s="201"/>
      <c r="G43" s="744"/>
      <c r="H43" s="143"/>
      <c r="I43" s="9" t="s">
        <v>44</v>
      </c>
      <c r="J43" s="2"/>
      <c r="K43" s="2"/>
      <c r="L43" s="21"/>
      <c r="M43" s="2"/>
      <c r="W43" s="526"/>
    </row>
    <row r="44" spans="1:23" ht="12.75" customHeight="1" x14ac:dyDescent="0.2">
      <c r="A44" s="8"/>
      <c r="B44" s="197" t="s">
        <v>74</v>
      </c>
      <c r="C44" s="748"/>
      <c r="D44" s="592"/>
      <c r="E44" s="202"/>
      <c r="F44" s="202"/>
      <c r="G44" s="748">
        <v>9</v>
      </c>
      <c r="H44" s="508"/>
      <c r="I44" s="197" t="s">
        <v>74</v>
      </c>
      <c r="J44" s="2"/>
      <c r="K44" s="2"/>
      <c r="L44" s="21"/>
      <c r="M44" s="2"/>
      <c r="W44" s="526"/>
    </row>
    <row r="45" spans="1:23" ht="12.75" customHeight="1" x14ac:dyDescent="0.2">
      <c r="A45" s="8"/>
      <c r="B45" s="10" t="s">
        <v>45</v>
      </c>
      <c r="C45" s="744">
        <v>13</v>
      </c>
      <c r="D45" s="593"/>
      <c r="E45" s="201"/>
      <c r="F45" s="201">
        <v>4</v>
      </c>
      <c r="G45" s="744">
        <v>168</v>
      </c>
      <c r="H45" s="143"/>
      <c r="I45" s="10" t="s">
        <v>45</v>
      </c>
      <c r="J45" s="2"/>
      <c r="K45" s="2"/>
      <c r="L45" s="21"/>
      <c r="M45" s="2"/>
    </row>
    <row r="46" spans="1:23" ht="12.75" customHeight="1" x14ac:dyDescent="0.2">
      <c r="A46" s="8"/>
      <c r="B46" s="199" t="s">
        <v>84</v>
      </c>
      <c r="C46" s="749"/>
      <c r="D46" s="597"/>
      <c r="E46" s="204"/>
      <c r="F46" s="204"/>
      <c r="G46" s="749">
        <v>2</v>
      </c>
      <c r="H46" s="510"/>
      <c r="I46" s="199" t="s">
        <v>84</v>
      </c>
      <c r="J46" s="2"/>
      <c r="K46" s="2"/>
      <c r="L46" s="21"/>
      <c r="M46" s="2"/>
    </row>
    <row r="47" spans="1:23" ht="15" customHeight="1" x14ac:dyDescent="0.2">
      <c r="B47" s="406" t="s">
        <v>193</v>
      </c>
      <c r="C47" s="39"/>
      <c r="D47" s="39"/>
      <c r="E47" s="39"/>
      <c r="F47" s="2"/>
      <c r="G47" s="2"/>
      <c r="H47" s="2"/>
      <c r="I47" s="39"/>
      <c r="J47" s="15"/>
      <c r="K47" s="15"/>
      <c r="L47" s="15"/>
      <c r="M47" s="15"/>
      <c r="N47" s="29"/>
    </row>
    <row r="48" spans="1:23" ht="11.25" customHeight="1" x14ac:dyDescent="0.2">
      <c r="B48" s="1046" t="s">
        <v>0</v>
      </c>
      <c r="C48" s="1046"/>
      <c r="D48" s="1046"/>
      <c r="E48" s="1046"/>
      <c r="F48" s="1046"/>
      <c r="G48" s="1046"/>
      <c r="H48" s="387"/>
      <c r="I48" s="407"/>
      <c r="J48" s="12"/>
      <c r="K48" s="12"/>
      <c r="L48" s="12"/>
      <c r="M48" s="12"/>
      <c r="N48" s="12"/>
    </row>
    <row r="49" spans="2:14" ht="22.5" customHeight="1" x14ac:dyDescent="0.2">
      <c r="B49" s="1042" t="s">
        <v>194</v>
      </c>
      <c r="C49" s="1036"/>
      <c r="D49" s="1036"/>
      <c r="E49" s="1036"/>
      <c r="F49" s="1036"/>
      <c r="G49" s="1036"/>
      <c r="H49" s="1036"/>
      <c r="I49" s="1036"/>
      <c r="J49" s="12"/>
      <c r="K49" s="12"/>
      <c r="L49" s="12"/>
      <c r="M49" s="12"/>
      <c r="N49" s="12"/>
    </row>
    <row r="50" spans="2:14" ht="12.75" customHeight="1" x14ac:dyDescent="0.2">
      <c r="B50" s="408" t="s">
        <v>111</v>
      </c>
    </row>
    <row r="51" spans="2:14" ht="12.75" customHeight="1" x14ac:dyDescent="0.2">
      <c r="B51" s="63" t="s">
        <v>115</v>
      </c>
    </row>
  </sheetData>
  <mergeCells count="9">
    <mergeCell ref="B49:I49"/>
    <mergeCell ref="F5:F6"/>
    <mergeCell ref="C5:D5"/>
    <mergeCell ref="B48:G48"/>
    <mergeCell ref="B2:I2"/>
    <mergeCell ref="B3:I3"/>
    <mergeCell ref="B4:I4"/>
    <mergeCell ref="G5:H6"/>
    <mergeCell ref="G7:H7"/>
  </mergeCells>
  <phoneticPr fontId="4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2"/>
  <dimension ref="A1:V51"/>
  <sheetViews>
    <sheetView workbookViewId="0">
      <selection activeCell="AB24" sqref="Z21:AB24"/>
    </sheetView>
  </sheetViews>
  <sheetFormatPr defaultRowHeight="11.25" x14ac:dyDescent="0.2"/>
  <cols>
    <col min="1" max="1" width="4.5703125" style="3" customWidth="1"/>
    <col min="2" max="2" width="6.7109375" style="3" customWidth="1"/>
    <col min="3" max="20" width="9.140625" style="3"/>
    <col min="21" max="21" width="2.7109375" style="3" customWidth="1"/>
    <col min="22" max="16384" width="9.140625" style="3"/>
  </cols>
  <sheetData>
    <row r="1" spans="1:22" ht="14.25" customHeight="1" x14ac:dyDescent="0.2">
      <c r="A1" s="526"/>
      <c r="B1" s="534"/>
      <c r="C1" s="532"/>
      <c r="D1" s="532"/>
      <c r="E1" s="543"/>
      <c r="F1" s="543"/>
      <c r="G1" s="532"/>
      <c r="H1" s="526"/>
      <c r="I1" s="526"/>
      <c r="J1" s="526"/>
      <c r="K1" s="535"/>
      <c r="L1" s="535"/>
      <c r="M1" s="535"/>
      <c r="N1" s="535"/>
      <c r="O1" s="535"/>
      <c r="P1" s="535"/>
      <c r="Q1" s="535"/>
      <c r="R1" s="535"/>
      <c r="S1" s="535"/>
      <c r="T1" s="535" t="s">
        <v>165</v>
      </c>
      <c r="U1" s="526"/>
      <c r="V1" s="526"/>
    </row>
    <row r="2" spans="1:22" s="63" customFormat="1" ht="30" customHeight="1" x14ac:dyDescent="0.2">
      <c r="A2" s="541"/>
      <c r="B2" s="984" t="s">
        <v>16</v>
      </c>
      <c r="C2" s="984"/>
      <c r="D2" s="984"/>
      <c r="E2" s="984"/>
      <c r="F2" s="984"/>
      <c r="G2" s="984"/>
      <c r="H2" s="984"/>
      <c r="I2" s="984"/>
      <c r="J2" s="984"/>
      <c r="K2" s="984"/>
      <c r="L2" s="984"/>
      <c r="M2" s="984"/>
      <c r="N2" s="984"/>
      <c r="O2" s="984"/>
      <c r="P2" s="984"/>
      <c r="Q2" s="984"/>
      <c r="R2" s="984"/>
      <c r="S2" s="984"/>
      <c r="T2" s="984"/>
      <c r="U2" s="540"/>
      <c r="V2" s="540"/>
    </row>
    <row r="3" spans="1:22" ht="18" customHeight="1" x14ac:dyDescent="0.2">
      <c r="A3" s="526"/>
      <c r="B3" s="969" t="s">
        <v>12</v>
      </c>
      <c r="C3" s="969"/>
      <c r="D3" s="969"/>
      <c r="E3" s="969"/>
      <c r="F3" s="969"/>
      <c r="G3" s="969"/>
      <c r="H3" s="969"/>
      <c r="I3" s="969"/>
      <c r="J3" s="969"/>
      <c r="K3" s="969"/>
      <c r="L3" s="969"/>
      <c r="M3" s="969"/>
      <c r="N3" s="969"/>
      <c r="O3" s="969"/>
      <c r="P3" s="969"/>
      <c r="Q3" s="969"/>
      <c r="R3" s="969"/>
      <c r="S3" s="969"/>
      <c r="T3" s="969"/>
      <c r="U3" s="526"/>
      <c r="V3" s="526"/>
    </row>
    <row r="4" spans="1:22" ht="24.95" customHeight="1" x14ac:dyDescent="0.2">
      <c r="A4" s="526"/>
      <c r="B4" s="542"/>
      <c r="C4" s="547">
        <v>1970</v>
      </c>
      <c r="D4" s="548">
        <v>1980</v>
      </c>
      <c r="E4" s="548">
        <v>1990</v>
      </c>
      <c r="F4" s="548">
        <v>2000</v>
      </c>
      <c r="G4" s="548">
        <v>2001</v>
      </c>
      <c r="H4" s="548">
        <v>2002</v>
      </c>
      <c r="I4" s="548">
        <v>2003</v>
      </c>
      <c r="J4" s="548">
        <v>2004</v>
      </c>
      <c r="K4" s="548">
        <v>2005</v>
      </c>
      <c r="L4" s="548">
        <v>2006</v>
      </c>
      <c r="M4" s="548">
        <v>2007</v>
      </c>
      <c r="N4" s="548">
        <v>2008</v>
      </c>
      <c r="O4" s="548">
        <v>2009</v>
      </c>
      <c r="P4" s="548">
        <v>2010</v>
      </c>
      <c r="Q4" s="548">
        <v>2011</v>
      </c>
      <c r="R4" s="61">
        <v>2012</v>
      </c>
      <c r="S4" s="539">
        <v>2013</v>
      </c>
      <c r="T4" s="528"/>
      <c r="U4" s="526"/>
      <c r="V4" s="527" t="s">
        <v>261</v>
      </c>
    </row>
    <row r="5" spans="1:22" ht="12.75" customHeight="1" x14ac:dyDescent="0.2">
      <c r="A5" s="526"/>
      <c r="B5" s="538" t="s">
        <v>236</v>
      </c>
      <c r="C5" s="741"/>
      <c r="D5" s="695"/>
      <c r="E5" s="694">
        <v>66278</v>
      </c>
      <c r="F5" s="695"/>
      <c r="G5" s="695"/>
      <c r="H5" s="695">
        <v>53655</v>
      </c>
      <c r="I5" s="695">
        <v>52011</v>
      </c>
      <c r="J5" s="695">
        <v>49109</v>
      </c>
      <c r="K5" s="695">
        <v>47923</v>
      </c>
      <c r="L5" s="815">
        <v>48635</v>
      </c>
      <c r="M5" s="695">
        <v>61964</v>
      </c>
      <c r="N5" s="695">
        <v>61482</v>
      </c>
      <c r="O5" s="815">
        <v>61838</v>
      </c>
      <c r="P5" s="816">
        <v>59851</v>
      </c>
      <c r="Q5" s="694">
        <v>58872</v>
      </c>
      <c r="R5" s="817">
        <v>56953</v>
      </c>
      <c r="S5" s="852">
        <f>SUM(S8:S35)</f>
        <v>58054</v>
      </c>
      <c r="T5" s="538" t="s">
        <v>236</v>
      </c>
      <c r="U5" s="526"/>
      <c r="V5" s="554">
        <f>S5/R5-1</f>
        <v>1.9331729671834719E-2</v>
      </c>
    </row>
    <row r="6" spans="1:22" ht="12.75" customHeight="1" x14ac:dyDescent="0.2">
      <c r="A6" s="526"/>
      <c r="B6" s="536" t="s">
        <v>241</v>
      </c>
      <c r="C6" s="818">
        <v>43847</v>
      </c>
      <c r="D6" s="819">
        <v>40926</v>
      </c>
      <c r="E6" s="819">
        <v>43444</v>
      </c>
      <c r="F6" s="819"/>
      <c r="G6" s="819"/>
      <c r="H6" s="819">
        <v>36515</v>
      </c>
      <c r="I6" s="819">
        <v>36349</v>
      </c>
      <c r="J6" s="819">
        <v>33986</v>
      </c>
      <c r="K6" s="819">
        <v>33062</v>
      </c>
      <c r="L6" s="820">
        <v>34026</v>
      </c>
      <c r="M6" s="819">
        <v>47314</v>
      </c>
      <c r="N6" s="819">
        <v>47197</v>
      </c>
      <c r="O6" s="820">
        <v>47323</v>
      </c>
      <c r="P6" s="821">
        <v>46906</v>
      </c>
      <c r="Q6" s="822">
        <v>46043</v>
      </c>
      <c r="R6" s="822">
        <v>44433</v>
      </c>
      <c r="S6" s="853">
        <f>S5-S7</f>
        <v>45552</v>
      </c>
      <c r="T6" s="536" t="s">
        <v>241</v>
      </c>
      <c r="U6" s="526"/>
      <c r="V6" s="554">
        <f t="shared" ref="V6:V43" si="0">S6/R6-1</f>
        <v>2.5183984876105514E-2</v>
      </c>
    </row>
    <row r="7" spans="1:22" ht="12.75" customHeight="1" x14ac:dyDescent="0.2">
      <c r="A7" s="526"/>
      <c r="B7" s="537" t="s">
        <v>245</v>
      </c>
      <c r="C7" s="823"/>
      <c r="D7" s="824"/>
      <c r="E7" s="825">
        <v>22271</v>
      </c>
      <c r="F7" s="824">
        <v>17460</v>
      </c>
      <c r="G7" s="824">
        <v>17068</v>
      </c>
      <c r="H7" s="824">
        <v>17140</v>
      </c>
      <c r="I7" s="824">
        <v>15662</v>
      </c>
      <c r="J7" s="824">
        <v>15123</v>
      </c>
      <c r="K7" s="824">
        <v>14861</v>
      </c>
      <c r="L7" s="824">
        <v>14609</v>
      </c>
      <c r="M7" s="824">
        <v>14650</v>
      </c>
      <c r="N7" s="824">
        <v>14285</v>
      </c>
      <c r="O7" s="826">
        <v>14515</v>
      </c>
      <c r="P7" s="827">
        <v>12945</v>
      </c>
      <c r="Q7" s="824">
        <v>12829</v>
      </c>
      <c r="R7" s="824">
        <v>12520</v>
      </c>
      <c r="S7" s="854">
        <f>S9+S10+S13+S18+S21+S22+S24+S28+S30+S31+S32</f>
        <v>12502</v>
      </c>
      <c r="T7" s="537" t="s">
        <v>245</v>
      </c>
      <c r="U7" s="526"/>
      <c r="V7" s="554">
        <f t="shared" si="0"/>
        <v>-1.4376996805112174E-3</v>
      </c>
    </row>
    <row r="8" spans="1:22" ht="12.75" customHeight="1" x14ac:dyDescent="0.2">
      <c r="A8" s="526"/>
      <c r="B8" s="530" t="s">
        <v>63</v>
      </c>
      <c r="C8" s="750">
        <v>1536</v>
      </c>
      <c r="D8" s="751">
        <v>1740</v>
      </c>
      <c r="E8" s="751">
        <v>1727</v>
      </c>
      <c r="F8" s="751">
        <v>1670</v>
      </c>
      <c r="G8" s="751">
        <v>1706</v>
      </c>
      <c r="H8" s="751">
        <v>1678</v>
      </c>
      <c r="I8" s="751">
        <v>1522</v>
      </c>
      <c r="J8" s="751">
        <v>1528</v>
      </c>
      <c r="K8" s="751">
        <v>1518</v>
      </c>
      <c r="L8" s="751">
        <v>1469</v>
      </c>
      <c r="M8" s="751">
        <v>1449</v>
      </c>
      <c r="N8" s="751">
        <v>1403</v>
      </c>
      <c r="O8" s="751">
        <v>1341</v>
      </c>
      <c r="P8" s="751">
        <v>1341</v>
      </c>
      <c r="Q8" s="751">
        <v>1266</v>
      </c>
      <c r="R8" s="828">
        <v>1266</v>
      </c>
      <c r="S8" s="855">
        <f>66+310+95+717</f>
        <v>1188</v>
      </c>
      <c r="T8" s="529" t="s">
        <v>63</v>
      </c>
      <c r="U8" s="526"/>
      <c r="V8" s="554">
        <f t="shared" si="0"/>
        <v>-6.1611374407582908E-2</v>
      </c>
    </row>
    <row r="9" spans="1:22" ht="12.75" customHeight="1" x14ac:dyDescent="0.2">
      <c r="A9" s="526"/>
      <c r="B9" s="536" t="s">
        <v>46</v>
      </c>
      <c r="C9" s="829">
        <v>1005</v>
      </c>
      <c r="D9" s="830">
        <v>1009</v>
      </c>
      <c r="E9" s="830">
        <v>1119</v>
      </c>
      <c r="F9" s="830">
        <v>762</v>
      </c>
      <c r="G9" s="830">
        <v>753</v>
      </c>
      <c r="H9" s="830">
        <v>680</v>
      </c>
      <c r="I9" s="830">
        <v>671</v>
      </c>
      <c r="J9" s="830">
        <v>657</v>
      </c>
      <c r="K9" s="830">
        <v>669</v>
      </c>
      <c r="L9" s="830">
        <v>687</v>
      </c>
      <c r="M9" s="830">
        <v>699</v>
      </c>
      <c r="N9" s="830">
        <v>713</v>
      </c>
      <c r="O9" s="830">
        <v>712</v>
      </c>
      <c r="P9" s="830">
        <v>624</v>
      </c>
      <c r="Q9" s="830">
        <v>474</v>
      </c>
      <c r="R9" s="830">
        <v>451</v>
      </c>
      <c r="S9" s="856">
        <f>117+90+79+119+1+55+9+20+9+5</f>
        <v>504</v>
      </c>
      <c r="T9" s="536" t="s">
        <v>46</v>
      </c>
      <c r="U9" s="526"/>
      <c r="V9" s="549">
        <f t="shared" si="0"/>
        <v>0.11751662971175159</v>
      </c>
    </row>
    <row r="10" spans="1:22" ht="12.75" customHeight="1" x14ac:dyDescent="0.2">
      <c r="A10" s="526"/>
      <c r="B10" s="530" t="s">
        <v>48</v>
      </c>
      <c r="C10" s="831"/>
      <c r="D10" s="832"/>
      <c r="E10" s="832"/>
      <c r="F10" s="751">
        <v>3596</v>
      </c>
      <c r="G10" s="751">
        <v>3481</v>
      </c>
      <c r="H10" s="751">
        <v>3301</v>
      </c>
      <c r="I10" s="751">
        <v>3280</v>
      </c>
      <c r="J10" s="751">
        <v>3258</v>
      </c>
      <c r="K10" s="751">
        <v>3163</v>
      </c>
      <c r="L10" s="751">
        <v>3037</v>
      </c>
      <c r="M10" s="751">
        <v>2921</v>
      </c>
      <c r="N10" s="751">
        <v>2758</v>
      </c>
      <c r="O10" s="751">
        <v>2746</v>
      </c>
      <c r="P10" s="833">
        <v>2258</v>
      </c>
      <c r="Q10" s="751">
        <v>2408</v>
      </c>
      <c r="R10" s="751">
        <v>2124</v>
      </c>
      <c r="S10" s="857">
        <f>787+733+464+290</f>
        <v>2274</v>
      </c>
      <c r="T10" s="530" t="s">
        <v>48</v>
      </c>
      <c r="U10" s="526"/>
      <c r="V10" s="549">
        <f t="shared" si="0"/>
        <v>7.0621468926553632E-2</v>
      </c>
    </row>
    <row r="11" spans="1:22" ht="12.75" customHeight="1" x14ac:dyDescent="0.2">
      <c r="A11" s="526"/>
      <c r="B11" s="536" t="s">
        <v>59</v>
      </c>
      <c r="C11" s="829">
        <v>480</v>
      </c>
      <c r="D11" s="830">
        <v>461</v>
      </c>
      <c r="E11" s="830">
        <v>524</v>
      </c>
      <c r="F11" s="830">
        <v>415</v>
      </c>
      <c r="G11" s="830">
        <v>495</v>
      </c>
      <c r="H11" s="830">
        <v>566</v>
      </c>
      <c r="I11" s="830">
        <v>458</v>
      </c>
      <c r="J11" s="830">
        <v>458</v>
      </c>
      <c r="K11" s="830">
        <v>464</v>
      </c>
      <c r="L11" s="830">
        <v>447</v>
      </c>
      <c r="M11" s="830">
        <v>447</v>
      </c>
      <c r="N11" s="830">
        <v>448</v>
      </c>
      <c r="O11" s="830">
        <v>538</v>
      </c>
      <c r="P11" s="830">
        <v>495</v>
      </c>
      <c r="Q11" s="830">
        <v>332</v>
      </c>
      <c r="R11" s="830">
        <v>347</v>
      </c>
      <c r="S11" s="856">
        <f>47+6+264</f>
        <v>317</v>
      </c>
      <c r="T11" s="536" t="s">
        <v>59</v>
      </c>
      <c r="U11" s="526"/>
      <c r="V11" s="549">
        <f t="shared" si="0"/>
        <v>-8.6455331412103709E-2</v>
      </c>
    </row>
    <row r="12" spans="1:22" ht="12.75" customHeight="1" x14ac:dyDescent="0.2">
      <c r="A12" s="526"/>
      <c r="B12" s="530" t="s">
        <v>64</v>
      </c>
      <c r="C12" s="834">
        <v>11439</v>
      </c>
      <c r="D12" s="751">
        <v>12694</v>
      </c>
      <c r="E12" s="751">
        <v>14437</v>
      </c>
      <c r="F12" s="751">
        <v>9656</v>
      </c>
      <c r="G12" s="751">
        <v>9998</v>
      </c>
      <c r="H12" s="751">
        <v>9036</v>
      </c>
      <c r="I12" s="751">
        <v>10363</v>
      </c>
      <c r="J12" s="751">
        <v>8293</v>
      </c>
      <c r="K12" s="751">
        <v>7742</v>
      </c>
      <c r="L12" s="835">
        <v>8817</v>
      </c>
      <c r="M12" s="751">
        <v>13890</v>
      </c>
      <c r="N12" s="751">
        <v>14565</v>
      </c>
      <c r="O12" s="751">
        <v>15337</v>
      </c>
      <c r="P12" s="751">
        <v>15613</v>
      </c>
      <c r="Q12" s="751">
        <v>15492</v>
      </c>
      <c r="R12" s="751">
        <v>15103</v>
      </c>
      <c r="S12" s="857">
        <f>345+1978+2560+2980+8024</f>
        <v>15887</v>
      </c>
      <c r="T12" s="530" t="s">
        <v>64</v>
      </c>
      <c r="U12" s="526"/>
      <c r="V12" s="549">
        <f t="shared" si="0"/>
        <v>5.1910216513275431E-2</v>
      </c>
    </row>
    <row r="13" spans="1:22" ht="12.75" customHeight="1" x14ac:dyDescent="0.2">
      <c r="A13" s="526"/>
      <c r="B13" s="536" t="s">
        <v>49</v>
      </c>
      <c r="C13" s="829"/>
      <c r="D13" s="830"/>
      <c r="E13" s="836">
        <v>300</v>
      </c>
      <c r="F13" s="830">
        <v>194</v>
      </c>
      <c r="G13" s="830">
        <v>194</v>
      </c>
      <c r="H13" s="830">
        <v>236</v>
      </c>
      <c r="I13" s="830">
        <v>241</v>
      </c>
      <c r="J13" s="830">
        <v>178</v>
      </c>
      <c r="K13" s="830">
        <v>170</v>
      </c>
      <c r="L13" s="830">
        <v>167</v>
      </c>
      <c r="M13" s="837">
        <v>190</v>
      </c>
      <c r="N13" s="830">
        <v>98</v>
      </c>
      <c r="O13" s="830">
        <v>76</v>
      </c>
      <c r="P13" s="830">
        <v>81</v>
      </c>
      <c r="Q13" s="830">
        <v>75</v>
      </c>
      <c r="R13" s="830">
        <v>75</v>
      </c>
      <c r="S13" s="858">
        <v>75</v>
      </c>
      <c r="T13" s="536" t="s">
        <v>49</v>
      </c>
      <c r="U13" s="526"/>
      <c r="V13" s="554">
        <f t="shared" si="0"/>
        <v>0</v>
      </c>
    </row>
    <row r="14" spans="1:22" ht="12.75" customHeight="1" x14ac:dyDescent="0.2">
      <c r="A14" s="526"/>
      <c r="B14" s="530" t="s">
        <v>67</v>
      </c>
      <c r="C14" s="750">
        <v>307</v>
      </c>
      <c r="D14" s="751">
        <v>192</v>
      </c>
      <c r="E14" s="751">
        <v>166</v>
      </c>
      <c r="F14" s="751">
        <v>172</v>
      </c>
      <c r="G14" s="751">
        <v>169</v>
      </c>
      <c r="H14" s="751">
        <v>225</v>
      </c>
      <c r="I14" s="751">
        <v>268</v>
      </c>
      <c r="J14" s="838">
        <v>306</v>
      </c>
      <c r="K14" s="838">
        <v>412</v>
      </c>
      <c r="L14" s="838">
        <v>428</v>
      </c>
      <c r="M14" s="838">
        <v>428</v>
      </c>
      <c r="N14" s="838">
        <v>549</v>
      </c>
      <c r="O14" s="838">
        <v>572</v>
      </c>
      <c r="P14" s="839">
        <v>572</v>
      </c>
      <c r="Q14" s="838">
        <v>374</v>
      </c>
      <c r="R14" s="839">
        <v>374</v>
      </c>
      <c r="S14" s="859">
        <f>52+414+154</f>
        <v>620</v>
      </c>
      <c r="T14" s="530" t="s">
        <v>67</v>
      </c>
      <c r="U14" s="526"/>
      <c r="V14" s="554">
        <f t="shared" si="0"/>
        <v>0.65775401069518713</v>
      </c>
    </row>
    <row r="15" spans="1:22" ht="12.75" customHeight="1" x14ac:dyDescent="0.2">
      <c r="A15" s="526"/>
      <c r="B15" s="536" t="s">
        <v>60</v>
      </c>
      <c r="C15" s="829">
        <v>514</v>
      </c>
      <c r="D15" s="830">
        <v>313</v>
      </c>
      <c r="E15" s="830">
        <v>400</v>
      </c>
      <c r="F15" s="830">
        <v>244</v>
      </c>
      <c r="G15" s="830">
        <v>290</v>
      </c>
      <c r="H15" s="830">
        <v>278</v>
      </c>
      <c r="I15" s="830">
        <v>237</v>
      </c>
      <c r="J15" s="830">
        <v>269</v>
      </c>
      <c r="K15" s="830">
        <v>289</v>
      </c>
      <c r="L15" s="830">
        <v>284</v>
      </c>
      <c r="M15" s="830">
        <v>295</v>
      </c>
      <c r="N15" s="830">
        <v>301</v>
      </c>
      <c r="O15" s="830">
        <v>301</v>
      </c>
      <c r="P15" s="836">
        <v>301</v>
      </c>
      <c r="Q15" s="830">
        <v>301</v>
      </c>
      <c r="R15" s="836">
        <v>301</v>
      </c>
      <c r="S15" s="858">
        <f>143+30+108+20</f>
        <v>301</v>
      </c>
      <c r="T15" s="536" t="s">
        <v>60</v>
      </c>
      <c r="U15" s="526"/>
      <c r="V15" s="554">
        <f t="shared" si="0"/>
        <v>0</v>
      </c>
    </row>
    <row r="16" spans="1:22" ht="12.75" customHeight="1" x14ac:dyDescent="0.2">
      <c r="A16" s="526"/>
      <c r="B16" s="530" t="s">
        <v>65</v>
      </c>
      <c r="C16" s="750">
        <v>1928</v>
      </c>
      <c r="D16" s="751">
        <v>1791</v>
      </c>
      <c r="E16" s="751">
        <v>1922</v>
      </c>
      <c r="F16" s="751">
        <v>1693</v>
      </c>
      <c r="G16" s="751">
        <v>1951</v>
      </c>
      <c r="H16" s="751">
        <v>1931</v>
      </c>
      <c r="I16" s="751">
        <v>1911</v>
      </c>
      <c r="J16" s="751">
        <v>1928</v>
      </c>
      <c r="K16" s="751">
        <v>1946</v>
      </c>
      <c r="L16" s="838">
        <v>1745</v>
      </c>
      <c r="M16" s="751">
        <v>1918</v>
      </c>
      <c r="N16" s="751">
        <v>1983</v>
      </c>
      <c r="O16" s="751">
        <v>1670</v>
      </c>
      <c r="P16" s="751">
        <v>1732</v>
      </c>
      <c r="Q16" s="751">
        <v>2052</v>
      </c>
      <c r="R16" s="751">
        <v>1785</v>
      </c>
      <c r="S16" s="857">
        <f>12+1+53+10+11+1+174+285+203+1032</f>
        <v>1782</v>
      </c>
      <c r="T16" s="530" t="s">
        <v>65</v>
      </c>
      <c r="U16" s="526"/>
      <c r="V16" s="549">
        <f t="shared" si="0"/>
        <v>-1.6806722689075571E-3</v>
      </c>
    </row>
    <row r="17" spans="2:22" ht="12.75" customHeight="1" x14ac:dyDescent="0.2">
      <c r="B17" s="536" t="s">
        <v>66</v>
      </c>
      <c r="C17" s="829">
        <v>6261</v>
      </c>
      <c r="D17" s="830">
        <v>6204</v>
      </c>
      <c r="E17" s="830">
        <v>7279</v>
      </c>
      <c r="F17" s="830">
        <v>7158</v>
      </c>
      <c r="G17" s="830">
        <v>7224</v>
      </c>
      <c r="H17" s="830">
        <v>7336</v>
      </c>
      <c r="I17" s="830">
        <v>7240</v>
      </c>
      <c r="J17" s="830">
        <v>7149</v>
      </c>
      <c r="K17" s="830">
        <v>7354</v>
      </c>
      <c r="L17" s="830">
        <v>6995</v>
      </c>
      <c r="M17" s="830">
        <v>7155</v>
      </c>
      <c r="N17" s="830">
        <v>7050</v>
      </c>
      <c r="O17" s="830">
        <v>6758</v>
      </c>
      <c r="P17" s="830">
        <v>6768</v>
      </c>
      <c r="Q17" s="830">
        <v>6293</v>
      </c>
      <c r="R17" s="830">
        <v>5895</v>
      </c>
      <c r="S17" s="856">
        <f>1606+1076+1081+1929</f>
        <v>5692</v>
      </c>
      <c r="T17" s="536" t="s">
        <v>66</v>
      </c>
      <c r="U17" s="526"/>
      <c r="V17" s="549">
        <f t="shared" si="0"/>
        <v>-3.443596268023752E-2</v>
      </c>
    </row>
    <row r="18" spans="2:22" ht="12.75" customHeight="1" x14ac:dyDescent="0.2">
      <c r="B18" s="530" t="s">
        <v>77</v>
      </c>
      <c r="C18" s="750">
        <v>588</v>
      </c>
      <c r="D18" s="751">
        <v>565</v>
      </c>
      <c r="E18" s="751">
        <v>563</v>
      </c>
      <c r="F18" s="751">
        <v>480</v>
      </c>
      <c r="G18" s="751">
        <v>397</v>
      </c>
      <c r="H18" s="751">
        <v>396</v>
      </c>
      <c r="I18" s="751">
        <v>393</v>
      </c>
      <c r="J18" s="751">
        <v>388</v>
      </c>
      <c r="K18" s="751">
        <v>377</v>
      </c>
      <c r="L18" s="751">
        <v>374</v>
      </c>
      <c r="M18" s="751">
        <v>339</v>
      </c>
      <c r="N18" s="751">
        <v>345</v>
      </c>
      <c r="O18" s="751">
        <v>347</v>
      </c>
      <c r="P18" s="751">
        <v>284</v>
      </c>
      <c r="Q18" s="751">
        <v>296</v>
      </c>
      <c r="R18" s="828">
        <v>296</v>
      </c>
      <c r="S18" s="857">
        <f>121+66+38+41+35</f>
        <v>301</v>
      </c>
      <c r="T18" s="530" t="s">
        <v>77</v>
      </c>
      <c r="U18" s="526"/>
      <c r="V18" s="554">
        <f t="shared" si="0"/>
        <v>1.6891891891891886E-2</v>
      </c>
    </row>
    <row r="19" spans="2:22" ht="12.75" customHeight="1" x14ac:dyDescent="0.2">
      <c r="B19" s="197" t="s">
        <v>68</v>
      </c>
      <c r="C19" s="752">
        <v>4715</v>
      </c>
      <c r="D19" s="753">
        <v>4916</v>
      </c>
      <c r="E19" s="753">
        <v>4818</v>
      </c>
      <c r="F19" s="753">
        <v>4697</v>
      </c>
      <c r="G19" s="753">
        <v>4650</v>
      </c>
      <c r="H19" s="753">
        <v>5205</v>
      </c>
      <c r="I19" s="753">
        <v>4937</v>
      </c>
      <c r="J19" s="753">
        <v>4901</v>
      </c>
      <c r="K19" s="753">
        <v>4674</v>
      </c>
      <c r="L19" s="753">
        <v>5008</v>
      </c>
      <c r="M19" s="753">
        <v>4683</v>
      </c>
      <c r="N19" s="753">
        <v>4621</v>
      </c>
      <c r="O19" s="753">
        <v>4691</v>
      </c>
      <c r="P19" s="753">
        <v>4494</v>
      </c>
      <c r="Q19" s="753">
        <v>3862</v>
      </c>
      <c r="R19" s="753">
        <v>3650</v>
      </c>
      <c r="S19" s="860">
        <f>843+1506+546+348</f>
        <v>3243</v>
      </c>
      <c r="T19" s="197" t="s">
        <v>68</v>
      </c>
      <c r="U19" s="526"/>
      <c r="V19" s="549">
        <f t="shared" si="0"/>
        <v>-0.11150684931506849</v>
      </c>
    </row>
    <row r="20" spans="2:22" ht="12.75" customHeight="1" x14ac:dyDescent="0.2">
      <c r="B20" s="530" t="s">
        <v>47</v>
      </c>
      <c r="C20" s="831" t="s">
        <v>76</v>
      </c>
      <c r="D20" s="832" t="s">
        <v>76</v>
      </c>
      <c r="E20" s="840" t="s">
        <v>76</v>
      </c>
      <c r="F20" s="840" t="s">
        <v>76</v>
      </c>
      <c r="G20" s="840" t="s">
        <v>76</v>
      </c>
      <c r="H20" s="840" t="s">
        <v>76</v>
      </c>
      <c r="I20" s="840" t="s">
        <v>76</v>
      </c>
      <c r="J20" s="840" t="s">
        <v>76</v>
      </c>
      <c r="K20" s="840" t="s">
        <v>76</v>
      </c>
      <c r="L20" s="840" t="s">
        <v>76</v>
      </c>
      <c r="M20" s="840" t="s">
        <v>76</v>
      </c>
      <c r="N20" s="840" t="s">
        <v>76</v>
      </c>
      <c r="O20" s="840" t="s">
        <v>76</v>
      </c>
      <c r="P20" s="840" t="s">
        <v>76</v>
      </c>
      <c r="Q20" s="840" t="s">
        <v>76</v>
      </c>
      <c r="R20" s="840" t="s">
        <v>76</v>
      </c>
      <c r="S20" s="861" t="s">
        <v>76</v>
      </c>
      <c r="T20" s="530" t="s">
        <v>47</v>
      </c>
      <c r="U20" s="526"/>
      <c r="V20" s="867" t="s">
        <v>76</v>
      </c>
    </row>
    <row r="21" spans="2:22" ht="12.75" customHeight="1" x14ac:dyDescent="0.2">
      <c r="B21" s="197" t="s">
        <v>51</v>
      </c>
      <c r="C21" s="752"/>
      <c r="D21" s="753"/>
      <c r="E21" s="753">
        <v>739</v>
      </c>
      <c r="F21" s="753">
        <v>433</v>
      </c>
      <c r="G21" s="753">
        <v>403</v>
      </c>
      <c r="H21" s="753">
        <v>392</v>
      </c>
      <c r="I21" s="753">
        <v>386</v>
      </c>
      <c r="J21" s="753">
        <v>376</v>
      </c>
      <c r="K21" s="841">
        <v>358</v>
      </c>
      <c r="L21" s="753">
        <v>348</v>
      </c>
      <c r="M21" s="753">
        <v>346</v>
      </c>
      <c r="N21" s="753">
        <v>197</v>
      </c>
      <c r="O21" s="753">
        <v>196</v>
      </c>
      <c r="P21" s="753">
        <v>196</v>
      </c>
      <c r="Q21" s="753">
        <v>202</v>
      </c>
      <c r="R21" s="753">
        <v>205</v>
      </c>
      <c r="S21" s="860">
        <f>202+3</f>
        <v>205</v>
      </c>
      <c r="T21" s="197" t="s">
        <v>51</v>
      </c>
      <c r="U21" s="526"/>
      <c r="V21" s="549">
        <f t="shared" si="0"/>
        <v>0</v>
      </c>
    </row>
    <row r="22" spans="2:22" ht="12.75" customHeight="1" x14ac:dyDescent="0.2">
      <c r="B22" s="530" t="s">
        <v>52</v>
      </c>
      <c r="C22" s="750"/>
      <c r="D22" s="751"/>
      <c r="E22" s="828">
        <v>389</v>
      </c>
      <c r="F22" s="751">
        <v>419</v>
      </c>
      <c r="G22" s="751">
        <v>406</v>
      </c>
      <c r="H22" s="751">
        <v>390</v>
      </c>
      <c r="I22" s="751">
        <v>371</v>
      </c>
      <c r="J22" s="751">
        <v>367</v>
      </c>
      <c r="K22" s="751">
        <v>365</v>
      </c>
      <c r="L22" s="751">
        <v>368</v>
      </c>
      <c r="M22" s="751">
        <v>368</v>
      </c>
      <c r="N22" s="751">
        <v>356</v>
      </c>
      <c r="O22" s="751">
        <v>317</v>
      </c>
      <c r="P22" s="751">
        <v>275</v>
      </c>
      <c r="Q22" s="751">
        <v>290</v>
      </c>
      <c r="R22" s="751">
        <v>262</v>
      </c>
      <c r="S22" s="857">
        <f>264+13</f>
        <v>277</v>
      </c>
      <c r="T22" s="530" t="s">
        <v>52</v>
      </c>
      <c r="U22" s="526"/>
      <c r="V22" s="549">
        <f t="shared" si="0"/>
        <v>5.7251908396946494E-2</v>
      </c>
    </row>
    <row r="23" spans="2:22" ht="12.75" customHeight="1" x14ac:dyDescent="0.2">
      <c r="B23" s="197" t="s">
        <v>69</v>
      </c>
      <c r="C23" s="752">
        <v>95</v>
      </c>
      <c r="D23" s="753">
        <v>85</v>
      </c>
      <c r="E23" s="753">
        <v>97</v>
      </c>
      <c r="F23" s="753">
        <v>124</v>
      </c>
      <c r="G23" s="753">
        <v>132</v>
      </c>
      <c r="H23" s="753">
        <v>131</v>
      </c>
      <c r="I23" s="753">
        <v>141</v>
      </c>
      <c r="J23" s="753">
        <v>141</v>
      </c>
      <c r="K23" s="753">
        <v>145</v>
      </c>
      <c r="L23" s="753">
        <v>128</v>
      </c>
      <c r="M23" s="753">
        <v>149</v>
      </c>
      <c r="N23" s="753">
        <v>159</v>
      </c>
      <c r="O23" s="841">
        <v>157</v>
      </c>
      <c r="P23" s="753">
        <v>104</v>
      </c>
      <c r="Q23" s="842">
        <v>87</v>
      </c>
      <c r="R23" s="753">
        <v>43</v>
      </c>
      <c r="S23" s="860">
        <f>11+32</f>
        <v>43</v>
      </c>
      <c r="T23" s="197" t="s">
        <v>69</v>
      </c>
      <c r="U23" s="526"/>
      <c r="V23" s="549">
        <f t="shared" si="0"/>
        <v>0</v>
      </c>
    </row>
    <row r="24" spans="2:22" ht="12.75" customHeight="1" x14ac:dyDescent="0.2">
      <c r="B24" s="530" t="s">
        <v>50</v>
      </c>
      <c r="C24" s="750"/>
      <c r="D24" s="751"/>
      <c r="E24" s="751">
        <v>2040</v>
      </c>
      <c r="F24" s="751">
        <v>1453</v>
      </c>
      <c r="G24" s="751">
        <v>1442</v>
      </c>
      <c r="H24" s="751">
        <v>1363</v>
      </c>
      <c r="I24" s="751">
        <v>1458</v>
      </c>
      <c r="J24" s="751">
        <v>1328</v>
      </c>
      <c r="K24" s="835">
        <v>1385</v>
      </c>
      <c r="L24" s="751">
        <v>1400</v>
      </c>
      <c r="M24" s="751">
        <v>1413</v>
      </c>
      <c r="N24" s="751">
        <v>1428</v>
      </c>
      <c r="O24" s="751">
        <v>1458</v>
      </c>
      <c r="P24" s="751">
        <v>1275</v>
      </c>
      <c r="Q24" s="751">
        <v>1282</v>
      </c>
      <c r="R24" s="751">
        <v>1286</v>
      </c>
      <c r="S24" s="857">
        <f>6+4+22+26+443+484+240</f>
        <v>1225</v>
      </c>
      <c r="T24" s="530" t="s">
        <v>50</v>
      </c>
      <c r="U24" s="526"/>
      <c r="V24" s="549">
        <f t="shared" si="0"/>
        <v>-4.743390357698285E-2</v>
      </c>
    </row>
    <row r="25" spans="2:22" ht="12.75" customHeight="1" x14ac:dyDescent="0.2">
      <c r="B25" s="197" t="s">
        <v>53</v>
      </c>
      <c r="C25" s="843" t="s">
        <v>76</v>
      </c>
      <c r="D25" s="844" t="s">
        <v>76</v>
      </c>
      <c r="E25" s="845" t="s">
        <v>76</v>
      </c>
      <c r="F25" s="845" t="s">
        <v>76</v>
      </c>
      <c r="G25" s="845" t="s">
        <v>76</v>
      </c>
      <c r="H25" s="845" t="s">
        <v>76</v>
      </c>
      <c r="I25" s="845" t="s">
        <v>76</v>
      </c>
      <c r="J25" s="845" t="s">
        <v>76</v>
      </c>
      <c r="K25" s="845" t="s">
        <v>76</v>
      </c>
      <c r="L25" s="845" t="s">
        <v>76</v>
      </c>
      <c r="M25" s="845" t="s">
        <v>76</v>
      </c>
      <c r="N25" s="845" t="s">
        <v>76</v>
      </c>
      <c r="O25" s="845" t="s">
        <v>76</v>
      </c>
      <c r="P25" s="845" t="s">
        <v>76</v>
      </c>
      <c r="Q25" s="845" t="s">
        <v>76</v>
      </c>
      <c r="R25" s="845" t="s">
        <v>76</v>
      </c>
      <c r="S25" s="862" t="s">
        <v>76</v>
      </c>
      <c r="T25" s="197" t="s">
        <v>53</v>
      </c>
      <c r="U25" s="526"/>
      <c r="V25" s="867" t="s">
        <v>76</v>
      </c>
    </row>
    <row r="26" spans="2:22" ht="12.75" customHeight="1" x14ac:dyDescent="0.2">
      <c r="B26" s="530" t="s">
        <v>61</v>
      </c>
      <c r="C26" s="750">
        <v>2140</v>
      </c>
      <c r="D26" s="751">
        <v>2174</v>
      </c>
      <c r="E26" s="751">
        <v>2372</v>
      </c>
      <c r="F26" s="751">
        <v>1965</v>
      </c>
      <c r="G26" s="751">
        <v>2128</v>
      </c>
      <c r="H26" s="751">
        <v>2029</v>
      </c>
      <c r="I26" s="751">
        <v>2118</v>
      </c>
      <c r="J26" s="751">
        <v>2076</v>
      </c>
      <c r="K26" s="751">
        <v>2078</v>
      </c>
      <c r="L26" s="751">
        <v>2025</v>
      </c>
      <c r="M26" s="751">
        <v>2033</v>
      </c>
      <c r="N26" s="751">
        <v>2079</v>
      </c>
      <c r="O26" s="751">
        <v>2027</v>
      </c>
      <c r="P26" s="751">
        <v>2411</v>
      </c>
      <c r="Q26" s="751">
        <v>2427</v>
      </c>
      <c r="R26" s="751">
        <v>2443</v>
      </c>
      <c r="S26" s="857">
        <f>43+32+2341</f>
        <v>2416</v>
      </c>
      <c r="T26" s="530" t="s">
        <v>61</v>
      </c>
      <c r="U26" s="526"/>
      <c r="V26" s="549">
        <f t="shared" si="0"/>
        <v>-1.1051985264019626E-2</v>
      </c>
    </row>
    <row r="27" spans="2:22" ht="12.75" customHeight="1" x14ac:dyDescent="0.2">
      <c r="B27" s="197" t="s">
        <v>70</v>
      </c>
      <c r="C27" s="752">
        <v>1423</v>
      </c>
      <c r="D27" s="753">
        <v>1428</v>
      </c>
      <c r="E27" s="753">
        <v>1543</v>
      </c>
      <c r="F27" s="753">
        <v>1530</v>
      </c>
      <c r="G27" s="753">
        <v>1606</v>
      </c>
      <c r="H27" s="753">
        <v>1555</v>
      </c>
      <c r="I27" s="753">
        <v>1556</v>
      </c>
      <c r="J27" s="753">
        <v>1610</v>
      </c>
      <c r="K27" s="753">
        <v>1500</v>
      </c>
      <c r="L27" s="753">
        <v>1639</v>
      </c>
      <c r="M27" s="753">
        <v>1725</v>
      </c>
      <c r="N27" s="753">
        <v>1668</v>
      </c>
      <c r="O27" s="753">
        <v>1660</v>
      </c>
      <c r="P27" s="753">
        <v>1233</v>
      </c>
      <c r="Q27" s="753">
        <v>1240</v>
      </c>
      <c r="R27" s="753">
        <v>1072</v>
      </c>
      <c r="S27" s="860">
        <f>14+26+340+763+152+312</f>
        <v>1607</v>
      </c>
      <c r="T27" s="197" t="s">
        <v>70</v>
      </c>
      <c r="U27" s="526"/>
      <c r="V27" s="549">
        <f t="shared" si="0"/>
        <v>0.49906716417910446</v>
      </c>
    </row>
    <row r="28" spans="2:22" ht="12.75" customHeight="1" x14ac:dyDescent="0.2">
      <c r="B28" s="530" t="s">
        <v>54</v>
      </c>
      <c r="C28" s="750"/>
      <c r="D28" s="751"/>
      <c r="E28" s="751">
        <v>6801</v>
      </c>
      <c r="F28" s="751">
        <v>5293</v>
      </c>
      <c r="G28" s="751">
        <v>5232</v>
      </c>
      <c r="H28" s="751">
        <v>5028</v>
      </c>
      <c r="I28" s="751">
        <v>4975</v>
      </c>
      <c r="J28" s="751">
        <v>4893</v>
      </c>
      <c r="K28" s="751">
        <v>4723</v>
      </c>
      <c r="L28" s="751">
        <v>4561</v>
      </c>
      <c r="M28" s="751">
        <v>4581</v>
      </c>
      <c r="N28" s="751">
        <v>4617</v>
      </c>
      <c r="O28" s="751">
        <v>4590</v>
      </c>
      <c r="P28" s="751">
        <v>4421</v>
      </c>
      <c r="Q28" s="751">
        <v>4179</v>
      </c>
      <c r="R28" s="751">
        <v>4103</v>
      </c>
      <c r="S28" s="857">
        <f>1454+1538+123+881</f>
        <v>3996</v>
      </c>
      <c r="T28" s="530" t="s">
        <v>54</v>
      </c>
      <c r="U28" s="526"/>
      <c r="V28" s="549">
        <f t="shared" si="0"/>
        <v>-2.6078479161589119E-2</v>
      </c>
    </row>
    <row r="29" spans="2:22" ht="12.75" customHeight="1" x14ac:dyDescent="0.2">
      <c r="B29" s="197" t="s">
        <v>71</v>
      </c>
      <c r="C29" s="752">
        <v>626</v>
      </c>
      <c r="D29" s="753">
        <v>583</v>
      </c>
      <c r="E29" s="753">
        <v>530</v>
      </c>
      <c r="F29" s="753">
        <v>589</v>
      </c>
      <c r="G29" s="753">
        <v>536</v>
      </c>
      <c r="H29" s="753">
        <v>515</v>
      </c>
      <c r="I29" s="753">
        <v>506</v>
      </c>
      <c r="J29" s="753">
        <v>463</v>
      </c>
      <c r="K29" s="753">
        <v>439</v>
      </c>
      <c r="L29" s="753">
        <v>429</v>
      </c>
      <c r="M29" s="753">
        <v>433</v>
      </c>
      <c r="N29" s="753">
        <v>431</v>
      </c>
      <c r="O29" s="753">
        <v>436</v>
      </c>
      <c r="P29" s="753">
        <v>275</v>
      </c>
      <c r="Q29" s="753">
        <v>433</v>
      </c>
      <c r="R29" s="753">
        <f>199+202</f>
        <v>401</v>
      </c>
      <c r="S29" s="860">
        <f>43+53+42+201+44+34</f>
        <v>417</v>
      </c>
      <c r="T29" s="197" t="s">
        <v>71</v>
      </c>
      <c r="U29" s="526"/>
      <c r="V29" s="549">
        <f t="shared" si="0"/>
        <v>3.9900249376558561E-2</v>
      </c>
    </row>
    <row r="30" spans="2:22" ht="12.75" customHeight="1" x14ac:dyDescent="0.2">
      <c r="B30" s="530" t="s">
        <v>55</v>
      </c>
      <c r="C30" s="750"/>
      <c r="D30" s="751">
        <v>4564</v>
      </c>
      <c r="E30" s="751">
        <v>4515</v>
      </c>
      <c r="F30" s="751">
        <v>3440</v>
      </c>
      <c r="G30" s="751">
        <v>3341</v>
      </c>
      <c r="H30" s="751">
        <v>3594</v>
      </c>
      <c r="I30" s="751">
        <v>2173</v>
      </c>
      <c r="J30" s="751">
        <v>2071</v>
      </c>
      <c r="K30" s="751">
        <v>2186</v>
      </c>
      <c r="L30" s="751">
        <v>2220</v>
      </c>
      <c r="M30" s="751">
        <v>2262</v>
      </c>
      <c r="N30" s="751">
        <v>2290</v>
      </c>
      <c r="O30" s="751">
        <v>2649</v>
      </c>
      <c r="P30" s="751">
        <v>2229</v>
      </c>
      <c r="Q30" s="751">
        <v>2117</v>
      </c>
      <c r="R30" s="751">
        <v>2280</v>
      </c>
      <c r="S30" s="857">
        <f>441+363+269+34+553+315+104+75+35+22</f>
        <v>2211</v>
      </c>
      <c r="T30" s="530" t="s">
        <v>55</v>
      </c>
      <c r="U30" s="526"/>
      <c r="V30" s="549">
        <f t="shared" si="0"/>
        <v>-3.0263157894736881E-2</v>
      </c>
    </row>
    <row r="31" spans="2:22" ht="12.75" customHeight="1" x14ac:dyDescent="0.2">
      <c r="B31" s="197" t="s">
        <v>57</v>
      </c>
      <c r="C31" s="752"/>
      <c r="D31" s="753"/>
      <c r="E31" s="753">
        <v>358</v>
      </c>
      <c r="F31" s="753">
        <v>300</v>
      </c>
      <c r="G31" s="753">
        <v>304</v>
      </c>
      <c r="H31" s="753">
        <v>310</v>
      </c>
      <c r="I31" s="753">
        <v>273</v>
      </c>
      <c r="J31" s="753">
        <v>273</v>
      </c>
      <c r="K31" s="753">
        <v>261</v>
      </c>
      <c r="L31" s="753">
        <v>271</v>
      </c>
      <c r="M31" s="753">
        <v>273</v>
      </c>
      <c r="N31" s="753">
        <v>267</v>
      </c>
      <c r="O31" s="753">
        <v>269</v>
      </c>
      <c r="P31" s="753">
        <v>267</v>
      </c>
      <c r="Q31" s="753">
        <v>405</v>
      </c>
      <c r="R31" s="753">
        <v>405</v>
      </c>
      <c r="S31" s="860">
        <f>74+78+140+113</f>
        <v>405</v>
      </c>
      <c r="T31" s="197" t="s">
        <v>57</v>
      </c>
      <c r="U31" s="526"/>
      <c r="V31" s="549">
        <f t="shared" si="0"/>
        <v>0</v>
      </c>
    </row>
    <row r="32" spans="2:22" ht="12.75" customHeight="1" x14ac:dyDescent="0.2">
      <c r="B32" s="530" t="s">
        <v>56</v>
      </c>
      <c r="C32" s="831"/>
      <c r="D32" s="832"/>
      <c r="E32" s="832"/>
      <c r="F32" s="751">
        <v>1570</v>
      </c>
      <c r="G32" s="751">
        <v>1512</v>
      </c>
      <c r="H32" s="751">
        <v>1450</v>
      </c>
      <c r="I32" s="751">
        <v>1441</v>
      </c>
      <c r="J32" s="751">
        <v>1334</v>
      </c>
      <c r="K32" s="828">
        <v>1204</v>
      </c>
      <c r="L32" s="751">
        <v>1176</v>
      </c>
      <c r="M32" s="751">
        <v>1258</v>
      </c>
      <c r="N32" s="751">
        <v>1216</v>
      </c>
      <c r="O32" s="751">
        <v>1155</v>
      </c>
      <c r="P32" s="751">
        <v>1035</v>
      </c>
      <c r="Q32" s="751">
        <v>1101</v>
      </c>
      <c r="R32" s="751">
        <v>1033</v>
      </c>
      <c r="S32" s="857">
        <f>84+165+132+1+309+338</f>
        <v>1029</v>
      </c>
      <c r="T32" s="530" t="s">
        <v>56</v>
      </c>
      <c r="U32" s="526"/>
      <c r="V32" s="549">
        <f t="shared" si="0"/>
        <v>-3.8722168441432947E-3</v>
      </c>
    </row>
    <row r="33" spans="2:22" ht="12.75" customHeight="1" x14ac:dyDescent="0.2">
      <c r="B33" s="197" t="s">
        <v>72</v>
      </c>
      <c r="C33" s="752">
        <v>877</v>
      </c>
      <c r="D33" s="753">
        <v>752</v>
      </c>
      <c r="E33" s="753">
        <v>669</v>
      </c>
      <c r="F33" s="753">
        <v>735</v>
      </c>
      <c r="G33" s="753">
        <v>724</v>
      </c>
      <c r="H33" s="753">
        <v>731</v>
      </c>
      <c r="I33" s="753">
        <v>731</v>
      </c>
      <c r="J33" s="753">
        <v>737</v>
      </c>
      <c r="K33" s="753">
        <v>702</v>
      </c>
      <c r="L33" s="753">
        <v>697</v>
      </c>
      <c r="M33" s="753">
        <v>694</v>
      </c>
      <c r="N33" s="753">
        <v>662</v>
      </c>
      <c r="O33" s="753">
        <v>641</v>
      </c>
      <c r="P33" s="753">
        <v>644</v>
      </c>
      <c r="Q33" s="753">
        <v>643</v>
      </c>
      <c r="R33" s="753">
        <v>652</v>
      </c>
      <c r="S33" s="860">
        <f>310+155+16+171</f>
        <v>652</v>
      </c>
      <c r="T33" s="197" t="s">
        <v>72</v>
      </c>
      <c r="U33" s="526"/>
      <c r="V33" s="549">
        <f t="shared" si="0"/>
        <v>0</v>
      </c>
    </row>
    <row r="34" spans="2:22" ht="12.75" customHeight="1" x14ac:dyDescent="0.2">
      <c r="B34" s="530" t="s">
        <v>73</v>
      </c>
      <c r="C34" s="750">
        <v>1408</v>
      </c>
      <c r="D34" s="751">
        <v>1576</v>
      </c>
      <c r="E34" s="751">
        <v>1350</v>
      </c>
      <c r="F34" s="751">
        <v>887</v>
      </c>
      <c r="G34" s="751" t="s">
        <v>75</v>
      </c>
      <c r="H34" s="751">
        <v>869</v>
      </c>
      <c r="I34" s="828">
        <v>773</v>
      </c>
      <c r="J34" s="751">
        <v>622</v>
      </c>
      <c r="K34" s="751">
        <v>622</v>
      </c>
      <c r="L34" s="751">
        <v>644</v>
      </c>
      <c r="M34" s="751">
        <v>648</v>
      </c>
      <c r="N34" s="751">
        <v>639</v>
      </c>
      <c r="O34" s="751">
        <v>632</v>
      </c>
      <c r="P34" s="833">
        <v>213</v>
      </c>
      <c r="Q34" s="751">
        <v>205</v>
      </c>
      <c r="R34" s="751">
        <v>221</v>
      </c>
      <c r="S34" s="857">
        <f>98+113</f>
        <v>211</v>
      </c>
      <c r="T34" s="530" t="s">
        <v>73</v>
      </c>
      <c r="U34" s="526"/>
      <c r="V34" s="549">
        <f t="shared" si="0"/>
        <v>-4.5248868778280493E-2</v>
      </c>
    </row>
    <row r="35" spans="2:22" ht="12.75" customHeight="1" x14ac:dyDescent="0.2">
      <c r="B35" s="199" t="s">
        <v>62</v>
      </c>
      <c r="C35" s="846">
        <v>9510</v>
      </c>
      <c r="D35" s="847">
        <v>5452</v>
      </c>
      <c r="E35" s="847">
        <v>5610</v>
      </c>
      <c r="F35" s="847" t="s">
        <v>75</v>
      </c>
      <c r="G35" s="847" t="s">
        <v>75</v>
      </c>
      <c r="H35" s="847">
        <v>4430</v>
      </c>
      <c r="I35" s="847">
        <v>3588</v>
      </c>
      <c r="J35" s="847">
        <v>3505</v>
      </c>
      <c r="K35" s="847">
        <v>3177</v>
      </c>
      <c r="L35" s="848">
        <v>3271</v>
      </c>
      <c r="M35" s="847">
        <v>11367</v>
      </c>
      <c r="N35" s="847">
        <v>10639</v>
      </c>
      <c r="O35" s="847">
        <v>10562</v>
      </c>
      <c r="P35" s="847">
        <v>10710</v>
      </c>
      <c r="Q35" s="847">
        <v>11036</v>
      </c>
      <c r="R35" s="847">
        <v>11082</v>
      </c>
      <c r="S35" s="863">
        <f>199+5+45+39+2786+8102</f>
        <v>11176</v>
      </c>
      <c r="T35" s="199" t="s">
        <v>62</v>
      </c>
      <c r="U35" s="526"/>
      <c r="V35" s="549">
        <f t="shared" si="0"/>
        <v>8.4822234253745243E-3</v>
      </c>
    </row>
    <row r="36" spans="2:22" ht="12.75" customHeight="1" x14ac:dyDescent="0.2">
      <c r="B36" s="530" t="s">
        <v>234</v>
      </c>
      <c r="C36" s="750"/>
      <c r="D36" s="751"/>
      <c r="E36" s="751"/>
      <c r="F36" s="751"/>
      <c r="G36" s="751"/>
      <c r="H36" s="751"/>
      <c r="I36" s="751"/>
      <c r="J36" s="751"/>
      <c r="K36" s="751"/>
      <c r="L36" s="751"/>
      <c r="M36" s="751"/>
      <c r="N36" s="751"/>
      <c r="O36" s="751"/>
      <c r="P36" s="751"/>
      <c r="Q36" s="751"/>
      <c r="R36" s="751"/>
      <c r="S36" s="857"/>
      <c r="T36" s="530" t="s">
        <v>234</v>
      </c>
      <c r="U36" s="526"/>
      <c r="V36" s="549"/>
    </row>
    <row r="37" spans="2:22" ht="12.75" customHeight="1" x14ac:dyDescent="0.2">
      <c r="B37" s="197" t="s">
        <v>223</v>
      </c>
      <c r="C37" s="752">
        <v>588</v>
      </c>
      <c r="D37" s="753">
        <v>565</v>
      </c>
      <c r="E37" s="850" t="s">
        <v>76</v>
      </c>
      <c r="F37" s="850" t="s">
        <v>76</v>
      </c>
      <c r="G37" s="850" t="s">
        <v>76</v>
      </c>
      <c r="H37" s="850" t="s">
        <v>76</v>
      </c>
      <c r="I37" s="850" t="s">
        <v>76</v>
      </c>
      <c r="J37" s="850" t="s">
        <v>76</v>
      </c>
      <c r="K37" s="850" t="s">
        <v>76</v>
      </c>
      <c r="L37" s="850" t="s">
        <v>76</v>
      </c>
      <c r="M37" s="850" t="s">
        <v>76</v>
      </c>
      <c r="N37" s="850" t="s">
        <v>76</v>
      </c>
      <c r="O37" s="850" t="s">
        <v>76</v>
      </c>
      <c r="P37" s="850" t="s">
        <v>76</v>
      </c>
      <c r="Q37" s="850" t="s">
        <v>76</v>
      </c>
      <c r="R37" s="850" t="s">
        <v>76</v>
      </c>
      <c r="S37" s="864" t="s">
        <v>76</v>
      </c>
      <c r="T37" s="197" t="s">
        <v>223</v>
      </c>
      <c r="U37" s="526"/>
      <c r="V37" s="867" t="s">
        <v>76</v>
      </c>
    </row>
    <row r="38" spans="2:22" ht="12.75" customHeight="1" x14ac:dyDescent="0.2">
      <c r="B38" s="530" t="s">
        <v>1</v>
      </c>
      <c r="C38" s="750"/>
      <c r="D38" s="751">
        <v>91</v>
      </c>
      <c r="E38" s="751">
        <v>92</v>
      </c>
      <c r="F38" s="751">
        <v>101</v>
      </c>
      <c r="G38" s="751">
        <v>71</v>
      </c>
      <c r="H38" s="751">
        <v>71</v>
      </c>
      <c r="I38" s="751">
        <v>74</v>
      </c>
      <c r="J38" s="751">
        <v>73</v>
      </c>
      <c r="K38" s="751">
        <v>73</v>
      </c>
      <c r="L38" s="751">
        <v>72</v>
      </c>
      <c r="M38" s="751">
        <v>72</v>
      </c>
      <c r="N38" s="751">
        <v>72</v>
      </c>
      <c r="O38" s="751">
        <v>67</v>
      </c>
      <c r="P38" s="751">
        <v>63</v>
      </c>
      <c r="Q38" s="751">
        <v>63</v>
      </c>
      <c r="R38" s="751">
        <v>69</v>
      </c>
      <c r="S38" s="855">
        <f>27+16+6+4</f>
        <v>53</v>
      </c>
      <c r="T38" s="530" t="s">
        <v>1</v>
      </c>
      <c r="U38" s="526"/>
      <c r="V38" s="554">
        <f t="shared" si="0"/>
        <v>-0.23188405797101452</v>
      </c>
    </row>
    <row r="39" spans="2:22" ht="12.75" customHeight="1" x14ac:dyDescent="0.2">
      <c r="B39" s="197" t="s">
        <v>222</v>
      </c>
      <c r="C39" s="752"/>
      <c r="D39" s="753"/>
      <c r="E39" s="753"/>
      <c r="F39" s="753"/>
      <c r="G39" s="753"/>
      <c r="H39" s="753"/>
      <c r="I39" s="753"/>
      <c r="J39" s="753"/>
      <c r="K39" s="753"/>
      <c r="L39" s="753"/>
      <c r="M39" s="753"/>
      <c r="N39" s="753"/>
      <c r="O39" s="753"/>
      <c r="P39" s="753"/>
      <c r="Q39" s="753">
        <v>466</v>
      </c>
      <c r="R39" s="753">
        <v>485</v>
      </c>
      <c r="S39" s="860">
        <f>193+143+74+77</f>
        <v>487</v>
      </c>
      <c r="T39" s="197" t="s">
        <v>222</v>
      </c>
      <c r="U39" s="526"/>
      <c r="V39" s="549">
        <f t="shared" si="0"/>
        <v>4.1237113402061709E-3</v>
      </c>
    </row>
    <row r="40" spans="2:22" ht="12.75" customHeight="1" x14ac:dyDescent="0.2">
      <c r="B40" s="531" t="s">
        <v>58</v>
      </c>
      <c r="C40" s="849">
        <v>1055</v>
      </c>
      <c r="D40" s="599">
        <v>1101</v>
      </c>
      <c r="E40" s="599">
        <v>897</v>
      </c>
      <c r="F40" s="755">
        <v>849</v>
      </c>
      <c r="G40" s="755">
        <v>838</v>
      </c>
      <c r="H40" s="755">
        <v>819</v>
      </c>
      <c r="I40" s="755">
        <v>755</v>
      </c>
      <c r="J40" s="755">
        <v>734</v>
      </c>
      <c r="K40" s="755">
        <v>735</v>
      </c>
      <c r="L40" s="755">
        <v>732</v>
      </c>
      <c r="M40" s="755">
        <v>724</v>
      </c>
      <c r="N40" s="755">
        <v>613</v>
      </c>
      <c r="O40" s="755">
        <v>660</v>
      </c>
      <c r="P40" s="755">
        <v>673</v>
      </c>
      <c r="Q40" s="755">
        <v>744</v>
      </c>
      <c r="R40" s="755">
        <v>783</v>
      </c>
      <c r="S40" s="865">
        <f>537+53+77+113</f>
        <v>780</v>
      </c>
      <c r="T40" s="531" t="s">
        <v>58</v>
      </c>
      <c r="U40" s="526"/>
      <c r="V40" s="549">
        <f t="shared" si="0"/>
        <v>-3.8314176245211051E-3</v>
      </c>
    </row>
    <row r="41" spans="2:22" ht="12.75" customHeight="1" x14ac:dyDescent="0.2">
      <c r="B41" s="197" t="s">
        <v>44</v>
      </c>
      <c r="C41" s="843" t="s">
        <v>76</v>
      </c>
      <c r="D41" s="844" t="s">
        <v>76</v>
      </c>
      <c r="E41" s="851" t="s">
        <v>76</v>
      </c>
      <c r="F41" s="851" t="s">
        <v>76</v>
      </c>
      <c r="G41" s="851" t="s">
        <v>76</v>
      </c>
      <c r="H41" s="851" t="s">
        <v>76</v>
      </c>
      <c r="I41" s="851" t="s">
        <v>76</v>
      </c>
      <c r="J41" s="851" t="s">
        <v>76</v>
      </c>
      <c r="K41" s="851" t="s">
        <v>76</v>
      </c>
      <c r="L41" s="851" t="s">
        <v>76</v>
      </c>
      <c r="M41" s="851" t="s">
        <v>76</v>
      </c>
      <c r="N41" s="851" t="s">
        <v>76</v>
      </c>
      <c r="O41" s="851" t="s">
        <v>76</v>
      </c>
      <c r="P41" s="851" t="s">
        <v>76</v>
      </c>
      <c r="Q41" s="851" t="s">
        <v>76</v>
      </c>
      <c r="R41" s="851" t="s">
        <v>76</v>
      </c>
      <c r="S41" s="866" t="s">
        <v>76</v>
      </c>
      <c r="T41" s="197" t="s">
        <v>44</v>
      </c>
      <c r="U41" s="526"/>
      <c r="V41" s="867" t="s">
        <v>76</v>
      </c>
    </row>
    <row r="42" spans="2:22" ht="14.25" customHeight="1" x14ac:dyDescent="0.2">
      <c r="B42" s="530" t="s">
        <v>74</v>
      </c>
      <c r="C42" s="750">
        <v>439</v>
      </c>
      <c r="D42" s="751">
        <v>430</v>
      </c>
      <c r="E42" s="751">
        <v>502</v>
      </c>
      <c r="F42" s="751">
        <v>299</v>
      </c>
      <c r="G42" s="751">
        <v>303</v>
      </c>
      <c r="H42" s="751">
        <v>269</v>
      </c>
      <c r="I42" s="751">
        <v>266</v>
      </c>
      <c r="J42" s="751">
        <v>208</v>
      </c>
      <c r="K42" s="751">
        <v>289</v>
      </c>
      <c r="L42" s="751">
        <v>223</v>
      </c>
      <c r="M42" s="751">
        <v>223</v>
      </c>
      <c r="N42" s="751">
        <v>223</v>
      </c>
      <c r="O42" s="751">
        <v>207</v>
      </c>
      <c r="P42" s="751">
        <v>544</v>
      </c>
      <c r="Q42" s="751">
        <v>593</v>
      </c>
      <c r="R42" s="751">
        <v>629</v>
      </c>
      <c r="S42" s="857">
        <f>5+28+58+725</f>
        <v>816</v>
      </c>
      <c r="T42" s="530" t="s">
        <v>74</v>
      </c>
      <c r="U42" s="526"/>
      <c r="V42" s="549">
        <f t="shared" si="0"/>
        <v>0.29729729729729737</v>
      </c>
    </row>
    <row r="43" spans="2:22" ht="15" customHeight="1" x14ac:dyDescent="0.2">
      <c r="B43" s="199" t="s">
        <v>45</v>
      </c>
      <c r="C43" s="749">
        <v>1116</v>
      </c>
      <c r="D43" s="596">
        <v>1205</v>
      </c>
      <c r="E43" s="847">
        <v>1254</v>
      </c>
      <c r="F43" s="847">
        <v>1528</v>
      </c>
      <c r="G43" s="847">
        <v>2011</v>
      </c>
      <c r="H43" s="847">
        <v>2008</v>
      </c>
      <c r="I43" s="847">
        <v>2164</v>
      </c>
      <c r="J43" s="847">
        <v>2224</v>
      </c>
      <c r="K43" s="847">
        <v>2198</v>
      </c>
      <c r="L43" s="847">
        <v>2167</v>
      </c>
      <c r="M43" s="847">
        <v>2272</v>
      </c>
      <c r="N43" s="847">
        <v>2278</v>
      </c>
      <c r="O43" s="847">
        <v>2265</v>
      </c>
      <c r="P43" s="847">
        <v>1745</v>
      </c>
      <c r="Q43" s="847">
        <v>1752</v>
      </c>
      <c r="R43" s="847">
        <v>1680</v>
      </c>
      <c r="S43" s="863">
        <f>3+93+120+64+415+786+164</f>
        <v>1645</v>
      </c>
      <c r="T43" s="199" t="s">
        <v>45</v>
      </c>
      <c r="U43" s="526"/>
      <c r="V43" s="549">
        <f t="shared" si="0"/>
        <v>-2.083333333333337E-2</v>
      </c>
    </row>
    <row r="44" spans="2:22" ht="11.25" customHeight="1" x14ac:dyDescent="0.2">
      <c r="B44" s="975" t="s">
        <v>218</v>
      </c>
      <c r="C44" s="975"/>
      <c r="D44" s="975"/>
      <c r="E44" s="975"/>
      <c r="F44" s="975"/>
      <c r="G44" s="975"/>
      <c r="H44" s="975"/>
      <c r="I44" s="975"/>
      <c r="J44" s="976"/>
      <c r="K44" s="976"/>
      <c r="L44" s="976"/>
      <c r="M44" s="976"/>
      <c r="N44" s="976"/>
      <c r="O44" s="976"/>
      <c r="P44" s="976"/>
      <c r="Q44" s="976"/>
      <c r="R44" s="976"/>
      <c r="S44" s="1053"/>
      <c r="T44" s="976"/>
      <c r="U44" s="526"/>
      <c r="V44" s="526"/>
    </row>
    <row r="45" spans="2:22" ht="12.75" x14ac:dyDescent="0.2">
      <c r="B45" s="544" t="s">
        <v>0</v>
      </c>
      <c r="C45" s="550"/>
      <c r="D45" s="550"/>
      <c r="E45" s="550"/>
      <c r="F45" s="553"/>
      <c r="G45" s="551"/>
      <c r="H45" s="550"/>
      <c r="I45" s="533"/>
      <c r="J45" s="533"/>
      <c r="K45" s="533"/>
      <c r="L45" s="533"/>
      <c r="M45" s="533"/>
      <c r="N45" s="533"/>
      <c r="O45" s="533"/>
      <c r="P45" s="533"/>
      <c r="Q45" s="533"/>
      <c r="R45" s="533"/>
      <c r="S45" s="533"/>
      <c r="T45" s="533"/>
      <c r="U45" s="526"/>
      <c r="V45" s="526"/>
    </row>
    <row r="46" spans="2:22" ht="12.75" x14ac:dyDescent="0.2">
      <c r="B46" s="552" t="s">
        <v>262</v>
      </c>
      <c r="C46" s="550"/>
      <c r="D46" s="550"/>
      <c r="E46" s="550"/>
      <c r="F46" s="553"/>
      <c r="G46" s="551"/>
      <c r="H46" s="550"/>
      <c r="I46" s="533"/>
      <c r="J46" s="533"/>
      <c r="K46" s="533"/>
      <c r="L46" s="533"/>
      <c r="M46" s="533"/>
      <c r="N46" s="533"/>
      <c r="O46" s="533"/>
      <c r="P46" s="533"/>
      <c r="Q46" s="533"/>
      <c r="R46" s="533"/>
      <c r="S46" s="533"/>
      <c r="T46" s="533"/>
      <c r="U46" s="526"/>
      <c r="V46" s="526"/>
    </row>
    <row r="47" spans="2:22" ht="12.75" x14ac:dyDescent="0.2">
      <c r="B47" s="552"/>
      <c r="C47" s="550"/>
      <c r="D47" s="550"/>
      <c r="E47" s="550"/>
      <c r="F47" s="553"/>
      <c r="G47" s="551"/>
      <c r="H47" s="550"/>
      <c r="I47" s="533"/>
      <c r="J47" s="533"/>
      <c r="K47" s="533"/>
      <c r="L47" s="533"/>
      <c r="M47" s="533"/>
      <c r="N47" s="533"/>
      <c r="O47" s="533"/>
      <c r="P47" s="533"/>
      <c r="Q47" s="533"/>
      <c r="R47" s="533"/>
      <c r="S47" s="533"/>
      <c r="T47" s="533"/>
      <c r="U47" s="526"/>
      <c r="V47" s="526"/>
    </row>
    <row r="48" spans="2:22" ht="12.75" x14ac:dyDescent="0.2">
      <c r="B48" s="527" t="s">
        <v>199</v>
      </c>
      <c r="C48" s="526"/>
      <c r="D48" s="546"/>
      <c r="E48" s="546"/>
      <c r="F48" s="546"/>
      <c r="G48" s="546"/>
      <c r="H48" s="546"/>
      <c r="I48" s="546"/>
      <c r="J48" s="546"/>
      <c r="K48" s="546"/>
      <c r="L48" s="546"/>
      <c r="M48" s="546"/>
      <c r="N48" s="546"/>
      <c r="O48" s="546"/>
      <c r="P48" s="546"/>
      <c r="Q48" s="546"/>
      <c r="R48" s="546"/>
      <c r="S48" s="800"/>
      <c r="T48" s="546"/>
      <c r="U48" s="526"/>
      <c r="V48" s="526"/>
    </row>
    <row r="49" spans="2:22" ht="12.75" x14ac:dyDescent="0.2">
      <c r="B49" s="527" t="s">
        <v>200</v>
      </c>
      <c r="C49" s="526"/>
      <c r="D49" s="546"/>
      <c r="E49" s="546"/>
      <c r="F49" s="546"/>
      <c r="G49" s="546"/>
      <c r="H49" s="546"/>
      <c r="I49" s="546"/>
      <c r="J49" s="546"/>
      <c r="K49" s="545"/>
      <c r="L49" s="545"/>
      <c r="M49" s="545"/>
      <c r="N49" s="545"/>
      <c r="O49" s="545"/>
      <c r="P49" s="545"/>
      <c r="Q49" s="545"/>
      <c r="R49" s="545"/>
      <c r="S49" s="545"/>
      <c r="T49" s="545"/>
      <c r="U49" s="526"/>
      <c r="V49" s="526"/>
    </row>
    <row r="51" spans="2:22" ht="12.75" x14ac:dyDescent="0.2">
      <c r="B51" s="526"/>
      <c r="C51" s="526"/>
      <c r="D51" s="526"/>
      <c r="E51" s="526"/>
      <c r="F51" s="526"/>
      <c r="G51" s="526"/>
      <c r="H51" s="526"/>
      <c r="I51" s="526"/>
      <c r="J51" s="526"/>
      <c r="K51" s="526"/>
      <c r="L51" s="526"/>
      <c r="M51" s="526"/>
    </row>
  </sheetData>
  <mergeCells count="3">
    <mergeCell ref="B44:T44"/>
    <mergeCell ref="B2:T2"/>
    <mergeCell ref="B3:T3"/>
  </mergeCells>
  <phoneticPr fontId="4" type="noConversion"/>
  <printOptions horizontalCentered="1"/>
  <pageMargins left="0.6692913385826772" right="0.28000000000000003" top="0.51181102362204722" bottom="0.27559055118110237" header="0" footer="0"/>
  <pageSetup paperSize="9" scale="9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3"/>
  <dimension ref="A1:U51"/>
  <sheetViews>
    <sheetView workbookViewId="0">
      <selection activeCell="X31" sqref="X31"/>
    </sheetView>
  </sheetViews>
  <sheetFormatPr defaultRowHeight="11.25" x14ac:dyDescent="0.2"/>
  <cols>
    <col min="1" max="1" width="3.7109375" style="3" customWidth="1"/>
    <col min="2" max="2" width="4" style="3" customWidth="1"/>
    <col min="3" max="4" width="7.7109375" style="3" customWidth="1"/>
    <col min="5" max="5" width="7.7109375" style="2" customWidth="1"/>
    <col min="6" max="10" width="7.7109375" style="3" customWidth="1"/>
    <col min="11" max="19" width="8.28515625" style="3" customWidth="1"/>
    <col min="20" max="20" width="4.28515625" style="3" customWidth="1"/>
    <col min="21" max="21" width="6.85546875" style="3" customWidth="1"/>
    <col min="22" max="16384" width="9.140625" style="3"/>
  </cols>
  <sheetData>
    <row r="1" spans="1:21" s="14" customFormat="1" ht="14.25" customHeight="1" x14ac:dyDescent="0.2">
      <c r="A1" s="36"/>
      <c r="B1" s="34"/>
      <c r="C1" s="26"/>
      <c r="D1" s="26"/>
      <c r="E1" s="155"/>
      <c r="F1" s="26"/>
      <c r="K1" s="35"/>
      <c r="L1" s="35"/>
      <c r="M1" s="35"/>
      <c r="N1" s="35"/>
      <c r="O1" s="35"/>
      <c r="P1" s="35"/>
      <c r="Q1" s="35"/>
      <c r="R1" s="535"/>
      <c r="S1" s="535"/>
      <c r="T1" s="35" t="s">
        <v>167</v>
      </c>
    </row>
    <row r="2" spans="1:21" s="63" customFormat="1" ht="30" customHeight="1" x14ac:dyDescent="0.2">
      <c r="A2" s="95"/>
      <c r="B2" s="978" t="s">
        <v>17</v>
      </c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</row>
    <row r="3" spans="1:21" s="14" customFormat="1" ht="18" customHeight="1" x14ac:dyDescent="0.2">
      <c r="A3" s="36"/>
      <c r="B3" s="965" t="s">
        <v>175</v>
      </c>
      <c r="C3" s="965"/>
      <c r="D3" s="965"/>
      <c r="E3" s="965"/>
      <c r="F3" s="965"/>
      <c r="G3" s="965"/>
      <c r="H3" s="965"/>
      <c r="I3" s="965"/>
      <c r="J3" s="965"/>
      <c r="K3" s="965"/>
      <c r="L3" s="965"/>
      <c r="M3" s="965"/>
      <c r="N3" s="965"/>
      <c r="O3" s="965"/>
      <c r="P3" s="965"/>
      <c r="Q3" s="965"/>
      <c r="R3" s="965"/>
      <c r="S3" s="965"/>
      <c r="T3" s="965"/>
    </row>
    <row r="4" spans="1:21" ht="24.95" customHeight="1" x14ac:dyDescent="0.2">
      <c r="A4" s="2"/>
      <c r="B4" s="116"/>
      <c r="C4" s="60">
        <v>1970</v>
      </c>
      <c r="D4" s="61">
        <v>1980</v>
      </c>
      <c r="E4" s="61">
        <v>1990</v>
      </c>
      <c r="F4" s="61">
        <v>2000</v>
      </c>
      <c r="G4" s="61">
        <v>2001</v>
      </c>
      <c r="H4" s="61">
        <v>2002</v>
      </c>
      <c r="I4" s="61">
        <v>2003</v>
      </c>
      <c r="J4" s="61">
        <v>2004</v>
      </c>
      <c r="K4" s="61">
        <v>2005</v>
      </c>
      <c r="L4" s="61">
        <v>2006</v>
      </c>
      <c r="M4" s="61">
        <v>2007</v>
      </c>
      <c r="N4" s="61">
        <v>2008</v>
      </c>
      <c r="O4" s="61">
        <v>2009</v>
      </c>
      <c r="P4" s="421">
        <v>2010</v>
      </c>
      <c r="Q4" s="548">
        <v>2011</v>
      </c>
      <c r="R4" s="61">
        <v>2012</v>
      </c>
      <c r="S4" s="539">
        <v>2013</v>
      </c>
      <c r="T4" s="6"/>
      <c r="U4" s="555" t="s">
        <v>257</v>
      </c>
    </row>
    <row r="5" spans="1:21" ht="12.75" customHeight="1" x14ac:dyDescent="0.2">
      <c r="A5" s="2"/>
      <c r="B5" s="538" t="s">
        <v>236</v>
      </c>
      <c r="C5" s="741"/>
      <c r="D5" s="695"/>
      <c r="E5" s="694"/>
      <c r="F5" s="694">
        <f>SUM(F8:F35)</f>
        <v>110111.43719678994</v>
      </c>
      <c r="G5" s="694">
        <f>SUM(G8:G35)</f>
        <v>109675.5</v>
      </c>
      <c r="H5" s="694">
        <f>SUM(H8:H35)</f>
        <v>114884</v>
      </c>
      <c r="I5" s="694">
        <f>SUM(I8:I35)</f>
        <v>107929.5</v>
      </c>
      <c r="J5" s="694">
        <f t="shared" ref="J5:R5" si="0">SUM(J8:J35)</f>
        <v>102166</v>
      </c>
      <c r="K5" s="694">
        <f t="shared" si="0"/>
        <v>99508</v>
      </c>
      <c r="L5" s="694">
        <f t="shared" si="0"/>
        <v>97225</v>
      </c>
      <c r="M5" s="869">
        <f t="shared" si="0"/>
        <v>96322</v>
      </c>
      <c r="N5" s="694">
        <f t="shared" si="0"/>
        <v>100105</v>
      </c>
      <c r="O5" s="694">
        <f t="shared" si="0"/>
        <v>102843</v>
      </c>
      <c r="P5" s="694">
        <f t="shared" si="0"/>
        <v>102691</v>
      </c>
      <c r="Q5" s="694">
        <f t="shared" si="0"/>
        <v>98104</v>
      </c>
      <c r="R5" s="817">
        <f t="shared" si="0"/>
        <v>97249</v>
      </c>
      <c r="S5" s="852">
        <f t="shared" ref="S5" si="1">SUM(S8:S35)</f>
        <v>96206</v>
      </c>
      <c r="T5" s="71" t="s">
        <v>236</v>
      </c>
      <c r="U5" s="868">
        <f>S5/R5*100-100</f>
        <v>-1.0725046015897277</v>
      </c>
    </row>
    <row r="6" spans="1:21" ht="12.75" customHeight="1" x14ac:dyDescent="0.2">
      <c r="A6" s="8"/>
      <c r="B6" s="536" t="s">
        <v>241</v>
      </c>
      <c r="C6" s="818">
        <f>SUM(C8,C11:C12,C14:C17,C23,C26:C27,C29,C33:C35,C19)</f>
        <v>97726</v>
      </c>
      <c r="D6" s="819">
        <f t="shared" ref="D6" si="2">SUM(D8,D11:D12,D14:D17,D23,D26:D27,D29,D33:D35,D19)</f>
        <v>95907</v>
      </c>
      <c r="E6" s="819"/>
      <c r="F6" s="822">
        <f t="shared" ref="F6" si="3">SUM(F8,F11:F12,F14:F17,F23,F26:F27,F29,F33:F35,F19)</f>
        <v>78573.437196789935</v>
      </c>
      <c r="G6" s="822">
        <f t="shared" ref="G6" si="4">SUM(G8,G11:G12,G14:G17,G23,G26:G27,G29,G33:G35,G19)</f>
        <v>79052.5</v>
      </c>
      <c r="H6" s="822">
        <f t="shared" ref="H6" si="5">SUM(H8,H11:H12,H14:H17,H23,H26:H27,H29,H33:H35,H19)</f>
        <v>85657</v>
      </c>
      <c r="I6" s="822">
        <f t="shared" ref="I6:R6" si="6">SUM(I8,I11:I12,I14:I17,I23,I26:I27,I29,I33:I35,I19)</f>
        <v>81311.5</v>
      </c>
      <c r="J6" s="822">
        <f t="shared" si="6"/>
        <v>75901</v>
      </c>
      <c r="K6" s="822">
        <f t="shared" si="6"/>
        <v>75305</v>
      </c>
      <c r="L6" s="822">
        <f t="shared" si="6"/>
        <v>73503</v>
      </c>
      <c r="M6" s="870">
        <f t="shared" si="6"/>
        <v>72318</v>
      </c>
      <c r="N6" s="819">
        <f t="shared" si="6"/>
        <v>76487</v>
      </c>
      <c r="O6" s="822">
        <f t="shared" si="6"/>
        <v>79811</v>
      </c>
      <c r="P6" s="822">
        <f t="shared" si="6"/>
        <v>80284</v>
      </c>
      <c r="Q6" s="822">
        <f t="shared" si="6"/>
        <v>76792</v>
      </c>
      <c r="R6" s="822">
        <f t="shared" si="6"/>
        <v>76137</v>
      </c>
      <c r="S6" s="853">
        <f t="shared" ref="S6" si="7">SUM(S8,S11:S12,S14:S17,S23,S26:S27,S29,S33:S35,S19)</f>
        <v>77118</v>
      </c>
      <c r="T6" s="72" t="s">
        <v>241</v>
      </c>
      <c r="U6" s="868">
        <f t="shared" ref="U6:U43" si="8">S6/R6*100-100</f>
        <v>1.2884668426651871</v>
      </c>
    </row>
    <row r="7" spans="1:21" ht="12.75" customHeight="1" x14ac:dyDescent="0.2">
      <c r="A7" s="8"/>
      <c r="B7" s="537" t="s">
        <v>245</v>
      </c>
      <c r="C7" s="823"/>
      <c r="D7" s="824"/>
      <c r="E7" s="824"/>
      <c r="F7" s="824">
        <f>F5-F6</f>
        <v>31538</v>
      </c>
      <c r="G7" s="824">
        <f>G5-G6</f>
        <v>30623</v>
      </c>
      <c r="H7" s="824">
        <f>H5-H6</f>
        <v>29227</v>
      </c>
      <c r="I7" s="824">
        <f>I5-I6</f>
        <v>26618</v>
      </c>
      <c r="J7" s="824">
        <f t="shared" ref="J7:R7" si="9">J5-J6</f>
        <v>26265</v>
      </c>
      <c r="K7" s="824">
        <f t="shared" si="9"/>
        <v>24203</v>
      </c>
      <c r="L7" s="824">
        <f t="shared" si="9"/>
        <v>23722</v>
      </c>
      <c r="M7" s="824">
        <f t="shared" si="9"/>
        <v>24004</v>
      </c>
      <c r="N7" s="825">
        <f t="shared" si="9"/>
        <v>23618</v>
      </c>
      <c r="O7" s="825">
        <f t="shared" si="9"/>
        <v>23032</v>
      </c>
      <c r="P7" s="825">
        <f t="shared" si="9"/>
        <v>22407</v>
      </c>
      <c r="Q7" s="825">
        <f t="shared" si="9"/>
        <v>21312</v>
      </c>
      <c r="R7" s="825">
        <f t="shared" si="9"/>
        <v>21112</v>
      </c>
      <c r="S7" s="871">
        <f t="shared" ref="S7" si="10">S5-S6</f>
        <v>19088</v>
      </c>
      <c r="T7" s="73" t="s">
        <v>245</v>
      </c>
      <c r="U7" s="868">
        <f t="shared" si="8"/>
        <v>-9.5869647593785601</v>
      </c>
    </row>
    <row r="8" spans="1:21" ht="12.75" customHeight="1" x14ac:dyDescent="0.2">
      <c r="A8" s="8"/>
      <c r="B8" s="9" t="s">
        <v>63</v>
      </c>
      <c r="C8" s="872">
        <v>3415</v>
      </c>
      <c r="D8" s="873">
        <v>3609</v>
      </c>
      <c r="E8" s="873">
        <v>3286</v>
      </c>
      <c r="F8" s="873">
        <v>3494</v>
      </c>
      <c r="G8" s="873">
        <v>3462</v>
      </c>
      <c r="H8" s="873">
        <v>3413</v>
      </c>
      <c r="I8" s="873">
        <v>3358</v>
      </c>
      <c r="J8" s="873">
        <v>3292</v>
      </c>
      <c r="K8" s="873">
        <v>3251</v>
      </c>
      <c r="L8" s="873">
        <v>3235</v>
      </c>
      <c r="M8" s="873">
        <v>3275</v>
      </c>
      <c r="N8" s="873">
        <v>3201</v>
      </c>
      <c r="O8" s="873">
        <v>3412</v>
      </c>
      <c r="P8" s="873">
        <v>3412</v>
      </c>
      <c r="Q8" s="873">
        <v>3290</v>
      </c>
      <c r="R8" s="874">
        <v>3290</v>
      </c>
      <c r="S8" s="875">
        <v>2345</v>
      </c>
      <c r="T8" s="74" t="s">
        <v>63</v>
      </c>
      <c r="U8" s="556">
        <f t="shared" si="8"/>
        <v>-28.723404255319153</v>
      </c>
    </row>
    <row r="9" spans="1:21" ht="12.75" customHeight="1" x14ac:dyDescent="0.2">
      <c r="A9" s="8"/>
      <c r="B9" s="57" t="s">
        <v>46</v>
      </c>
      <c r="C9" s="829">
        <v>1762</v>
      </c>
      <c r="D9" s="830">
        <v>2441</v>
      </c>
      <c r="E9" s="830">
        <v>2386</v>
      </c>
      <c r="F9" s="830">
        <v>2099</v>
      </c>
      <c r="G9" s="830">
        <v>1935</v>
      </c>
      <c r="H9" s="830">
        <v>1655</v>
      </c>
      <c r="I9" s="830">
        <v>1705</v>
      </c>
      <c r="J9" s="830">
        <f>1680+69</f>
        <v>1749</v>
      </c>
      <c r="K9" s="830">
        <f>1489+69</f>
        <v>1558</v>
      </c>
      <c r="L9" s="830">
        <f>1462+69</f>
        <v>1531</v>
      </c>
      <c r="M9" s="830">
        <f>1483+67</f>
        <v>1550</v>
      </c>
      <c r="N9" s="830">
        <v>1599</v>
      </c>
      <c r="O9" s="830">
        <f>1535+67</f>
        <v>1602</v>
      </c>
      <c r="P9" s="830">
        <v>1369</v>
      </c>
      <c r="Q9" s="830">
        <f>741+1036</f>
        <v>1777</v>
      </c>
      <c r="R9" s="830">
        <f>1036+741</f>
        <v>1777</v>
      </c>
      <c r="S9" s="876">
        <v>744</v>
      </c>
      <c r="T9" s="72" t="s">
        <v>46</v>
      </c>
      <c r="U9" s="556">
        <f t="shared" si="8"/>
        <v>-58.131682611142374</v>
      </c>
    </row>
    <row r="10" spans="1:21" ht="12.75" customHeight="1" x14ac:dyDescent="0.2">
      <c r="A10" s="8"/>
      <c r="B10" s="10" t="s">
        <v>48</v>
      </c>
      <c r="C10" s="831"/>
      <c r="D10" s="832"/>
      <c r="E10" s="832"/>
      <c r="F10" s="751">
        <v>5252</v>
      </c>
      <c r="G10" s="751">
        <v>5223</v>
      </c>
      <c r="H10" s="751">
        <v>5103</v>
      </c>
      <c r="I10" s="751">
        <v>5085</v>
      </c>
      <c r="J10" s="751">
        <v>4985</v>
      </c>
      <c r="K10" s="751">
        <f>4887+8</f>
        <v>4895</v>
      </c>
      <c r="L10" s="751">
        <f>4759+8</f>
        <v>4767</v>
      </c>
      <c r="M10" s="751">
        <f>4558+8</f>
        <v>4566</v>
      </c>
      <c r="N10" s="751">
        <v>4561</v>
      </c>
      <c r="O10" s="751">
        <f>4545+8</f>
        <v>4553</v>
      </c>
      <c r="P10" s="751">
        <v>4514</v>
      </c>
      <c r="Q10" s="751">
        <v>4463</v>
      </c>
      <c r="R10" s="751">
        <v>4419</v>
      </c>
      <c r="S10" s="857">
        <v>4312</v>
      </c>
      <c r="T10" s="75" t="s">
        <v>48</v>
      </c>
      <c r="U10" s="556">
        <f t="shared" si="8"/>
        <v>-2.4213622991627091</v>
      </c>
    </row>
    <row r="11" spans="1:21" ht="12.75" customHeight="1" x14ac:dyDescent="0.2">
      <c r="A11" s="8"/>
      <c r="B11" s="57" t="s">
        <v>59</v>
      </c>
      <c r="C11" s="829">
        <v>1526</v>
      </c>
      <c r="D11" s="830">
        <v>1613</v>
      </c>
      <c r="E11" s="830">
        <v>1594</v>
      </c>
      <c r="F11" s="830">
        <v>1590</v>
      </c>
      <c r="G11" s="830">
        <v>1573</v>
      </c>
      <c r="H11" s="830">
        <v>1704</v>
      </c>
      <c r="I11" s="830">
        <v>1538</v>
      </c>
      <c r="J11" s="830">
        <v>1525</v>
      </c>
      <c r="K11" s="830">
        <v>1473</v>
      </c>
      <c r="L11" s="830">
        <v>1473</v>
      </c>
      <c r="M11" s="830">
        <v>1473</v>
      </c>
      <c r="N11" s="830">
        <v>1523</v>
      </c>
      <c r="O11" s="830">
        <v>1737</v>
      </c>
      <c r="P11" s="830">
        <v>1307</v>
      </c>
      <c r="Q11" s="830">
        <v>767</v>
      </c>
      <c r="R11" s="830">
        <v>1002</v>
      </c>
      <c r="S11" s="856">
        <v>1983</v>
      </c>
      <c r="T11" s="72" t="s">
        <v>59</v>
      </c>
      <c r="U11" s="556">
        <f t="shared" si="8"/>
        <v>97.904191616766468</v>
      </c>
    </row>
    <row r="12" spans="1:21" ht="12.75" customHeight="1" x14ac:dyDescent="0.2">
      <c r="A12" s="8"/>
      <c r="B12" s="10" t="s">
        <v>64</v>
      </c>
      <c r="C12" s="834">
        <v>31506</v>
      </c>
      <c r="D12" s="751">
        <v>29118</v>
      </c>
      <c r="E12" s="751">
        <v>24139</v>
      </c>
      <c r="F12" s="751">
        <v>21097</v>
      </c>
      <c r="G12" s="751">
        <v>21139</v>
      </c>
      <c r="H12" s="751">
        <v>21728</v>
      </c>
      <c r="I12" s="751">
        <f>20916+76</f>
        <v>20992</v>
      </c>
      <c r="J12" s="751">
        <v>20396</v>
      </c>
      <c r="K12" s="751">
        <v>20169</v>
      </c>
      <c r="L12" s="751">
        <v>18174</v>
      </c>
      <c r="M12" s="751">
        <v>17537</v>
      </c>
      <c r="N12" s="751">
        <v>18671</v>
      </c>
      <c r="O12" s="751">
        <v>18607</v>
      </c>
      <c r="P12" s="751">
        <v>18565</v>
      </c>
      <c r="Q12" s="751">
        <v>17849</v>
      </c>
      <c r="R12" s="751">
        <v>17743</v>
      </c>
      <c r="S12" s="857">
        <v>18290</v>
      </c>
      <c r="T12" s="75" t="s">
        <v>64</v>
      </c>
      <c r="U12" s="556">
        <f t="shared" si="8"/>
        <v>3.0829059347348107</v>
      </c>
    </row>
    <row r="13" spans="1:21" ht="12.75" customHeight="1" x14ac:dyDescent="0.2">
      <c r="A13" s="8"/>
      <c r="B13" s="57" t="s">
        <v>49</v>
      </c>
      <c r="C13" s="829"/>
      <c r="D13" s="830"/>
      <c r="E13" s="836">
        <v>596</v>
      </c>
      <c r="F13" s="830">
        <v>241</v>
      </c>
      <c r="G13" s="830">
        <v>308</v>
      </c>
      <c r="H13" s="830">
        <v>203</v>
      </c>
      <c r="I13" s="830">
        <v>251</v>
      </c>
      <c r="J13" s="830">
        <v>243</v>
      </c>
      <c r="K13" s="830">
        <v>183</v>
      </c>
      <c r="L13" s="830">
        <v>185</v>
      </c>
      <c r="M13" s="830">
        <v>189</v>
      </c>
      <c r="N13" s="836">
        <v>189</v>
      </c>
      <c r="O13" s="836">
        <v>189</v>
      </c>
      <c r="P13" s="836">
        <v>189</v>
      </c>
      <c r="Q13" s="836">
        <f>P13</f>
        <v>189</v>
      </c>
      <c r="R13" s="836">
        <v>189</v>
      </c>
      <c r="S13" s="858">
        <v>189</v>
      </c>
      <c r="T13" s="72" t="s">
        <v>49</v>
      </c>
      <c r="U13" s="868">
        <f t="shared" si="8"/>
        <v>0</v>
      </c>
    </row>
    <row r="14" spans="1:21" ht="12.75" customHeight="1" x14ac:dyDescent="0.2">
      <c r="A14" s="8"/>
      <c r="B14" s="10" t="s">
        <v>67</v>
      </c>
      <c r="C14" s="750">
        <v>484</v>
      </c>
      <c r="D14" s="751">
        <v>348</v>
      </c>
      <c r="E14" s="751">
        <v>314</v>
      </c>
      <c r="F14" s="751">
        <v>421</v>
      </c>
      <c r="G14" s="751">
        <v>418</v>
      </c>
      <c r="H14" s="751">
        <v>419</v>
      </c>
      <c r="I14" s="751">
        <v>405</v>
      </c>
      <c r="J14" s="751">
        <v>554</v>
      </c>
      <c r="K14" s="751">
        <v>581</v>
      </c>
      <c r="L14" s="751">
        <v>581</v>
      </c>
      <c r="M14" s="751">
        <v>581</v>
      </c>
      <c r="N14" s="751">
        <v>649</v>
      </c>
      <c r="O14" s="751">
        <v>592</v>
      </c>
      <c r="P14" s="828">
        <v>592</v>
      </c>
      <c r="Q14" s="828">
        <f>P14</f>
        <v>592</v>
      </c>
      <c r="R14" s="828">
        <v>592</v>
      </c>
      <c r="S14" s="857">
        <v>653</v>
      </c>
      <c r="T14" s="75" t="s">
        <v>67</v>
      </c>
      <c r="U14" s="868">
        <f t="shared" si="8"/>
        <v>10.304054054054063</v>
      </c>
    </row>
    <row r="15" spans="1:21" ht="12.75" customHeight="1" x14ac:dyDescent="0.2">
      <c r="A15" s="8"/>
      <c r="B15" s="57" t="s">
        <v>60</v>
      </c>
      <c r="C15" s="829">
        <v>574</v>
      </c>
      <c r="D15" s="830">
        <v>660</v>
      </c>
      <c r="E15" s="830">
        <v>810</v>
      </c>
      <c r="F15" s="830">
        <v>505</v>
      </c>
      <c r="G15" s="830">
        <v>509</v>
      </c>
      <c r="H15" s="830">
        <v>660</v>
      </c>
      <c r="I15" s="830">
        <v>457</v>
      </c>
      <c r="J15" s="830">
        <f>376+138</f>
        <v>514</v>
      </c>
      <c r="K15" s="830">
        <f>427+137</f>
        <v>564</v>
      </c>
      <c r="L15" s="830">
        <f>509+82</f>
        <v>591</v>
      </c>
      <c r="M15" s="830">
        <f>674+107</f>
        <v>781</v>
      </c>
      <c r="N15" s="830">
        <v>793</v>
      </c>
      <c r="O15" s="830">
        <v>793</v>
      </c>
      <c r="P15" s="830">
        <v>718</v>
      </c>
      <c r="Q15" s="830">
        <f>P15</f>
        <v>718</v>
      </c>
      <c r="R15" s="830">
        <v>718</v>
      </c>
      <c r="S15" s="858">
        <v>718</v>
      </c>
      <c r="T15" s="72" t="s">
        <v>60</v>
      </c>
      <c r="U15" s="556">
        <f t="shared" si="8"/>
        <v>0</v>
      </c>
    </row>
    <row r="16" spans="1:21" ht="12.75" customHeight="1" x14ac:dyDescent="0.2">
      <c r="A16" s="8"/>
      <c r="B16" s="10" t="s">
        <v>65</v>
      </c>
      <c r="C16" s="750">
        <v>3904</v>
      </c>
      <c r="D16" s="751">
        <v>3721</v>
      </c>
      <c r="E16" s="751">
        <v>3839</v>
      </c>
      <c r="F16" s="751">
        <v>3765</v>
      </c>
      <c r="G16" s="751">
        <v>4262</v>
      </c>
      <c r="H16" s="751">
        <v>4345</v>
      </c>
      <c r="I16" s="751">
        <f>157+236+151+87+3623+144+10</f>
        <v>4408</v>
      </c>
      <c r="J16" s="751">
        <f>157+238+148+87+3645+188+10</f>
        <v>4473</v>
      </c>
      <c r="K16" s="751">
        <f>157+248+148+108+4192+376+10</f>
        <v>5239</v>
      </c>
      <c r="L16" s="751">
        <f>157+268+148+126+3949+376</f>
        <v>5024</v>
      </c>
      <c r="M16" s="751">
        <f>274+148+126+3858+454</f>
        <v>4860</v>
      </c>
      <c r="N16" s="751">
        <v>5075</v>
      </c>
      <c r="O16" s="751">
        <f>228+257+148+126+4054+440</f>
        <v>5253</v>
      </c>
      <c r="P16" s="751">
        <v>5665</v>
      </c>
      <c r="Q16" s="751">
        <v>5061</v>
      </c>
      <c r="R16" s="751">
        <f>266+279+274+4125</f>
        <v>4944</v>
      </c>
      <c r="S16" s="857">
        <f>279+266+290+4390</f>
        <v>5225</v>
      </c>
      <c r="T16" s="75" t="s">
        <v>65</v>
      </c>
      <c r="U16" s="556">
        <f t="shared" si="8"/>
        <v>5.6836569579288039</v>
      </c>
    </row>
    <row r="17" spans="1:21" ht="12.75" customHeight="1" x14ac:dyDescent="0.2">
      <c r="A17" s="8"/>
      <c r="B17" s="57" t="s">
        <v>66</v>
      </c>
      <c r="C17" s="829">
        <v>15663</v>
      </c>
      <c r="D17" s="830">
        <v>16032</v>
      </c>
      <c r="E17" s="830">
        <v>15748</v>
      </c>
      <c r="F17" s="830">
        <v>15656</v>
      </c>
      <c r="G17" s="830">
        <v>15650</v>
      </c>
      <c r="H17" s="830">
        <v>15685</v>
      </c>
      <c r="I17" s="830">
        <v>15553</v>
      </c>
      <c r="J17" s="830">
        <v>15630</v>
      </c>
      <c r="K17" s="830">
        <f>15830+49</f>
        <v>15879</v>
      </c>
      <c r="L17" s="830">
        <f>15943+52</f>
        <v>15995</v>
      </c>
      <c r="M17" s="830">
        <f>15808+55</f>
        <v>15863</v>
      </c>
      <c r="N17" s="830">
        <v>16255</v>
      </c>
      <c r="O17" s="830">
        <f>16460+64</f>
        <v>16524</v>
      </c>
      <c r="P17" s="830">
        <v>16890</v>
      </c>
      <c r="Q17" s="830">
        <v>16842</v>
      </c>
      <c r="R17" s="830">
        <v>16626</v>
      </c>
      <c r="S17" s="856">
        <v>17130</v>
      </c>
      <c r="T17" s="72" t="s">
        <v>66</v>
      </c>
      <c r="U17" s="556">
        <f t="shared" si="8"/>
        <v>3.0313966077228542</v>
      </c>
    </row>
    <row r="18" spans="1:21" ht="12.75" customHeight="1" x14ac:dyDescent="0.2">
      <c r="A18" s="8"/>
      <c r="B18" s="530" t="s">
        <v>77</v>
      </c>
      <c r="C18" s="750"/>
      <c r="D18" s="751"/>
      <c r="E18" s="751">
        <v>1052</v>
      </c>
      <c r="F18" s="751">
        <v>720</v>
      </c>
      <c r="G18" s="751">
        <v>698</v>
      </c>
      <c r="H18" s="751">
        <v>681</v>
      </c>
      <c r="I18" s="751">
        <v>640</v>
      </c>
      <c r="J18" s="751">
        <v>617</v>
      </c>
      <c r="K18" s="751">
        <v>579</v>
      </c>
      <c r="L18" s="751">
        <v>571</v>
      </c>
      <c r="M18" s="751">
        <v>552</v>
      </c>
      <c r="N18" s="751">
        <v>553</v>
      </c>
      <c r="O18" s="751">
        <v>523</v>
      </c>
      <c r="P18" s="751">
        <v>523</v>
      </c>
      <c r="Q18" s="751">
        <v>519</v>
      </c>
      <c r="R18" s="828">
        <v>519</v>
      </c>
      <c r="S18" s="857">
        <v>541</v>
      </c>
      <c r="T18" s="75" t="s">
        <v>77</v>
      </c>
      <c r="U18" s="868">
        <f t="shared" si="8"/>
        <v>4.2389210019267693</v>
      </c>
    </row>
    <row r="19" spans="1:21" ht="12.75" customHeight="1" x14ac:dyDescent="0.2">
      <c r="A19" s="8"/>
      <c r="B19" s="197" t="s">
        <v>68</v>
      </c>
      <c r="C19" s="752">
        <v>11060</v>
      </c>
      <c r="D19" s="753">
        <v>13444</v>
      </c>
      <c r="E19" s="753">
        <v>14025</v>
      </c>
      <c r="F19" s="753">
        <v>11914</v>
      </c>
      <c r="G19" s="753">
        <v>11933</v>
      </c>
      <c r="H19" s="753">
        <v>11007</v>
      </c>
      <c r="I19" s="753">
        <f>10374+439</f>
        <v>10813</v>
      </c>
      <c r="J19" s="753">
        <f>10036+241</f>
        <v>10277</v>
      </c>
      <c r="K19" s="753">
        <f>241+9825</f>
        <v>10066</v>
      </c>
      <c r="L19" s="753">
        <f>425+9993</f>
        <v>10418</v>
      </c>
      <c r="M19" s="753">
        <f>425+9749</f>
        <v>10174</v>
      </c>
      <c r="N19" s="753">
        <v>9825</v>
      </c>
      <c r="O19" s="753">
        <f>543+11931</f>
        <v>12474</v>
      </c>
      <c r="P19" s="753">
        <v>12465</v>
      </c>
      <c r="Q19" s="753">
        <v>10743</v>
      </c>
      <c r="R19" s="753">
        <f>10035+6</f>
        <v>10041</v>
      </c>
      <c r="S19" s="860">
        <v>9510</v>
      </c>
      <c r="T19" s="474" t="s">
        <v>68</v>
      </c>
      <c r="U19" s="556">
        <f t="shared" si="8"/>
        <v>-5.2883178966238376</v>
      </c>
    </row>
    <row r="20" spans="1:21" ht="12.75" customHeight="1" x14ac:dyDescent="0.2">
      <c r="A20" s="8"/>
      <c r="B20" s="530" t="s">
        <v>47</v>
      </c>
      <c r="C20" s="831" t="s">
        <v>76</v>
      </c>
      <c r="D20" s="832" t="s">
        <v>76</v>
      </c>
      <c r="E20" s="832" t="s">
        <v>76</v>
      </c>
      <c r="F20" s="832" t="s">
        <v>76</v>
      </c>
      <c r="G20" s="832" t="s">
        <v>76</v>
      </c>
      <c r="H20" s="832" t="s">
        <v>76</v>
      </c>
      <c r="I20" s="832" t="s">
        <v>76</v>
      </c>
      <c r="J20" s="832" t="s">
        <v>76</v>
      </c>
      <c r="K20" s="832" t="s">
        <v>76</v>
      </c>
      <c r="L20" s="832" t="s">
        <v>76</v>
      </c>
      <c r="M20" s="832" t="s">
        <v>76</v>
      </c>
      <c r="N20" s="832" t="s">
        <v>76</v>
      </c>
      <c r="O20" s="832" t="s">
        <v>76</v>
      </c>
      <c r="P20" s="832" t="s">
        <v>76</v>
      </c>
      <c r="Q20" s="832" t="s">
        <v>76</v>
      </c>
      <c r="R20" s="832" t="s">
        <v>76</v>
      </c>
      <c r="S20" s="877" t="s">
        <v>76</v>
      </c>
      <c r="T20" s="75" t="s">
        <v>47</v>
      </c>
      <c r="U20" s="556"/>
    </row>
    <row r="21" spans="1:21" ht="12.75" customHeight="1" x14ac:dyDescent="0.2">
      <c r="A21" s="8"/>
      <c r="B21" s="197" t="s">
        <v>51</v>
      </c>
      <c r="C21" s="752"/>
      <c r="D21" s="753"/>
      <c r="E21" s="753">
        <v>1226</v>
      </c>
      <c r="F21" s="753">
        <v>702</v>
      </c>
      <c r="G21" s="753">
        <v>621</v>
      </c>
      <c r="H21" s="753">
        <v>597</v>
      </c>
      <c r="I21" s="753">
        <v>579</v>
      </c>
      <c r="J21" s="753">
        <v>535</v>
      </c>
      <c r="K21" s="753">
        <v>490</v>
      </c>
      <c r="L21" s="753">
        <v>490</v>
      </c>
      <c r="M21" s="753">
        <v>491</v>
      </c>
      <c r="N21" s="842">
        <v>491</v>
      </c>
      <c r="O21" s="842">
        <v>491</v>
      </c>
      <c r="P21" s="842">
        <v>491</v>
      </c>
      <c r="Q21" s="842">
        <f>P21</f>
        <v>491</v>
      </c>
      <c r="R21" s="842">
        <v>491</v>
      </c>
      <c r="S21" s="878">
        <v>491</v>
      </c>
      <c r="T21" s="474" t="s">
        <v>51</v>
      </c>
      <c r="U21" s="868">
        <f t="shared" si="8"/>
        <v>0</v>
      </c>
    </row>
    <row r="22" spans="1:21" ht="12.75" customHeight="1" x14ac:dyDescent="0.2">
      <c r="A22" s="8"/>
      <c r="B22" s="530" t="s">
        <v>52</v>
      </c>
      <c r="C22" s="750"/>
      <c r="D22" s="751"/>
      <c r="E22" s="828">
        <v>664</v>
      </c>
      <c r="F22" s="751">
        <v>563</v>
      </c>
      <c r="G22" s="751">
        <v>537</v>
      </c>
      <c r="H22" s="751">
        <v>509</v>
      </c>
      <c r="I22" s="751">
        <v>480</v>
      </c>
      <c r="J22" s="751">
        <v>475</v>
      </c>
      <c r="K22" s="751">
        <v>467</v>
      </c>
      <c r="L22" s="751">
        <v>458</v>
      </c>
      <c r="M22" s="751">
        <v>423</v>
      </c>
      <c r="N22" s="751">
        <v>363</v>
      </c>
      <c r="O22" s="751">
        <v>340</v>
      </c>
      <c r="P22" s="751">
        <v>337</v>
      </c>
      <c r="Q22" s="751">
        <v>268</v>
      </c>
      <c r="R22" s="751">
        <v>262</v>
      </c>
      <c r="S22" s="857">
        <v>264</v>
      </c>
      <c r="T22" s="75" t="s">
        <v>52</v>
      </c>
      <c r="U22" s="556">
        <f t="shared" si="8"/>
        <v>0.76335877862594259</v>
      </c>
    </row>
    <row r="23" spans="1:21" ht="12.75" customHeight="1" x14ac:dyDescent="0.2">
      <c r="A23" s="8"/>
      <c r="B23" s="197" t="s">
        <v>69</v>
      </c>
      <c r="C23" s="752">
        <v>114</v>
      </c>
      <c r="D23" s="753">
        <v>102</v>
      </c>
      <c r="E23" s="753">
        <v>114</v>
      </c>
      <c r="F23" s="753">
        <v>149</v>
      </c>
      <c r="G23" s="753">
        <v>152</v>
      </c>
      <c r="H23" s="753">
        <v>150</v>
      </c>
      <c r="I23" s="753">
        <v>150</v>
      </c>
      <c r="J23" s="753">
        <v>212</v>
      </c>
      <c r="K23" s="753">
        <v>185</v>
      </c>
      <c r="L23" s="753">
        <v>191</v>
      </c>
      <c r="M23" s="753">
        <v>191</v>
      </c>
      <c r="N23" s="753">
        <v>187</v>
      </c>
      <c r="O23" s="753">
        <v>187</v>
      </c>
      <c r="P23" s="753">
        <v>214</v>
      </c>
      <c r="Q23" s="753">
        <v>210</v>
      </c>
      <c r="R23" s="753">
        <v>210</v>
      </c>
      <c r="S23" s="860">
        <v>210</v>
      </c>
      <c r="T23" s="474" t="s">
        <v>69</v>
      </c>
      <c r="U23" s="556">
        <f t="shared" si="8"/>
        <v>0</v>
      </c>
    </row>
    <row r="24" spans="1:21" ht="12.75" customHeight="1" x14ac:dyDescent="0.2">
      <c r="A24" s="8"/>
      <c r="B24" s="530" t="s">
        <v>50</v>
      </c>
      <c r="C24" s="750"/>
      <c r="D24" s="751"/>
      <c r="E24" s="751">
        <v>4385</v>
      </c>
      <c r="F24" s="751">
        <v>3232</v>
      </c>
      <c r="G24" s="751">
        <v>3142</v>
      </c>
      <c r="H24" s="751">
        <v>3376</v>
      </c>
      <c r="I24" s="751">
        <f>52+2882+81</f>
        <v>3015</v>
      </c>
      <c r="J24" s="751">
        <f>65+3249+82</f>
        <v>3396</v>
      </c>
      <c r="K24" s="751">
        <f>2646+76+65</f>
        <v>2787</v>
      </c>
      <c r="L24" s="751">
        <f>65+2657+75</f>
        <v>2797</v>
      </c>
      <c r="M24" s="751">
        <f>65+2520+787</f>
        <v>3372</v>
      </c>
      <c r="N24" s="751">
        <v>3253</v>
      </c>
      <c r="O24" s="751">
        <f>82+2198+791</f>
        <v>3071</v>
      </c>
      <c r="P24" s="751">
        <v>3136</v>
      </c>
      <c r="Q24" s="751">
        <v>2931</v>
      </c>
      <c r="R24" s="751">
        <f>108+2978</f>
        <v>3086</v>
      </c>
      <c r="S24" s="857">
        <f>108+2350</f>
        <v>2458</v>
      </c>
      <c r="T24" s="75" t="s">
        <v>50</v>
      </c>
      <c r="U24" s="556">
        <f t="shared" si="8"/>
        <v>-20.349967595593</v>
      </c>
    </row>
    <row r="25" spans="1:21" ht="12.75" customHeight="1" x14ac:dyDescent="0.2">
      <c r="A25" s="8"/>
      <c r="B25" s="197" t="s">
        <v>53</v>
      </c>
      <c r="C25" s="843" t="s">
        <v>76</v>
      </c>
      <c r="D25" s="844" t="s">
        <v>76</v>
      </c>
      <c r="E25" s="844" t="s">
        <v>76</v>
      </c>
      <c r="F25" s="844" t="s">
        <v>76</v>
      </c>
      <c r="G25" s="844" t="s">
        <v>76</v>
      </c>
      <c r="H25" s="844" t="s">
        <v>76</v>
      </c>
      <c r="I25" s="844" t="s">
        <v>76</v>
      </c>
      <c r="J25" s="844" t="s">
        <v>76</v>
      </c>
      <c r="K25" s="844" t="s">
        <v>76</v>
      </c>
      <c r="L25" s="844" t="s">
        <v>76</v>
      </c>
      <c r="M25" s="844" t="s">
        <v>76</v>
      </c>
      <c r="N25" s="844" t="s">
        <v>76</v>
      </c>
      <c r="O25" s="844" t="s">
        <v>76</v>
      </c>
      <c r="P25" s="844" t="s">
        <v>76</v>
      </c>
      <c r="Q25" s="844" t="s">
        <v>76</v>
      </c>
      <c r="R25" s="844" t="s">
        <v>76</v>
      </c>
      <c r="S25" s="879" t="s">
        <v>76</v>
      </c>
      <c r="T25" s="474" t="s">
        <v>53</v>
      </c>
      <c r="U25" s="556"/>
    </row>
    <row r="26" spans="1:21" ht="12.75" customHeight="1" x14ac:dyDescent="0.2">
      <c r="A26" s="8"/>
      <c r="B26" s="530" t="s">
        <v>61</v>
      </c>
      <c r="C26" s="750">
        <v>1919</v>
      </c>
      <c r="D26" s="751">
        <v>1958</v>
      </c>
      <c r="E26" s="751">
        <v>2268</v>
      </c>
      <c r="F26" s="751">
        <v>2742</v>
      </c>
      <c r="G26" s="751">
        <v>2742</v>
      </c>
      <c r="H26" s="751">
        <v>2693</v>
      </c>
      <c r="I26" s="880">
        <v>2758</v>
      </c>
      <c r="J26" s="751">
        <v>833</v>
      </c>
      <c r="K26" s="751">
        <v>852</v>
      </c>
      <c r="L26" s="751">
        <v>870</v>
      </c>
      <c r="M26" s="835">
        <v>833</v>
      </c>
      <c r="N26" s="751">
        <v>2818</v>
      </c>
      <c r="O26" s="751">
        <v>2531</v>
      </c>
      <c r="P26" s="751">
        <v>2824</v>
      </c>
      <c r="Q26" s="751">
        <v>2854</v>
      </c>
      <c r="R26" s="751">
        <v>2948</v>
      </c>
      <c r="S26" s="857">
        <v>2895</v>
      </c>
      <c r="T26" s="75" t="s">
        <v>61</v>
      </c>
      <c r="U26" s="556">
        <f t="shared" si="8"/>
        <v>-1.797829036635008</v>
      </c>
    </row>
    <row r="27" spans="1:21" ht="12.75" customHeight="1" x14ac:dyDescent="0.2">
      <c r="A27" s="8"/>
      <c r="B27" s="197" t="s">
        <v>70</v>
      </c>
      <c r="C27" s="752">
        <v>4125</v>
      </c>
      <c r="D27" s="753">
        <v>4025</v>
      </c>
      <c r="E27" s="753">
        <v>3689</v>
      </c>
      <c r="F27" s="753">
        <v>3468</v>
      </c>
      <c r="G27" s="753">
        <v>3332</v>
      </c>
      <c r="H27" s="753">
        <v>3320</v>
      </c>
      <c r="I27" s="753">
        <f>21+3017+111+26</f>
        <v>3175</v>
      </c>
      <c r="J27" s="753">
        <f>24+2938+140</f>
        <v>3102</v>
      </c>
      <c r="K27" s="753">
        <f>24+2949+139</f>
        <v>3112</v>
      </c>
      <c r="L27" s="753">
        <f>24+3016</f>
        <v>3040</v>
      </c>
      <c r="M27" s="753">
        <f>24+2954</f>
        <v>2978</v>
      </c>
      <c r="N27" s="753">
        <v>3010</v>
      </c>
      <c r="O27" s="753">
        <f>24+2871+100</f>
        <v>2995</v>
      </c>
      <c r="P27" s="753">
        <v>2974</v>
      </c>
      <c r="Q27" s="753">
        <v>2860</v>
      </c>
      <c r="R27" s="753">
        <v>2839</v>
      </c>
      <c r="S27" s="860">
        <f>2819+24</f>
        <v>2843</v>
      </c>
      <c r="T27" s="474" t="s">
        <v>70</v>
      </c>
      <c r="U27" s="556">
        <f t="shared" si="8"/>
        <v>0.14089468122577387</v>
      </c>
    </row>
    <row r="28" spans="1:21" ht="12.75" customHeight="1" x14ac:dyDescent="0.2">
      <c r="A28" s="8"/>
      <c r="B28" s="530" t="s">
        <v>54</v>
      </c>
      <c r="C28" s="750">
        <v>8522</v>
      </c>
      <c r="D28" s="751">
        <v>7493</v>
      </c>
      <c r="E28" s="751">
        <v>11928</v>
      </c>
      <c r="F28" s="751">
        <v>9761</v>
      </c>
      <c r="G28" s="751">
        <v>9529</v>
      </c>
      <c r="H28" s="751">
        <v>8965</v>
      </c>
      <c r="I28" s="751">
        <v>8818</v>
      </c>
      <c r="J28" s="751">
        <v>8658</v>
      </c>
      <c r="K28" s="751">
        <v>7725</v>
      </c>
      <c r="L28" s="751">
        <v>7416</v>
      </c>
      <c r="M28" s="751">
        <v>7255</v>
      </c>
      <c r="N28" s="751">
        <v>7224</v>
      </c>
      <c r="O28" s="751">
        <v>6945</v>
      </c>
      <c r="P28" s="751">
        <v>6926</v>
      </c>
      <c r="Q28" s="751">
        <v>6691</v>
      </c>
      <c r="R28" s="751">
        <v>5987</v>
      </c>
      <c r="S28" s="857">
        <v>5963</v>
      </c>
      <c r="T28" s="75" t="s">
        <v>54</v>
      </c>
      <c r="U28" s="556">
        <f t="shared" si="8"/>
        <v>-0.40086854852179954</v>
      </c>
    </row>
    <row r="29" spans="1:21" ht="12.75" customHeight="1" x14ac:dyDescent="0.2">
      <c r="A29" s="8"/>
      <c r="B29" s="197" t="s">
        <v>71</v>
      </c>
      <c r="C29" s="752">
        <v>980</v>
      </c>
      <c r="D29" s="753">
        <v>1137</v>
      </c>
      <c r="E29" s="753">
        <v>1232</v>
      </c>
      <c r="F29" s="753">
        <v>1303</v>
      </c>
      <c r="G29" s="753">
        <v>1313</v>
      </c>
      <c r="H29" s="591">
        <f>AVERAGE(G29,I29)</f>
        <v>1258</v>
      </c>
      <c r="I29" s="753">
        <f>1184+19</f>
        <v>1203</v>
      </c>
      <c r="J29" s="753">
        <f>1131+19</f>
        <v>1150</v>
      </c>
      <c r="K29" s="753">
        <f>1106+19</f>
        <v>1125</v>
      </c>
      <c r="L29" s="753">
        <f>1043+19</f>
        <v>1062</v>
      </c>
      <c r="M29" s="753">
        <f>1041+19</f>
        <v>1060</v>
      </c>
      <c r="N29" s="753">
        <v>1051</v>
      </c>
      <c r="O29" s="753">
        <f>1024+19</f>
        <v>1043</v>
      </c>
      <c r="P29" s="753">
        <v>965</v>
      </c>
      <c r="Q29" s="753">
        <v>953</v>
      </c>
      <c r="R29" s="753">
        <v>980</v>
      </c>
      <c r="S29" s="860">
        <v>973</v>
      </c>
      <c r="T29" s="474" t="s">
        <v>71</v>
      </c>
      <c r="U29" s="556">
        <f t="shared" si="8"/>
        <v>-0.7142857142857082</v>
      </c>
    </row>
    <row r="30" spans="1:21" ht="12.75" customHeight="1" x14ac:dyDescent="0.2">
      <c r="A30" s="8"/>
      <c r="B30" s="530" t="s">
        <v>55</v>
      </c>
      <c r="C30" s="750"/>
      <c r="D30" s="751">
        <v>5579</v>
      </c>
      <c r="E30" s="751">
        <v>6352</v>
      </c>
      <c r="F30" s="751">
        <v>6234</v>
      </c>
      <c r="G30" s="751">
        <v>6245</v>
      </c>
      <c r="H30" s="880">
        <v>5467</v>
      </c>
      <c r="I30" s="751">
        <v>3629</v>
      </c>
      <c r="J30" s="751">
        <v>3407</v>
      </c>
      <c r="K30" s="751">
        <v>3310</v>
      </c>
      <c r="L30" s="751">
        <v>3380</v>
      </c>
      <c r="M30" s="751">
        <v>3462</v>
      </c>
      <c r="N30" s="751">
        <v>3314</v>
      </c>
      <c r="O30" s="751">
        <f>3306+6</f>
        <v>3312</v>
      </c>
      <c r="P30" s="751">
        <v>3037</v>
      </c>
      <c r="Q30" s="751">
        <v>2059</v>
      </c>
      <c r="R30" s="751">
        <v>2511</v>
      </c>
      <c r="S30" s="857">
        <v>2304</v>
      </c>
      <c r="T30" s="75" t="s">
        <v>55</v>
      </c>
      <c r="U30" s="556">
        <f t="shared" si="8"/>
        <v>-8.2437275985663092</v>
      </c>
    </row>
    <row r="31" spans="1:21" ht="12.75" customHeight="1" x14ac:dyDescent="0.2">
      <c r="A31" s="8"/>
      <c r="B31" s="197" t="s">
        <v>57</v>
      </c>
      <c r="C31" s="752"/>
      <c r="D31" s="753"/>
      <c r="E31" s="753">
        <v>606</v>
      </c>
      <c r="F31" s="753">
        <v>461</v>
      </c>
      <c r="G31" s="753">
        <v>470</v>
      </c>
      <c r="H31" s="753">
        <v>482</v>
      </c>
      <c r="I31" s="753">
        <v>432</v>
      </c>
      <c r="J31" s="753">
        <v>403</v>
      </c>
      <c r="K31" s="753">
        <v>401</v>
      </c>
      <c r="L31" s="753">
        <v>400</v>
      </c>
      <c r="M31" s="753">
        <v>373</v>
      </c>
      <c r="N31" s="753">
        <v>362</v>
      </c>
      <c r="O31" s="753">
        <v>360</v>
      </c>
      <c r="P31" s="753">
        <v>355</v>
      </c>
      <c r="Q31" s="753">
        <v>355</v>
      </c>
      <c r="R31" s="753">
        <v>355</v>
      </c>
      <c r="S31" s="860">
        <v>355</v>
      </c>
      <c r="T31" s="474" t="s">
        <v>57</v>
      </c>
      <c r="U31" s="556">
        <f t="shared" si="8"/>
        <v>0</v>
      </c>
    </row>
    <row r="32" spans="1:21" ht="12.75" customHeight="1" x14ac:dyDescent="0.2">
      <c r="A32" s="8"/>
      <c r="B32" s="530" t="s">
        <v>56</v>
      </c>
      <c r="C32" s="831"/>
      <c r="D32" s="832"/>
      <c r="E32" s="832"/>
      <c r="F32" s="751">
        <v>2273</v>
      </c>
      <c r="G32" s="751">
        <v>1915</v>
      </c>
      <c r="H32" s="751">
        <v>2189</v>
      </c>
      <c r="I32" s="751">
        <f>1939+45</f>
        <v>1984</v>
      </c>
      <c r="J32" s="751">
        <f>1768+27+2</f>
        <v>1797</v>
      </c>
      <c r="K32" s="751">
        <f>1782+26</f>
        <v>1808</v>
      </c>
      <c r="L32" s="751">
        <f>1671+56</f>
        <v>1727</v>
      </c>
      <c r="M32" s="751">
        <f>1713+58</f>
        <v>1771</v>
      </c>
      <c r="N32" s="751">
        <v>1709</v>
      </c>
      <c r="O32" s="751">
        <f>1586+60</f>
        <v>1646</v>
      </c>
      <c r="P32" s="751">
        <v>1530</v>
      </c>
      <c r="Q32" s="751">
        <v>1569</v>
      </c>
      <c r="R32" s="751">
        <v>1516</v>
      </c>
      <c r="S32" s="857">
        <v>1467</v>
      </c>
      <c r="T32" s="75" t="s">
        <v>56</v>
      </c>
      <c r="U32" s="556">
        <f t="shared" si="8"/>
        <v>-3.2321899736147799</v>
      </c>
    </row>
    <row r="33" spans="1:21" ht="12.75" customHeight="1" x14ac:dyDescent="0.2">
      <c r="A33" s="8"/>
      <c r="B33" s="197" t="s">
        <v>72</v>
      </c>
      <c r="C33" s="752">
        <v>1032</v>
      </c>
      <c r="D33" s="753">
        <v>1100</v>
      </c>
      <c r="E33" s="753">
        <v>957</v>
      </c>
      <c r="F33" s="753">
        <v>1003</v>
      </c>
      <c r="G33" s="753">
        <v>1011</v>
      </c>
      <c r="H33" s="753">
        <v>1030</v>
      </c>
      <c r="I33" s="753">
        <v>1060</v>
      </c>
      <c r="J33" s="753">
        <v>1029</v>
      </c>
      <c r="K33" s="753">
        <v>1084</v>
      </c>
      <c r="L33" s="753">
        <v>1083</v>
      </c>
      <c r="M33" s="753">
        <v>1024</v>
      </c>
      <c r="N33" s="753">
        <v>1035</v>
      </c>
      <c r="O33" s="753">
        <v>1033</v>
      </c>
      <c r="P33" s="753">
        <v>1071</v>
      </c>
      <c r="Q33" s="753">
        <v>1102</v>
      </c>
      <c r="R33" s="753">
        <v>1131</v>
      </c>
      <c r="S33" s="860">
        <v>1163</v>
      </c>
      <c r="T33" s="474" t="s">
        <v>72</v>
      </c>
      <c r="U33" s="556">
        <f t="shared" si="8"/>
        <v>2.8293545534924931</v>
      </c>
    </row>
    <row r="34" spans="1:21" ht="12.75" customHeight="1" x14ac:dyDescent="0.2">
      <c r="A34" s="8"/>
      <c r="B34" s="530" t="s">
        <v>73</v>
      </c>
      <c r="C34" s="750">
        <v>2746</v>
      </c>
      <c r="D34" s="751">
        <v>1998</v>
      </c>
      <c r="E34" s="835">
        <v>1747</v>
      </c>
      <c r="F34" s="751">
        <v>1000</v>
      </c>
      <c r="G34" s="828">
        <f>AVERAGE(F34,H34)</f>
        <v>1131.5</v>
      </c>
      <c r="H34" s="751">
        <v>1263</v>
      </c>
      <c r="I34" s="751">
        <v>879</v>
      </c>
      <c r="J34" s="751">
        <v>771</v>
      </c>
      <c r="K34" s="751">
        <v>791</v>
      </c>
      <c r="L34" s="751">
        <v>832</v>
      </c>
      <c r="M34" s="751">
        <v>792</v>
      </c>
      <c r="N34" s="751">
        <v>879</v>
      </c>
      <c r="O34" s="751">
        <v>879</v>
      </c>
      <c r="P34" s="751">
        <v>871</v>
      </c>
      <c r="Q34" s="751">
        <v>807</v>
      </c>
      <c r="R34" s="751">
        <v>839</v>
      </c>
      <c r="S34" s="857">
        <v>839</v>
      </c>
      <c r="T34" s="75" t="s">
        <v>73</v>
      </c>
      <c r="U34" s="556">
        <f t="shared" si="8"/>
        <v>0</v>
      </c>
    </row>
    <row r="35" spans="1:21" ht="12.75" customHeight="1" x14ac:dyDescent="0.2">
      <c r="A35" s="8"/>
      <c r="B35" s="295" t="s">
        <v>62</v>
      </c>
      <c r="C35" s="881">
        <v>18678</v>
      </c>
      <c r="D35" s="882">
        <v>17042</v>
      </c>
      <c r="E35" s="883"/>
      <c r="F35" s="884">
        <f>G35*(SUM(F8:F34)/SUM(G8:G34))</f>
        <v>10466.437196789941</v>
      </c>
      <c r="G35" s="847">
        <v>10425</v>
      </c>
      <c r="H35" s="847">
        <v>16982</v>
      </c>
      <c r="I35" s="884">
        <f>AVERAGE(H35,J35)</f>
        <v>14562.5</v>
      </c>
      <c r="J35" s="847">
        <f>12017+18+108</f>
        <v>12143</v>
      </c>
      <c r="K35" s="847">
        <f>10776+18+140</f>
        <v>10934</v>
      </c>
      <c r="L35" s="847">
        <f>10776+18+140</f>
        <v>10934</v>
      </c>
      <c r="M35" s="847">
        <f>10756+140</f>
        <v>10896</v>
      </c>
      <c r="N35" s="847">
        <v>11515</v>
      </c>
      <c r="O35" s="847">
        <f>11413+198+140</f>
        <v>11751</v>
      </c>
      <c r="P35" s="847">
        <v>11751</v>
      </c>
      <c r="Q35" s="847">
        <v>12144</v>
      </c>
      <c r="R35" s="847">
        <f>12101+133</f>
        <v>12234</v>
      </c>
      <c r="S35" s="863">
        <f>12208+133</f>
        <v>12341</v>
      </c>
      <c r="T35" s="475" t="s">
        <v>62</v>
      </c>
      <c r="U35" s="556">
        <f t="shared" si="8"/>
        <v>0.87461173777995782</v>
      </c>
    </row>
    <row r="36" spans="1:21" ht="12.75" customHeight="1" x14ac:dyDescent="0.2">
      <c r="A36" s="8"/>
      <c r="B36" s="501" t="s">
        <v>234</v>
      </c>
      <c r="C36" s="885"/>
      <c r="D36" s="885"/>
      <c r="E36" s="886"/>
      <c r="F36" s="828"/>
      <c r="G36" s="751"/>
      <c r="H36" s="751"/>
      <c r="I36" s="828"/>
      <c r="J36" s="751"/>
      <c r="K36" s="751"/>
      <c r="L36" s="751"/>
      <c r="M36" s="751"/>
      <c r="N36" s="751"/>
      <c r="O36" s="751"/>
      <c r="P36" s="751"/>
      <c r="Q36" s="751"/>
      <c r="R36" s="751"/>
      <c r="S36" s="857"/>
      <c r="T36" s="75" t="s">
        <v>234</v>
      </c>
      <c r="U36" s="556"/>
    </row>
    <row r="37" spans="1:21" ht="12.75" customHeight="1" x14ac:dyDescent="0.2">
      <c r="A37" s="8"/>
      <c r="B37" s="197" t="s">
        <v>223</v>
      </c>
      <c r="C37" s="752"/>
      <c r="D37" s="753"/>
      <c r="E37" s="586" t="s">
        <v>76</v>
      </c>
      <c r="F37" s="586" t="s">
        <v>76</v>
      </c>
      <c r="G37" s="586" t="s">
        <v>76</v>
      </c>
      <c r="H37" s="586" t="s">
        <v>76</v>
      </c>
      <c r="I37" s="586" t="s">
        <v>76</v>
      </c>
      <c r="J37" s="586" t="s">
        <v>76</v>
      </c>
      <c r="K37" s="586" t="s">
        <v>76</v>
      </c>
      <c r="L37" s="586" t="s">
        <v>76</v>
      </c>
      <c r="M37" s="586" t="s">
        <v>76</v>
      </c>
      <c r="N37" s="586" t="s">
        <v>76</v>
      </c>
      <c r="O37" s="586" t="s">
        <v>76</v>
      </c>
      <c r="P37" s="586" t="s">
        <v>76</v>
      </c>
      <c r="Q37" s="586" t="s">
        <v>76</v>
      </c>
      <c r="R37" s="586" t="s">
        <v>76</v>
      </c>
      <c r="S37" s="592" t="s">
        <v>76</v>
      </c>
      <c r="T37" s="474" t="s">
        <v>223</v>
      </c>
      <c r="U37" s="556"/>
    </row>
    <row r="38" spans="1:21" ht="12.75" customHeight="1" x14ac:dyDescent="0.2">
      <c r="A38" s="8"/>
      <c r="B38" s="530" t="s">
        <v>1</v>
      </c>
      <c r="C38" s="750"/>
      <c r="D38" s="751">
        <v>180</v>
      </c>
      <c r="E38" s="751">
        <v>175</v>
      </c>
      <c r="F38" s="751">
        <v>164</v>
      </c>
      <c r="G38" s="751">
        <v>139</v>
      </c>
      <c r="H38" s="751">
        <v>139</v>
      </c>
      <c r="I38" s="751">
        <v>137</v>
      </c>
      <c r="J38" s="751">
        <v>135</v>
      </c>
      <c r="K38" s="751">
        <v>125</v>
      </c>
      <c r="L38" s="751">
        <v>124</v>
      </c>
      <c r="M38" s="751">
        <v>124</v>
      </c>
      <c r="N38" s="751">
        <v>124</v>
      </c>
      <c r="O38" s="751">
        <v>110</v>
      </c>
      <c r="P38" s="751">
        <v>64</v>
      </c>
      <c r="Q38" s="751">
        <v>64</v>
      </c>
      <c r="R38" s="751">
        <v>61</v>
      </c>
      <c r="S38" s="857">
        <v>68</v>
      </c>
      <c r="T38" s="75" t="s">
        <v>1</v>
      </c>
      <c r="U38" s="556">
        <f t="shared" si="8"/>
        <v>11.475409836065566</v>
      </c>
    </row>
    <row r="39" spans="1:21" ht="12.75" customHeight="1" x14ac:dyDescent="0.2">
      <c r="A39" s="8"/>
      <c r="B39" s="197" t="s">
        <v>222</v>
      </c>
      <c r="C39" s="752"/>
      <c r="D39" s="753"/>
      <c r="E39" s="753"/>
      <c r="F39" s="753"/>
      <c r="G39" s="753"/>
      <c r="H39" s="753"/>
      <c r="I39" s="753"/>
      <c r="J39" s="753"/>
      <c r="K39" s="753"/>
      <c r="L39" s="753"/>
      <c r="M39" s="753"/>
      <c r="N39" s="753"/>
      <c r="O39" s="753"/>
      <c r="P39" s="753"/>
      <c r="Q39" s="753">
        <v>784</v>
      </c>
      <c r="R39" s="753">
        <v>767</v>
      </c>
      <c r="S39" s="860">
        <v>769</v>
      </c>
      <c r="T39" s="474" t="s">
        <v>222</v>
      </c>
      <c r="U39" s="556">
        <f t="shared" si="8"/>
        <v>0.26075619295957608</v>
      </c>
    </row>
    <row r="40" spans="1:21" ht="12.75" customHeight="1" x14ac:dyDescent="0.2">
      <c r="A40" s="8"/>
      <c r="B40" s="531" t="s">
        <v>58</v>
      </c>
      <c r="C40" s="849">
        <v>1548</v>
      </c>
      <c r="D40" s="599">
        <v>1351</v>
      </c>
      <c r="E40" s="599">
        <v>1443</v>
      </c>
      <c r="F40" s="755">
        <v>1415</v>
      </c>
      <c r="G40" s="755">
        <v>1385</v>
      </c>
      <c r="H40" s="755">
        <v>1356</v>
      </c>
      <c r="I40" s="755">
        <v>1294</v>
      </c>
      <c r="J40" s="755">
        <v>1318</v>
      </c>
      <c r="K40" s="755">
        <v>1312</v>
      </c>
      <c r="L40" s="755">
        <v>1306</v>
      </c>
      <c r="M40" s="755">
        <v>1319</v>
      </c>
      <c r="N40" s="755">
        <v>1304</v>
      </c>
      <c r="O40" s="755">
        <v>1313</v>
      </c>
      <c r="P40" s="755">
        <v>1342</v>
      </c>
      <c r="Q40" s="755">
        <v>1347</v>
      </c>
      <c r="R40" s="755">
        <f>1365</f>
        <v>1365</v>
      </c>
      <c r="S40" s="865">
        <v>1381</v>
      </c>
      <c r="T40" s="76" t="s">
        <v>58</v>
      </c>
      <c r="U40" s="556">
        <f t="shared" si="8"/>
        <v>1.172161172161168</v>
      </c>
    </row>
    <row r="41" spans="1:21" ht="12.75" customHeight="1" x14ac:dyDescent="0.2">
      <c r="A41" s="8"/>
      <c r="B41" s="195" t="s">
        <v>44</v>
      </c>
      <c r="C41" s="843" t="s">
        <v>76</v>
      </c>
      <c r="D41" s="844" t="s">
        <v>76</v>
      </c>
      <c r="E41" s="844" t="s">
        <v>76</v>
      </c>
      <c r="F41" s="844" t="s">
        <v>76</v>
      </c>
      <c r="G41" s="844" t="s">
        <v>76</v>
      </c>
      <c r="H41" s="844" t="s">
        <v>76</v>
      </c>
      <c r="I41" s="844" t="s">
        <v>76</v>
      </c>
      <c r="J41" s="844" t="s">
        <v>76</v>
      </c>
      <c r="K41" s="844" t="s">
        <v>76</v>
      </c>
      <c r="L41" s="844" t="s">
        <v>76</v>
      </c>
      <c r="M41" s="844" t="s">
        <v>76</v>
      </c>
      <c r="N41" s="844" t="s">
        <v>76</v>
      </c>
      <c r="O41" s="844" t="s">
        <v>76</v>
      </c>
      <c r="P41" s="844" t="s">
        <v>76</v>
      </c>
      <c r="Q41" s="844" t="s">
        <v>76</v>
      </c>
      <c r="R41" s="844" t="s">
        <v>76</v>
      </c>
      <c r="S41" s="879" t="s">
        <v>76</v>
      </c>
      <c r="T41" s="574" t="s">
        <v>44</v>
      </c>
      <c r="U41" s="556"/>
    </row>
    <row r="42" spans="1:21" ht="12.75" customHeight="1" x14ac:dyDescent="0.2">
      <c r="A42" s="8"/>
      <c r="B42" s="530" t="s">
        <v>74</v>
      </c>
      <c r="C42" s="750">
        <v>1067</v>
      </c>
      <c r="D42" s="751">
        <v>908</v>
      </c>
      <c r="E42" s="751">
        <v>900</v>
      </c>
      <c r="F42" s="751">
        <v>918</v>
      </c>
      <c r="G42" s="751">
        <v>942</v>
      </c>
      <c r="H42" s="751">
        <v>850</v>
      </c>
      <c r="I42" s="887">
        <v>231</v>
      </c>
      <c r="J42" s="585">
        <v>237</v>
      </c>
      <c r="K42" s="585">
        <v>191</v>
      </c>
      <c r="L42" s="585">
        <v>191</v>
      </c>
      <c r="M42" s="585">
        <v>191</v>
      </c>
      <c r="N42" s="585">
        <v>191</v>
      </c>
      <c r="O42" s="585">
        <v>191</v>
      </c>
      <c r="P42" s="585">
        <v>210</v>
      </c>
      <c r="Q42" s="585">
        <v>212</v>
      </c>
      <c r="R42" s="585">
        <v>209</v>
      </c>
      <c r="S42" s="593">
        <v>175</v>
      </c>
      <c r="T42" s="75" t="s">
        <v>74</v>
      </c>
      <c r="U42" s="556">
        <f t="shared" si="8"/>
        <v>-16.267942583732051</v>
      </c>
    </row>
    <row r="43" spans="1:21" ht="12.75" customHeight="1" x14ac:dyDescent="0.2">
      <c r="A43" s="8"/>
      <c r="B43" s="199" t="s">
        <v>45</v>
      </c>
      <c r="C43" s="749">
        <v>3816</v>
      </c>
      <c r="D43" s="596">
        <v>4006</v>
      </c>
      <c r="E43" s="847">
        <v>4136</v>
      </c>
      <c r="F43" s="847">
        <v>3333</v>
      </c>
      <c r="G43" s="847">
        <v>3925</v>
      </c>
      <c r="H43" s="847">
        <v>4020</v>
      </c>
      <c r="I43" s="847">
        <f>231+3764+81</f>
        <v>4076</v>
      </c>
      <c r="J43" s="847">
        <f>263+91+3924+81</f>
        <v>4359</v>
      </c>
      <c r="K43" s="847">
        <f>251+81+150+3811</f>
        <v>4293</v>
      </c>
      <c r="L43" s="847">
        <f>333+4130</f>
        <v>4463</v>
      </c>
      <c r="M43" s="884">
        <v>4491</v>
      </c>
      <c r="N43" s="847">
        <v>4470</v>
      </c>
      <c r="O43" s="847">
        <f>489+3794+187</f>
        <v>4470</v>
      </c>
      <c r="P43" s="847">
        <v>4949</v>
      </c>
      <c r="Q43" s="847">
        <v>4822</v>
      </c>
      <c r="R43" s="847">
        <f>4571+340</f>
        <v>4911</v>
      </c>
      <c r="S43" s="863">
        <f>333+4664</f>
        <v>4997</v>
      </c>
      <c r="T43" s="475" t="s">
        <v>45</v>
      </c>
      <c r="U43" s="556">
        <f t="shared" si="8"/>
        <v>1.7511708409692517</v>
      </c>
    </row>
    <row r="44" spans="1:21" ht="27.75" customHeight="1" x14ac:dyDescent="0.2">
      <c r="B44" s="975" t="s">
        <v>201</v>
      </c>
      <c r="C44" s="975"/>
      <c r="D44" s="975"/>
      <c r="E44" s="975"/>
      <c r="F44" s="975"/>
      <c r="G44" s="975"/>
      <c r="H44" s="975"/>
      <c r="I44" s="975"/>
      <c r="J44" s="975"/>
      <c r="K44" s="976"/>
      <c r="L44" s="976"/>
      <c r="M44" s="976"/>
      <c r="N44" s="976"/>
      <c r="O44" s="976"/>
      <c r="P44" s="976"/>
      <c r="Q44" s="976"/>
      <c r="R44" s="976"/>
      <c r="S44" s="1053"/>
      <c r="T44" s="976"/>
      <c r="U44" s="45"/>
    </row>
    <row r="45" spans="1:21" ht="15" customHeight="1" x14ac:dyDescent="0.2">
      <c r="B45" s="406" t="s">
        <v>0</v>
      </c>
      <c r="C45" s="422"/>
      <c r="D45" s="422"/>
      <c r="E45" s="422"/>
      <c r="F45" s="422"/>
      <c r="G45" s="422"/>
      <c r="H45" s="422"/>
      <c r="U45" s="45"/>
    </row>
    <row r="46" spans="1:21" ht="10.5" customHeight="1" x14ac:dyDescent="0.2">
      <c r="B46" s="1054" t="s">
        <v>107</v>
      </c>
      <c r="C46" s="1055"/>
      <c r="D46" s="1055"/>
      <c r="E46" s="1055"/>
      <c r="F46" s="1055"/>
      <c r="G46" s="1055"/>
      <c r="H46" s="1055"/>
      <c r="I46" s="1055"/>
      <c r="J46" s="1055"/>
      <c r="K46" s="1055"/>
      <c r="L46" s="1055"/>
      <c r="M46" s="1055"/>
      <c r="N46" s="1055"/>
      <c r="O46" s="1055"/>
      <c r="P46" s="1055"/>
      <c r="Q46" s="1055"/>
      <c r="R46" s="1055"/>
      <c r="S46" s="1055"/>
      <c r="T46" s="1055"/>
      <c r="U46" s="45"/>
    </row>
    <row r="47" spans="1:21" ht="12.75" x14ac:dyDescent="0.2">
      <c r="B47" s="408" t="s">
        <v>202</v>
      </c>
      <c r="C47" s="63"/>
      <c r="D47" s="419"/>
      <c r="E47" s="419"/>
      <c r="F47" s="419"/>
      <c r="G47" s="419"/>
      <c r="H47" s="419"/>
      <c r="I47" s="419"/>
      <c r="J47" s="424"/>
      <c r="K47" s="424"/>
      <c r="L47" s="424"/>
      <c r="M47" s="424"/>
      <c r="N47" s="424"/>
      <c r="O47" s="424"/>
      <c r="P47" s="424"/>
      <c r="Q47" s="424"/>
      <c r="R47" s="424"/>
      <c r="S47" s="424"/>
      <c r="T47" s="424"/>
      <c r="U47" s="45"/>
    </row>
    <row r="48" spans="1:21" ht="12.75" x14ac:dyDescent="0.2">
      <c r="B48" s="408" t="s">
        <v>203</v>
      </c>
      <c r="C48" s="63"/>
      <c r="D48" s="408"/>
      <c r="E48" s="425"/>
      <c r="F48" s="408"/>
      <c r="G48" s="408"/>
      <c r="H48" s="408"/>
      <c r="I48" s="408"/>
      <c r="J48" s="46"/>
      <c r="K48" s="46"/>
      <c r="L48" s="46"/>
      <c r="M48" s="46"/>
      <c r="N48" s="46"/>
      <c r="O48" s="46"/>
      <c r="P48" s="457"/>
      <c r="Q48" s="46"/>
      <c r="R48" s="525"/>
      <c r="S48" s="801"/>
      <c r="T48" s="46"/>
      <c r="U48" s="45"/>
    </row>
    <row r="51" spans="3:3" x14ac:dyDescent="0.2">
      <c r="C51" s="261"/>
    </row>
  </sheetData>
  <mergeCells count="4">
    <mergeCell ref="B2:T2"/>
    <mergeCell ref="B3:T3"/>
    <mergeCell ref="B44:T44"/>
    <mergeCell ref="B46:T46"/>
  </mergeCells>
  <phoneticPr fontId="4" type="noConversion"/>
  <printOptions horizontalCentered="1"/>
  <pageMargins left="0.6692913385826772" right="0.6692913385826772" top="0.51181102362204722" bottom="0.27559055118110237" header="0" footer="0"/>
  <pageSetup paperSize="9" scale="9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1"/>
  <dimension ref="A1:T52"/>
  <sheetViews>
    <sheetView workbookViewId="0">
      <selection activeCell="AB37" sqref="AB37"/>
    </sheetView>
  </sheetViews>
  <sheetFormatPr defaultRowHeight="11.25" x14ac:dyDescent="0.2"/>
  <cols>
    <col min="1" max="1" width="3.7109375" style="3" customWidth="1"/>
    <col min="2" max="2" width="4" style="3" customWidth="1"/>
    <col min="3" max="4" width="7.7109375" style="3" hidden="1" customWidth="1"/>
    <col min="5" max="10" width="7.7109375" style="3" customWidth="1"/>
    <col min="11" max="13" width="8.28515625" style="2" customWidth="1"/>
    <col min="14" max="19" width="8.28515625" style="3" customWidth="1"/>
    <col min="20" max="20" width="4" style="3" customWidth="1"/>
    <col min="21" max="16384" width="9.140625" style="3"/>
  </cols>
  <sheetData>
    <row r="1" spans="1:20" ht="14.25" customHeight="1" x14ac:dyDescent="0.2">
      <c r="B1" s="34"/>
      <c r="C1" s="18"/>
      <c r="D1" s="18"/>
      <c r="E1" s="18"/>
      <c r="F1" s="18"/>
      <c r="G1" s="18"/>
      <c r="H1" s="35"/>
      <c r="K1" s="426"/>
      <c r="L1" s="426"/>
      <c r="M1" s="426"/>
      <c r="N1" s="35"/>
      <c r="O1" s="35"/>
      <c r="P1" s="35"/>
      <c r="Q1" s="35"/>
      <c r="R1" s="535"/>
      <c r="S1" s="535"/>
      <c r="T1" s="35" t="s">
        <v>168</v>
      </c>
    </row>
    <row r="2" spans="1:20" s="63" customFormat="1" ht="30" customHeight="1" x14ac:dyDescent="0.2">
      <c r="B2" s="964" t="s">
        <v>18</v>
      </c>
      <c r="C2" s="964"/>
      <c r="D2" s="964"/>
      <c r="E2" s="964"/>
      <c r="F2" s="964"/>
      <c r="G2" s="964"/>
      <c r="H2" s="964"/>
      <c r="I2" s="964"/>
      <c r="J2" s="964"/>
      <c r="K2" s="964"/>
      <c r="L2" s="964"/>
      <c r="M2" s="964"/>
      <c r="N2" s="964"/>
      <c r="O2" s="964"/>
      <c r="P2" s="964"/>
      <c r="Q2" s="964"/>
      <c r="R2" s="964"/>
      <c r="S2" s="964"/>
      <c r="T2" s="964"/>
    </row>
    <row r="3" spans="1:20" ht="18" customHeight="1" x14ac:dyDescent="0.2">
      <c r="B3" s="969" t="s">
        <v>12</v>
      </c>
      <c r="C3" s="969"/>
      <c r="D3" s="969"/>
      <c r="E3" s="969"/>
      <c r="F3" s="969"/>
      <c r="G3" s="969"/>
      <c r="H3" s="969"/>
      <c r="I3" s="969"/>
      <c r="J3" s="969"/>
      <c r="K3" s="969"/>
      <c r="L3" s="969"/>
      <c r="M3" s="969"/>
      <c r="N3" s="969"/>
      <c r="O3" s="969"/>
      <c r="P3" s="969"/>
      <c r="Q3" s="969"/>
      <c r="R3" s="969"/>
      <c r="S3" s="969"/>
      <c r="T3" s="969"/>
    </row>
    <row r="4" spans="1:20" ht="24.95" customHeight="1" x14ac:dyDescent="0.2">
      <c r="B4" s="116"/>
      <c r="C4" s="60">
        <v>1970</v>
      </c>
      <c r="D4" s="61">
        <v>1980</v>
      </c>
      <c r="E4" s="61">
        <v>1990</v>
      </c>
      <c r="F4" s="61">
        <v>2000</v>
      </c>
      <c r="G4" s="61">
        <v>2001</v>
      </c>
      <c r="H4" s="61">
        <v>2002</v>
      </c>
      <c r="I4" s="61">
        <v>2003</v>
      </c>
      <c r="J4" s="61">
        <v>2004</v>
      </c>
      <c r="K4" s="62">
        <v>2005</v>
      </c>
      <c r="L4" s="61">
        <v>2006</v>
      </c>
      <c r="M4" s="61" t="s">
        <v>113</v>
      </c>
      <c r="N4" s="61" t="s">
        <v>139</v>
      </c>
      <c r="O4" s="61" t="s">
        <v>176</v>
      </c>
      <c r="P4" s="61" t="s">
        <v>204</v>
      </c>
      <c r="Q4" s="61" t="s">
        <v>219</v>
      </c>
      <c r="R4" s="61" t="s">
        <v>233</v>
      </c>
      <c r="S4" s="539" t="s">
        <v>263</v>
      </c>
      <c r="T4" s="6"/>
    </row>
    <row r="5" spans="1:20" ht="12.75" customHeight="1" x14ac:dyDescent="0.2">
      <c r="B5" s="59" t="s">
        <v>236</v>
      </c>
      <c r="C5" s="77"/>
      <c r="D5" s="78"/>
      <c r="E5" s="695"/>
      <c r="F5" s="695"/>
      <c r="G5" s="694">
        <f>SUM(G8:G35)</f>
        <v>887017</v>
      </c>
      <c r="H5" s="694">
        <f>SUM(H8:H35)</f>
        <v>821790</v>
      </c>
      <c r="I5" s="694"/>
      <c r="J5" s="694"/>
      <c r="K5" s="852"/>
      <c r="L5" s="694"/>
      <c r="M5" s="694"/>
      <c r="N5" s="694"/>
      <c r="O5" s="694"/>
      <c r="P5" s="694"/>
      <c r="Q5" s="694"/>
      <c r="R5" s="817"/>
      <c r="S5" s="852"/>
      <c r="T5" s="71" t="s">
        <v>236</v>
      </c>
    </row>
    <row r="6" spans="1:20" ht="12.75" customHeight="1" x14ac:dyDescent="0.2">
      <c r="A6" s="8"/>
      <c r="B6" s="57" t="s">
        <v>241</v>
      </c>
      <c r="C6" s="79">
        <f>SUM(C8,C11:C12,C14:C19,C23,C26:C27,C29,C33:C35)</f>
        <v>1540584</v>
      </c>
      <c r="D6" s="80">
        <f>SUM(D8,D11:D12,D14:D19,D23,D26:D27,D29,D33:D35)</f>
        <v>1218315</v>
      </c>
      <c r="E6" s="700">
        <f>SUM(E8,E11:E12,E14:E19,E23,E26:E27,E29,E33:E35)</f>
        <v>839118</v>
      </c>
      <c r="F6" s="700"/>
      <c r="G6" s="697">
        <f>SUM(G8,G11:G12,G14:G19,G23,G26:G27,G29,G33:G35)</f>
        <v>512710</v>
      </c>
      <c r="H6" s="697">
        <f>SUM(H8,H11:H12,H14:H19,H23,H26:H27,H29,H33:H35)</f>
        <v>480315</v>
      </c>
      <c r="I6" s="697"/>
      <c r="J6" s="697"/>
      <c r="K6" s="698"/>
      <c r="L6" s="697"/>
      <c r="M6" s="697"/>
      <c r="N6" s="697"/>
      <c r="O6" s="697"/>
      <c r="P6" s="697"/>
      <c r="Q6" s="697"/>
      <c r="R6" s="697"/>
      <c r="S6" s="698"/>
      <c r="T6" s="72" t="s">
        <v>241</v>
      </c>
    </row>
    <row r="7" spans="1:20" ht="12.75" customHeight="1" x14ac:dyDescent="0.2">
      <c r="A7" s="8"/>
      <c r="B7" s="58" t="s">
        <v>245</v>
      </c>
      <c r="C7" s="79"/>
      <c r="D7" s="80"/>
      <c r="E7" s="702">
        <f t="shared" ref="E7:O7" si="0">SUM(E9,E10,E13,E20,E21,E22,E24,E25,E28,E30,E31,E32)</f>
        <v>516764</v>
      </c>
      <c r="F7" s="700">
        <f t="shared" si="0"/>
        <v>421261</v>
      </c>
      <c r="G7" s="700">
        <f t="shared" si="0"/>
        <v>374307</v>
      </c>
      <c r="H7" s="700">
        <f t="shared" si="0"/>
        <v>341475</v>
      </c>
      <c r="I7" s="700">
        <f t="shared" si="0"/>
        <v>337681</v>
      </c>
      <c r="J7" s="700">
        <f t="shared" si="0"/>
        <v>293729</v>
      </c>
      <c r="K7" s="696">
        <f t="shared" si="0"/>
        <v>282394</v>
      </c>
      <c r="L7" s="702">
        <f t="shared" si="0"/>
        <v>286769</v>
      </c>
      <c r="M7" s="702">
        <f t="shared" si="0"/>
        <v>224743</v>
      </c>
      <c r="N7" s="702">
        <f t="shared" si="0"/>
        <v>216756</v>
      </c>
      <c r="O7" s="704">
        <f t="shared" si="0"/>
        <v>212972</v>
      </c>
      <c r="P7" s="704">
        <f t="shared" ref="P7" si="1">SUM(P9,P10,P13,P20,P21,P22,P24,P25,P28,P30,P31,P32)</f>
        <v>230032</v>
      </c>
      <c r="Q7" s="704">
        <f>SUM(Q9,Q10,Q13,Q20,Q21,Q22,Q24,Q25,Q28,Q30,Q31,Q32,Q18)</f>
        <v>234702</v>
      </c>
      <c r="R7" s="704">
        <f>SUM(R9,R10,R13,R20,R21,R22,R24,R25,R28,R30,R31,R32,R18)</f>
        <v>235940</v>
      </c>
      <c r="S7" s="891">
        <f>SUM(S9,S10,S13,S20,S21,S22,S24,S25,S28,S30,S31,S32,S18)</f>
        <v>193861</v>
      </c>
      <c r="T7" s="73" t="s">
        <v>245</v>
      </c>
    </row>
    <row r="8" spans="1:20" ht="12.75" customHeight="1" x14ac:dyDescent="0.2">
      <c r="A8" s="8"/>
      <c r="B8" s="9" t="s">
        <v>63</v>
      </c>
      <c r="C8" s="81">
        <v>44651</v>
      </c>
      <c r="D8" s="82">
        <v>42968</v>
      </c>
      <c r="E8" s="873">
        <v>30332</v>
      </c>
      <c r="F8" s="873">
        <v>18790</v>
      </c>
      <c r="G8" s="873">
        <v>19719</v>
      </c>
      <c r="H8" s="873">
        <v>20312</v>
      </c>
      <c r="I8" s="873">
        <v>20101</v>
      </c>
      <c r="J8" s="873">
        <v>18782</v>
      </c>
      <c r="K8" s="875">
        <v>17375</v>
      </c>
      <c r="L8" s="873">
        <f>10521+5023</f>
        <v>15544</v>
      </c>
      <c r="M8" s="873">
        <v>10616</v>
      </c>
      <c r="N8" s="873">
        <v>9573</v>
      </c>
      <c r="O8" s="873">
        <v>11612</v>
      </c>
      <c r="P8" s="873">
        <v>11612</v>
      </c>
      <c r="Q8" s="892">
        <v>11612</v>
      </c>
      <c r="R8" s="874">
        <v>11612</v>
      </c>
      <c r="S8" s="893">
        <v>11612</v>
      </c>
      <c r="T8" s="74" t="s">
        <v>63</v>
      </c>
    </row>
    <row r="9" spans="1:20" ht="12.75" customHeight="1" x14ac:dyDescent="0.2">
      <c r="A9" s="8"/>
      <c r="B9" s="57" t="s">
        <v>46</v>
      </c>
      <c r="C9" s="83">
        <v>33850</v>
      </c>
      <c r="D9" s="84">
        <v>37272</v>
      </c>
      <c r="E9" s="894">
        <v>42459</v>
      </c>
      <c r="F9" s="830">
        <v>29720</v>
      </c>
      <c r="G9" s="830">
        <v>16609</v>
      </c>
      <c r="H9" s="830">
        <v>17508</v>
      </c>
      <c r="I9" s="830">
        <v>17259</v>
      </c>
      <c r="J9" s="830">
        <v>16382</v>
      </c>
      <c r="K9" s="856">
        <v>16511</v>
      </c>
      <c r="L9" s="830">
        <f>11911+361+300+4539</f>
        <v>17111</v>
      </c>
      <c r="M9" s="830">
        <f>11834+361+18+204</f>
        <v>12417</v>
      </c>
      <c r="N9" s="830">
        <f>11812+361+438+214</f>
        <v>12825</v>
      </c>
      <c r="O9" s="830">
        <f>11812+361+356+214</f>
        <v>12743</v>
      </c>
      <c r="P9" s="830">
        <v>11751</v>
      </c>
      <c r="Q9" s="830">
        <f>5390+11068</f>
        <v>16458</v>
      </c>
      <c r="R9" s="830">
        <v>16576</v>
      </c>
      <c r="S9" s="876">
        <f>4895+361+227</f>
        <v>5483</v>
      </c>
      <c r="T9" s="72" t="s">
        <v>46</v>
      </c>
    </row>
    <row r="10" spans="1:20" ht="12.75" customHeight="1" x14ac:dyDescent="0.2">
      <c r="A10" s="8"/>
      <c r="B10" s="10" t="s">
        <v>48</v>
      </c>
      <c r="C10" s="85"/>
      <c r="D10" s="86"/>
      <c r="E10" s="832"/>
      <c r="F10" s="751">
        <v>58524</v>
      </c>
      <c r="G10" s="751">
        <v>50180</v>
      </c>
      <c r="H10" s="751">
        <v>46789</v>
      </c>
      <c r="I10" s="751">
        <v>45506</v>
      </c>
      <c r="J10" s="751">
        <v>44805</v>
      </c>
      <c r="K10" s="857">
        <v>44545</v>
      </c>
      <c r="L10" s="751">
        <f>33354+9408</f>
        <v>42762</v>
      </c>
      <c r="M10" s="751">
        <v>32809</v>
      </c>
      <c r="N10" s="751">
        <v>31656</v>
      </c>
      <c r="O10" s="751">
        <v>29194</v>
      </c>
      <c r="P10" s="751">
        <v>27416</v>
      </c>
      <c r="Q10" s="751">
        <v>27314</v>
      </c>
      <c r="R10" s="751">
        <v>27066</v>
      </c>
      <c r="S10" s="857">
        <v>26281</v>
      </c>
      <c r="T10" s="75" t="s">
        <v>48</v>
      </c>
    </row>
    <row r="11" spans="1:20" ht="12.75" customHeight="1" x14ac:dyDescent="0.2">
      <c r="A11" s="8"/>
      <c r="B11" s="57" t="s">
        <v>59</v>
      </c>
      <c r="C11" s="83">
        <v>10995</v>
      </c>
      <c r="D11" s="84">
        <v>6883</v>
      </c>
      <c r="E11" s="830">
        <v>4632</v>
      </c>
      <c r="F11" s="830">
        <v>2236</v>
      </c>
      <c r="G11" s="830">
        <v>2236</v>
      </c>
      <c r="H11" s="836">
        <v>2200</v>
      </c>
      <c r="I11" s="895"/>
      <c r="J11" s="895"/>
      <c r="K11" s="896"/>
      <c r="L11" s="895"/>
      <c r="M11" s="895"/>
      <c r="N11" s="895"/>
      <c r="O11" s="895"/>
      <c r="P11" s="895"/>
      <c r="Q11" s="895"/>
      <c r="R11" s="895"/>
      <c r="S11" s="896"/>
      <c r="T11" s="72" t="s">
        <v>59</v>
      </c>
    </row>
    <row r="12" spans="1:20" ht="12.75" customHeight="1" x14ac:dyDescent="0.2">
      <c r="A12" s="8"/>
      <c r="B12" s="10" t="s">
        <v>64</v>
      </c>
      <c r="C12" s="88">
        <v>459030</v>
      </c>
      <c r="D12" s="87">
        <v>476437</v>
      </c>
      <c r="E12" s="751">
        <v>366724</v>
      </c>
      <c r="F12" s="751">
        <v>189558</v>
      </c>
      <c r="G12" s="751">
        <v>182836</v>
      </c>
      <c r="H12" s="589">
        <v>179000</v>
      </c>
      <c r="I12" s="751">
        <v>176837</v>
      </c>
      <c r="J12" s="751">
        <v>237313</v>
      </c>
      <c r="K12" s="857">
        <v>158247</v>
      </c>
      <c r="L12" s="751">
        <f>96550+58918</f>
        <v>155468</v>
      </c>
      <c r="M12" s="751">
        <v>95595</v>
      </c>
      <c r="N12" s="751">
        <v>119916</v>
      </c>
      <c r="O12" s="751">
        <v>113657</v>
      </c>
      <c r="P12" s="751">
        <v>108840</v>
      </c>
      <c r="Q12" s="751">
        <v>106727</v>
      </c>
      <c r="R12" s="751">
        <v>104460</v>
      </c>
      <c r="S12" s="857">
        <v>96868</v>
      </c>
      <c r="T12" s="75" t="s">
        <v>64</v>
      </c>
    </row>
    <row r="13" spans="1:20" ht="12.75" customHeight="1" x14ac:dyDescent="0.2">
      <c r="A13" s="8"/>
      <c r="B13" s="57" t="s">
        <v>49</v>
      </c>
      <c r="C13" s="83"/>
      <c r="D13" s="84"/>
      <c r="E13" s="830"/>
      <c r="F13" s="830">
        <v>5857</v>
      </c>
      <c r="G13" s="830">
        <v>6122</v>
      </c>
      <c r="H13" s="830">
        <v>7531</v>
      </c>
      <c r="I13" s="830">
        <v>17436</v>
      </c>
      <c r="J13" s="830">
        <v>20352</v>
      </c>
      <c r="K13" s="856">
        <v>18971</v>
      </c>
      <c r="L13" s="830">
        <f>3318+13791</f>
        <v>17109</v>
      </c>
      <c r="M13" s="830">
        <v>3353</v>
      </c>
      <c r="N13" s="830">
        <v>2905</v>
      </c>
      <c r="O13" s="830">
        <v>2982</v>
      </c>
      <c r="P13" s="830">
        <v>2958</v>
      </c>
      <c r="Q13" s="830">
        <v>2981</v>
      </c>
      <c r="R13" s="830">
        <v>2931</v>
      </c>
      <c r="S13" s="858">
        <v>2931</v>
      </c>
      <c r="T13" s="72" t="s">
        <v>49</v>
      </c>
    </row>
    <row r="14" spans="1:20" ht="12.75" customHeight="1" x14ac:dyDescent="0.2">
      <c r="A14" s="8"/>
      <c r="B14" s="10" t="s">
        <v>67</v>
      </c>
      <c r="C14" s="88">
        <v>9727</v>
      </c>
      <c r="D14" s="87">
        <v>4417</v>
      </c>
      <c r="E14" s="751">
        <v>1830</v>
      </c>
      <c r="F14" s="751">
        <v>1856</v>
      </c>
      <c r="G14" s="751">
        <v>1856</v>
      </c>
      <c r="H14" s="751">
        <v>1856</v>
      </c>
      <c r="I14" s="751">
        <v>1611</v>
      </c>
      <c r="J14" s="751">
        <v>833</v>
      </c>
      <c r="K14" s="857">
        <v>926</v>
      </c>
      <c r="L14" s="751">
        <v>1095</v>
      </c>
      <c r="M14" s="751">
        <v>891</v>
      </c>
      <c r="N14" s="751">
        <v>891</v>
      </c>
      <c r="O14" s="751"/>
      <c r="P14" s="751">
        <v>502</v>
      </c>
      <c r="Q14" s="751">
        <v>502</v>
      </c>
      <c r="R14" s="828">
        <v>502</v>
      </c>
      <c r="S14" s="857">
        <v>450</v>
      </c>
      <c r="T14" s="75" t="s">
        <v>67</v>
      </c>
    </row>
    <row r="15" spans="1:20" ht="12.75" customHeight="1" x14ac:dyDescent="0.2">
      <c r="A15" s="8"/>
      <c r="B15" s="57" t="s">
        <v>60</v>
      </c>
      <c r="C15" s="83">
        <v>9025</v>
      </c>
      <c r="D15" s="84">
        <v>10871</v>
      </c>
      <c r="E15" s="830">
        <v>10967</v>
      </c>
      <c r="F15" s="830">
        <v>3453</v>
      </c>
      <c r="G15" s="830">
        <v>3539</v>
      </c>
      <c r="H15" s="830">
        <v>3539</v>
      </c>
      <c r="I15" s="830">
        <v>3473</v>
      </c>
      <c r="J15" s="830">
        <v>3497</v>
      </c>
      <c r="K15" s="856">
        <v>3491</v>
      </c>
      <c r="L15" s="830">
        <f>2861+305</f>
        <v>3166</v>
      </c>
      <c r="M15" s="830">
        <f>3263+305</f>
        <v>3568</v>
      </c>
      <c r="N15" s="830">
        <f>4458+305</f>
        <v>4763</v>
      </c>
      <c r="O15" s="830"/>
      <c r="P15" s="830">
        <v>3158</v>
      </c>
      <c r="Q15" s="830">
        <v>3158</v>
      </c>
      <c r="R15" s="830">
        <v>3158</v>
      </c>
      <c r="S15" s="858">
        <v>3158</v>
      </c>
      <c r="T15" s="72" t="s">
        <v>60</v>
      </c>
    </row>
    <row r="16" spans="1:20" ht="12.75" customHeight="1" x14ac:dyDescent="0.2">
      <c r="A16" s="8"/>
      <c r="B16" s="10" t="s">
        <v>65</v>
      </c>
      <c r="C16" s="88">
        <v>53336</v>
      </c>
      <c r="D16" s="87">
        <v>40773</v>
      </c>
      <c r="E16" s="751">
        <v>37687</v>
      </c>
      <c r="F16" s="751">
        <v>26452</v>
      </c>
      <c r="G16" s="751">
        <v>25867</v>
      </c>
      <c r="H16" s="751">
        <v>26228</v>
      </c>
      <c r="I16" s="751">
        <v>25426</v>
      </c>
      <c r="J16" s="751">
        <v>25542</v>
      </c>
      <c r="K16" s="857">
        <v>23842</v>
      </c>
      <c r="L16" s="751">
        <f>14+1020+180+13817</f>
        <v>15031</v>
      </c>
      <c r="M16" s="751">
        <f>1026+187+14311</f>
        <v>15524</v>
      </c>
      <c r="N16" s="751">
        <f>42+1026+187+13718</f>
        <v>14973</v>
      </c>
      <c r="O16" s="751">
        <f>42+1026+187+11192</f>
        <v>12447</v>
      </c>
      <c r="P16" s="751">
        <v>14337</v>
      </c>
      <c r="Q16" s="751">
        <v>13732</v>
      </c>
      <c r="R16" s="751">
        <v>14148</v>
      </c>
      <c r="S16" s="857">
        <f>42+1141+197+13520</f>
        <v>14900</v>
      </c>
      <c r="T16" s="75" t="s">
        <v>65</v>
      </c>
    </row>
    <row r="17" spans="1:20" ht="12.75" customHeight="1" x14ac:dyDescent="0.2">
      <c r="A17" s="8"/>
      <c r="B17" s="57" t="s">
        <v>66</v>
      </c>
      <c r="C17" s="83">
        <v>291450</v>
      </c>
      <c r="D17" s="84">
        <v>239800</v>
      </c>
      <c r="E17" s="894">
        <v>148100</v>
      </c>
      <c r="F17" s="830">
        <v>94789</v>
      </c>
      <c r="G17" s="830">
        <v>109770</v>
      </c>
      <c r="H17" s="830">
        <v>107033</v>
      </c>
      <c r="I17" s="830">
        <v>103833</v>
      </c>
      <c r="J17" s="830">
        <v>99372</v>
      </c>
      <c r="K17" s="856">
        <v>95738</v>
      </c>
      <c r="L17" s="830">
        <f>32769+59047</f>
        <v>91816</v>
      </c>
      <c r="M17" s="830">
        <v>31589</v>
      </c>
      <c r="N17" s="830">
        <f>30196+1649</f>
        <v>31845</v>
      </c>
      <c r="O17" s="830">
        <v>29028</v>
      </c>
      <c r="P17" s="830">
        <v>25314</v>
      </c>
      <c r="Q17" s="830">
        <v>20322</v>
      </c>
      <c r="R17" s="830">
        <v>17830</v>
      </c>
      <c r="S17" s="856">
        <v>16333</v>
      </c>
      <c r="T17" s="72" t="s">
        <v>66</v>
      </c>
    </row>
    <row r="18" spans="1:20" ht="12.75" customHeight="1" x14ac:dyDescent="0.2">
      <c r="A18" s="8"/>
      <c r="B18" s="530" t="s">
        <v>77</v>
      </c>
      <c r="C18" s="88">
        <v>0</v>
      </c>
      <c r="D18" s="87">
        <v>12852</v>
      </c>
      <c r="E18" s="751">
        <v>13720</v>
      </c>
      <c r="F18" s="751">
        <v>9986</v>
      </c>
      <c r="G18" s="751">
        <v>9456</v>
      </c>
      <c r="H18" s="751">
        <v>8774</v>
      </c>
      <c r="I18" s="751">
        <v>7920</v>
      </c>
      <c r="J18" s="751">
        <v>7376</v>
      </c>
      <c r="K18" s="857">
        <v>7330</v>
      </c>
      <c r="L18" s="751">
        <v>6813</v>
      </c>
      <c r="M18" s="751">
        <v>6781</v>
      </c>
      <c r="N18" s="751">
        <v>6632</v>
      </c>
      <c r="O18" s="751">
        <v>5857</v>
      </c>
      <c r="P18" s="751">
        <v>6674</v>
      </c>
      <c r="Q18" s="751">
        <v>6063</v>
      </c>
      <c r="R18" s="828">
        <v>6063</v>
      </c>
      <c r="S18" s="857">
        <v>5959</v>
      </c>
      <c r="T18" s="75" t="s">
        <v>77</v>
      </c>
    </row>
    <row r="19" spans="1:20" ht="12.75" customHeight="1" x14ac:dyDescent="0.2">
      <c r="A19" s="8"/>
      <c r="B19" s="197" t="s">
        <v>68</v>
      </c>
      <c r="C19" s="557">
        <v>125200</v>
      </c>
      <c r="D19" s="558">
        <v>115228</v>
      </c>
      <c r="E19" s="897">
        <v>99728</v>
      </c>
      <c r="F19" s="753">
        <v>70115</v>
      </c>
      <c r="G19" s="753">
        <v>73146</v>
      </c>
      <c r="H19" s="753">
        <v>56900</v>
      </c>
      <c r="I19" s="753">
        <v>56175</v>
      </c>
      <c r="J19" s="753">
        <v>54598</v>
      </c>
      <c r="K19" s="860">
        <v>45730</v>
      </c>
      <c r="L19" s="753">
        <f>79+41106+5265</f>
        <v>46450</v>
      </c>
      <c r="M19" s="753">
        <f>79+41398</f>
        <v>41477</v>
      </c>
      <c r="N19" s="753">
        <f>79+40740</f>
        <v>40819</v>
      </c>
      <c r="O19" s="753">
        <f>79+38421</f>
        <v>38500</v>
      </c>
      <c r="P19" s="753">
        <v>30331</v>
      </c>
      <c r="Q19" s="753">
        <v>28493</v>
      </c>
      <c r="R19" s="753">
        <v>22140</v>
      </c>
      <c r="S19" s="860">
        <v>20625</v>
      </c>
      <c r="T19" s="474" t="s">
        <v>68</v>
      </c>
    </row>
    <row r="20" spans="1:20" ht="12.75" customHeight="1" x14ac:dyDescent="0.2">
      <c r="A20" s="8"/>
      <c r="B20" s="530" t="s">
        <v>47</v>
      </c>
      <c r="C20" s="85" t="s">
        <v>76</v>
      </c>
      <c r="D20" s="86" t="s">
        <v>76</v>
      </c>
      <c r="E20" s="832" t="s">
        <v>76</v>
      </c>
      <c r="F20" s="832" t="s">
        <v>76</v>
      </c>
      <c r="G20" s="832" t="s">
        <v>76</v>
      </c>
      <c r="H20" s="832" t="s">
        <v>76</v>
      </c>
      <c r="I20" s="832" t="s">
        <v>76</v>
      </c>
      <c r="J20" s="832" t="s">
        <v>76</v>
      </c>
      <c r="K20" s="877" t="s">
        <v>76</v>
      </c>
      <c r="L20" s="832" t="s">
        <v>76</v>
      </c>
      <c r="M20" s="832" t="s">
        <v>76</v>
      </c>
      <c r="N20" s="832" t="s">
        <v>76</v>
      </c>
      <c r="O20" s="832" t="s">
        <v>76</v>
      </c>
      <c r="P20" s="832" t="s">
        <v>76</v>
      </c>
      <c r="Q20" s="832" t="s">
        <v>76</v>
      </c>
      <c r="R20" s="832" t="s">
        <v>76</v>
      </c>
      <c r="S20" s="877" t="s">
        <v>76</v>
      </c>
      <c r="T20" s="75" t="s">
        <v>47</v>
      </c>
    </row>
    <row r="21" spans="1:20" ht="12.75" customHeight="1" x14ac:dyDescent="0.2">
      <c r="A21" s="8"/>
      <c r="B21" s="197" t="s">
        <v>51</v>
      </c>
      <c r="C21" s="557"/>
      <c r="D21" s="558"/>
      <c r="E21" s="753">
        <v>11085</v>
      </c>
      <c r="F21" s="753">
        <v>9146</v>
      </c>
      <c r="G21" s="753">
        <v>8105</v>
      </c>
      <c r="H21" s="753">
        <v>7911</v>
      </c>
      <c r="I21" s="753">
        <v>7952</v>
      </c>
      <c r="J21" s="753">
        <v>8706</v>
      </c>
      <c r="K21" s="860">
        <v>8871</v>
      </c>
      <c r="L21" s="753">
        <f>5225+3623</f>
        <v>8848</v>
      </c>
      <c r="M21" s="753">
        <v>5256</v>
      </c>
      <c r="N21" s="753">
        <v>5228</v>
      </c>
      <c r="O21" s="753">
        <v>6043</v>
      </c>
      <c r="P21" s="753">
        <v>6038</v>
      </c>
      <c r="Q21" s="753">
        <v>6126</v>
      </c>
      <c r="R21" s="753">
        <v>6320</v>
      </c>
      <c r="S21" s="860">
        <v>6815</v>
      </c>
      <c r="T21" s="474" t="s">
        <v>51</v>
      </c>
    </row>
    <row r="22" spans="1:20" ht="12.75" customHeight="1" x14ac:dyDescent="0.2">
      <c r="A22" s="8"/>
      <c r="B22" s="530" t="s">
        <v>52</v>
      </c>
      <c r="C22" s="88"/>
      <c r="D22" s="87"/>
      <c r="E22" s="828">
        <v>12860</v>
      </c>
      <c r="F22" s="751">
        <v>13155</v>
      </c>
      <c r="G22" s="751">
        <v>12509</v>
      </c>
      <c r="H22" s="751">
        <v>12391</v>
      </c>
      <c r="I22" s="751">
        <v>12144</v>
      </c>
      <c r="J22" s="751">
        <v>13134</v>
      </c>
      <c r="K22" s="857">
        <v>13192</v>
      </c>
      <c r="L22" s="751">
        <f>9358+29+4006</f>
        <v>13393</v>
      </c>
      <c r="M22" s="751">
        <f>9457+29</f>
        <v>9486</v>
      </c>
      <c r="N22" s="751">
        <f>9638+10</f>
        <v>9648</v>
      </c>
      <c r="O22" s="751">
        <f>9551+10</f>
        <v>9561</v>
      </c>
      <c r="P22" s="751">
        <v>9238</v>
      </c>
      <c r="Q22" s="751">
        <v>9212</v>
      </c>
      <c r="R22" s="751">
        <v>9112</v>
      </c>
      <c r="S22" s="857">
        <v>9202</v>
      </c>
      <c r="T22" s="75" t="s">
        <v>52</v>
      </c>
    </row>
    <row r="23" spans="1:20" ht="12.75" customHeight="1" x14ac:dyDescent="0.2">
      <c r="A23" s="8"/>
      <c r="B23" s="197" t="s">
        <v>69</v>
      </c>
      <c r="C23" s="557">
        <v>4230</v>
      </c>
      <c r="D23" s="558">
        <v>3650</v>
      </c>
      <c r="E23" s="753">
        <v>2719</v>
      </c>
      <c r="F23" s="753">
        <v>2626</v>
      </c>
      <c r="G23" s="753">
        <v>2878</v>
      </c>
      <c r="H23" s="753">
        <v>3092</v>
      </c>
      <c r="I23" s="753">
        <v>3328</v>
      </c>
      <c r="J23" s="753">
        <v>3206</v>
      </c>
      <c r="K23" s="860">
        <v>3222</v>
      </c>
      <c r="L23" s="753">
        <f>3332+124</f>
        <v>3456</v>
      </c>
      <c r="M23" s="753">
        <v>3526</v>
      </c>
      <c r="N23" s="753">
        <v>3836</v>
      </c>
      <c r="O23" s="753">
        <v>3895</v>
      </c>
      <c r="P23" s="753">
        <v>3895</v>
      </c>
      <c r="Q23" s="842">
        <f>P23</f>
        <v>3895</v>
      </c>
      <c r="R23" s="842">
        <v>3895</v>
      </c>
      <c r="S23" s="878">
        <v>3895</v>
      </c>
      <c r="T23" s="474" t="s">
        <v>69</v>
      </c>
    </row>
    <row r="24" spans="1:20" ht="12.75" customHeight="1" x14ac:dyDescent="0.2">
      <c r="A24" s="8"/>
      <c r="B24" s="530" t="s">
        <v>50</v>
      </c>
      <c r="C24" s="88"/>
      <c r="D24" s="87"/>
      <c r="E24" s="751"/>
      <c r="F24" s="751">
        <v>23528</v>
      </c>
      <c r="G24" s="751">
        <v>22789</v>
      </c>
      <c r="H24" s="751">
        <v>21819</v>
      </c>
      <c r="I24" s="751">
        <v>22178</v>
      </c>
      <c r="J24" s="751">
        <v>19783</v>
      </c>
      <c r="K24" s="857">
        <v>19130</v>
      </c>
      <c r="L24" s="751">
        <f>95+13080+649</f>
        <v>13824</v>
      </c>
      <c r="M24" s="751">
        <f>95+11624</f>
        <v>11719</v>
      </c>
      <c r="N24" s="751">
        <f>1+95+11670</f>
        <v>11766</v>
      </c>
      <c r="O24" s="828">
        <v>11700</v>
      </c>
      <c r="P24" s="828">
        <v>11700</v>
      </c>
      <c r="Q24" s="828">
        <f>P24</f>
        <v>11700</v>
      </c>
      <c r="R24" s="828">
        <v>11700</v>
      </c>
      <c r="S24" s="855">
        <v>11700</v>
      </c>
      <c r="T24" s="75" t="s">
        <v>50</v>
      </c>
    </row>
    <row r="25" spans="1:20" ht="12.75" customHeight="1" x14ac:dyDescent="0.2">
      <c r="A25" s="8"/>
      <c r="B25" s="197" t="s">
        <v>53</v>
      </c>
      <c r="C25" s="559" t="s">
        <v>76</v>
      </c>
      <c r="D25" s="560" t="s">
        <v>76</v>
      </c>
      <c r="E25" s="844" t="s">
        <v>76</v>
      </c>
      <c r="F25" s="844" t="s">
        <v>76</v>
      </c>
      <c r="G25" s="844" t="s">
        <v>76</v>
      </c>
      <c r="H25" s="844" t="s">
        <v>76</v>
      </c>
      <c r="I25" s="844" t="s">
        <v>76</v>
      </c>
      <c r="J25" s="844" t="s">
        <v>76</v>
      </c>
      <c r="K25" s="879" t="s">
        <v>76</v>
      </c>
      <c r="L25" s="844" t="s">
        <v>76</v>
      </c>
      <c r="M25" s="844" t="s">
        <v>76</v>
      </c>
      <c r="N25" s="844" t="s">
        <v>76</v>
      </c>
      <c r="O25" s="844" t="s">
        <v>76</v>
      </c>
      <c r="P25" s="844" t="s">
        <v>76</v>
      </c>
      <c r="Q25" s="844" t="s">
        <v>76</v>
      </c>
      <c r="R25" s="844" t="s">
        <v>76</v>
      </c>
      <c r="S25" s="879" t="s">
        <v>76</v>
      </c>
      <c r="T25" s="474" t="s">
        <v>53</v>
      </c>
    </row>
    <row r="26" spans="1:20" ht="12.75" customHeight="1" x14ac:dyDescent="0.2">
      <c r="A26" s="8"/>
      <c r="B26" s="530" t="s">
        <v>61</v>
      </c>
      <c r="C26" s="88">
        <v>18750</v>
      </c>
      <c r="D26" s="87">
        <v>11355</v>
      </c>
      <c r="E26" s="751">
        <v>6697</v>
      </c>
      <c r="F26" s="751">
        <v>4700</v>
      </c>
      <c r="G26" s="751">
        <v>3331</v>
      </c>
      <c r="H26" s="751">
        <v>2099</v>
      </c>
      <c r="I26" s="828">
        <v>1807</v>
      </c>
      <c r="J26" s="828"/>
      <c r="K26" s="855"/>
      <c r="L26" s="828"/>
      <c r="M26" s="828"/>
      <c r="N26" s="828"/>
      <c r="O26" s="828"/>
      <c r="P26" s="828"/>
      <c r="Q26" s="828"/>
      <c r="R26" s="828"/>
      <c r="S26" s="855"/>
      <c r="T26" s="75" t="s">
        <v>61</v>
      </c>
    </row>
    <row r="27" spans="1:20" ht="12.75" customHeight="1" x14ac:dyDescent="0.2">
      <c r="A27" s="8"/>
      <c r="B27" s="197" t="s">
        <v>70</v>
      </c>
      <c r="C27" s="557">
        <v>39109</v>
      </c>
      <c r="D27" s="558">
        <v>38689</v>
      </c>
      <c r="E27" s="753">
        <v>34330</v>
      </c>
      <c r="F27" s="753">
        <v>23970</v>
      </c>
      <c r="G27" s="753">
        <v>24988</v>
      </c>
      <c r="H27" s="753">
        <v>24089</v>
      </c>
      <c r="I27" s="753">
        <v>22655</v>
      </c>
      <c r="J27" s="753">
        <v>22262</v>
      </c>
      <c r="K27" s="860">
        <v>22655</v>
      </c>
      <c r="L27" s="753">
        <f>67+16552+43+229</f>
        <v>16891</v>
      </c>
      <c r="M27" s="753">
        <f>59+18185+229</f>
        <v>18473</v>
      </c>
      <c r="N27" s="753">
        <f>56+30470</f>
        <v>30526</v>
      </c>
      <c r="O27" s="753">
        <f>52+27095</f>
        <v>27147</v>
      </c>
      <c r="P27" s="753">
        <v>28605</v>
      </c>
      <c r="Q27" s="753">
        <v>17412</v>
      </c>
      <c r="R27" s="753">
        <f>18056+48</f>
        <v>18104</v>
      </c>
      <c r="S27" s="860">
        <f>17429+48</f>
        <v>17477</v>
      </c>
      <c r="T27" s="474" t="s">
        <v>70</v>
      </c>
    </row>
    <row r="28" spans="1:20" ht="12.75" customHeight="1" x14ac:dyDescent="0.2">
      <c r="A28" s="8"/>
      <c r="B28" s="530" t="s">
        <v>54</v>
      </c>
      <c r="C28" s="88">
        <v>229222</v>
      </c>
      <c r="D28" s="87">
        <v>231364</v>
      </c>
      <c r="E28" s="880">
        <v>275582</v>
      </c>
      <c r="F28" s="751">
        <v>130116</v>
      </c>
      <c r="G28" s="751">
        <v>130660</v>
      </c>
      <c r="H28" s="751">
        <v>95379</v>
      </c>
      <c r="I28" s="751">
        <v>110985</v>
      </c>
      <c r="J28" s="751">
        <v>76785</v>
      </c>
      <c r="K28" s="857">
        <v>75164</v>
      </c>
      <c r="L28" s="751">
        <v>74146</v>
      </c>
      <c r="M28" s="751">
        <v>73993</v>
      </c>
      <c r="N28" s="751">
        <v>74408</v>
      </c>
      <c r="O28" s="751">
        <v>72725</v>
      </c>
      <c r="P28" s="751">
        <v>68151</v>
      </c>
      <c r="Q28" s="751">
        <v>65102</v>
      </c>
      <c r="R28" s="751">
        <v>63269</v>
      </c>
      <c r="S28" s="857">
        <v>62255</v>
      </c>
      <c r="T28" s="75" t="s">
        <v>54</v>
      </c>
    </row>
    <row r="29" spans="1:20" ht="12.75" customHeight="1" x14ac:dyDescent="0.2">
      <c r="A29" s="8"/>
      <c r="B29" s="197" t="s">
        <v>71</v>
      </c>
      <c r="C29" s="557">
        <v>9045</v>
      </c>
      <c r="D29" s="558">
        <v>5860</v>
      </c>
      <c r="E29" s="753">
        <v>4579</v>
      </c>
      <c r="F29" s="753">
        <v>4162</v>
      </c>
      <c r="G29" s="753">
        <v>4179</v>
      </c>
      <c r="H29" s="753">
        <v>4345</v>
      </c>
      <c r="I29" s="753">
        <v>3979</v>
      </c>
      <c r="J29" s="753">
        <v>3544</v>
      </c>
      <c r="K29" s="860">
        <v>3495</v>
      </c>
      <c r="L29" s="753">
        <f>2957+240</f>
        <v>3197</v>
      </c>
      <c r="M29" s="753">
        <v>2953</v>
      </c>
      <c r="N29" s="753">
        <v>3043</v>
      </c>
      <c r="O29" s="753"/>
      <c r="P29" s="753">
        <v>3194</v>
      </c>
      <c r="Q29" s="753">
        <v>3170</v>
      </c>
      <c r="R29" s="842">
        <v>3170</v>
      </c>
      <c r="S29" s="878">
        <v>3170</v>
      </c>
      <c r="T29" s="474" t="s">
        <v>71</v>
      </c>
    </row>
    <row r="30" spans="1:20" ht="12.75" customHeight="1" x14ac:dyDescent="0.2">
      <c r="A30" s="8"/>
      <c r="B30" s="530" t="s">
        <v>55</v>
      </c>
      <c r="C30" s="88"/>
      <c r="D30" s="87">
        <v>144520</v>
      </c>
      <c r="E30" s="751">
        <v>166086</v>
      </c>
      <c r="F30" s="751">
        <v>117982</v>
      </c>
      <c r="G30" s="751">
        <v>96765</v>
      </c>
      <c r="H30" s="751">
        <v>101824</v>
      </c>
      <c r="I30" s="751">
        <v>75478</v>
      </c>
      <c r="J30" s="751">
        <v>64299</v>
      </c>
      <c r="K30" s="857">
        <v>65175</v>
      </c>
      <c r="L30" s="751">
        <f>50849+94+800+1232+450+11183+1308</f>
        <v>65916</v>
      </c>
      <c r="M30" s="751">
        <f>50151+1290+1625+550</f>
        <v>53616</v>
      </c>
      <c r="N30" s="751">
        <f>42925+1398+1735+220+585</f>
        <v>46863</v>
      </c>
      <c r="O30" s="751">
        <f>41754+2600+1719+220+585</f>
        <v>46878</v>
      </c>
      <c r="P30" s="751">
        <v>72605</v>
      </c>
      <c r="Q30" s="751">
        <v>69285</v>
      </c>
      <c r="R30" s="751">
        <v>72638</v>
      </c>
      <c r="S30" s="898">
        <f>36821+3571+1609+570</f>
        <v>42571</v>
      </c>
      <c r="T30" s="75" t="s">
        <v>55</v>
      </c>
    </row>
    <row r="31" spans="1:20" ht="12.75" customHeight="1" x14ac:dyDescent="0.2">
      <c r="A31" s="8"/>
      <c r="B31" s="197" t="s">
        <v>57</v>
      </c>
      <c r="C31" s="557"/>
      <c r="D31" s="558"/>
      <c r="E31" s="753">
        <v>8692</v>
      </c>
      <c r="F31" s="753">
        <v>6258</v>
      </c>
      <c r="G31" s="753">
        <v>5981</v>
      </c>
      <c r="H31" s="753">
        <v>5774</v>
      </c>
      <c r="I31" s="753">
        <v>4770</v>
      </c>
      <c r="J31" s="753">
        <v>4627</v>
      </c>
      <c r="K31" s="860">
        <v>4465</v>
      </c>
      <c r="L31" s="753">
        <f>3995+513</f>
        <v>4508</v>
      </c>
      <c r="M31" s="753">
        <v>3979</v>
      </c>
      <c r="N31" s="753">
        <v>3921</v>
      </c>
      <c r="O31" s="753">
        <v>3905</v>
      </c>
      <c r="P31" s="753">
        <v>3211</v>
      </c>
      <c r="Q31" s="753">
        <v>3142</v>
      </c>
      <c r="R31" s="753">
        <v>3120</v>
      </c>
      <c r="S31" s="860">
        <v>3142</v>
      </c>
      <c r="T31" s="474" t="s">
        <v>57</v>
      </c>
    </row>
    <row r="32" spans="1:20" ht="12.75" customHeight="1" x14ac:dyDescent="0.2">
      <c r="A32" s="8"/>
      <c r="B32" s="530" t="s">
        <v>56</v>
      </c>
      <c r="C32" s="85"/>
      <c r="D32" s="86"/>
      <c r="E32" s="832"/>
      <c r="F32" s="751">
        <v>26975</v>
      </c>
      <c r="G32" s="751">
        <v>24587</v>
      </c>
      <c r="H32" s="751">
        <v>24549</v>
      </c>
      <c r="I32" s="751">
        <v>23973</v>
      </c>
      <c r="J32" s="751">
        <v>24856</v>
      </c>
      <c r="K32" s="857">
        <v>16370</v>
      </c>
      <c r="L32" s="751">
        <f>17920+11232</f>
        <v>29152</v>
      </c>
      <c r="M32" s="751">
        <v>18115</v>
      </c>
      <c r="N32" s="751">
        <v>17536</v>
      </c>
      <c r="O32" s="751">
        <v>17241</v>
      </c>
      <c r="P32" s="751">
        <v>16964</v>
      </c>
      <c r="Q32" s="751">
        <v>17319</v>
      </c>
      <c r="R32" s="751">
        <v>17145</v>
      </c>
      <c r="S32" s="857">
        <v>17522</v>
      </c>
      <c r="T32" s="75" t="s">
        <v>56</v>
      </c>
    </row>
    <row r="33" spans="1:20" ht="12.75" customHeight="1" x14ac:dyDescent="0.2">
      <c r="A33" s="8"/>
      <c r="B33" s="197" t="s">
        <v>72</v>
      </c>
      <c r="C33" s="557">
        <v>22835</v>
      </c>
      <c r="D33" s="558">
        <v>21472</v>
      </c>
      <c r="E33" s="753">
        <v>15200</v>
      </c>
      <c r="F33" s="753">
        <v>12630</v>
      </c>
      <c r="G33" s="753">
        <v>12259</v>
      </c>
      <c r="H33" s="753">
        <v>11842</v>
      </c>
      <c r="I33" s="753">
        <v>11627</v>
      </c>
      <c r="J33" s="753">
        <v>11738</v>
      </c>
      <c r="K33" s="860">
        <v>11216</v>
      </c>
      <c r="L33" s="753">
        <f>10971+53</f>
        <v>11024</v>
      </c>
      <c r="M33" s="753">
        <v>10790</v>
      </c>
      <c r="N33" s="753">
        <v>10934</v>
      </c>
      <c r="O33" s="753">
        <v>10524</v>
      </c>
      <c r="P33" s="753">
        <v>10464</v>
      </c>
      <c r="Q33" s="753">
        <v>10364</v>
      </c>
      <c r="R33" s="753">
        <v>9817</v>
      </c>
      <c r="S33" s="860">
        <v>9457</v>
      </c>
      <c r="T33" s="474" t="s">
        <v>72</v>
      </c>
    </row>
    <row r="34" spans="1:20" ht="12.75" customHeight="1" x14ac:dyDescent="0.2">
      <c r="A34" s="8"/>
      <c r="B34" s="530" t="s">
        <v>73</v>
      </c>
      <c r="C34" s="88">
        <v>53394</v>
      </c>
      <c r="D34" s="87">
        <v>45890</v>
      </c>
      <c r="E34" s="751">
        <v>27470</v>
      </c>
      <c r="F34" s="751">
        <v>17596</v>
      </c>
      <c r="G34" s="751">
        <v>17600</v>
      </c>
      <c r="H34" s="751">
        <v>9900</v>
      </c>
      <c r="I34" s="751">
        <v>8500</v>
      </c>
      <c r="J34" s="751">
        <v>13649</v>
      </c>
      <c r="K34" s="857">
        <v>13649</v>
      </c>
      <c r="L34" s="751"/>
      <c r="M34" s="751"/>
      <c r="N34" s="751"/>
      <c r="O34" s="751"/>
      <c r="P34" s="751"/>
      <c r="Q34" s="751"/>
      <c r="R34" s="751"/>
      <c r="S34" s="857"/>
      <c r="T34" s="75" t="s">
        <v>73</v>
      </c>
    </row>
    <row r="35" spans="1:20" ht="12.75" customHeight="1" x14ac:dyDescent="0.2">
      <c r="A35" s="8"/>
      <c r="B35" s="197" t="s">
        <v>62</v>
      </c>
      <c r="C35" s="557">
        <v>389807</v>
      </c>
      <c r="D35" s="558">
        <v>141170</v>
      </c>
      <c r="E35" s="753">
        <v>34403</v>
      </c>
      <c r="F35" s="753"/>
      <c r="G35" s="842">
        <v>19050</v>
      </c>
      <c r="H35" s="842">
        <v>19106</v>
      </c>
      <c r="I35" s="586"/>
      <c r="J35" s="586"/>
      <c r="K35" s="592"/>
      <c r="L35" s="586"/>
      <c r="M35" s="586"/>
      <c r="N35" s="586">
        <v>8284</v>
      </c>
      <c r="O35" s="586"/>
      <c r="P35" s="586"/>
      <c r="Q35" s="586"/>
      <c r="R35" s="586"/>
      <c r="S35" s="592"/>
      <c r="T35" s="474" t="s">
        <v>62</v>
      </c>
    </row>
    <row r="36" spans="1:20" ht="12.75" customHeight="1" x14ac:dyDescent="0.2">
      <c r="A36" s="8"/>
      <c r="B36" s="529" t="s">
        <v>234</v>
      </c>
      <c r="C36" s="81"/>
      <c r="D36" s="888"/>
      <c r="E36" s="899"/>
      <c r="F36" s="899"/>
      <c r="G36" s="874"/>
      <c r="H36" s="874"/>
      <c r="I36" s="900"/>
      <c r="J36" s="900"/>
      <c r="K36" s="806"/>
      <c r="L36" s="900"/>
      <c r="M36" s="900"/>
      <c r="N36" s="900"/>
      <c r="O36" s="900"/>
      <c r="P36" s="900"/>
      <c r="Q36" s="900"/>
      <c r="R36" s="900"/>
      <c r="S36" s="806"/>
      <c r="T36" s="74" t="s">
        <v>234</v>
      </c>
    </row>
    <row r="37" spans="1:20" ht="12.75" customHeight="1" x14ac:dyDescent="0.2">
      <c r="A37" s="8"/>
      <c r="B37" s="197" t="s">
        <v>223</v>
      </c>
      <c r="C37" s="557">
        <v>0</v>
      </c>
      <c r="D37" s="558">
        <v>12852</v>
      </c>
      <c r="E37" s="586" t="s">
        <v>76</v>
      </c>
      <c r="F37" s="586" t="s">
        <v>76</v>
      </c>
      <c r="G37" s="586" t="s">
        <v>76</v>
      </c>
      <c r="H37" s="586" t="s">
        <v>76</v>
      </c>
      <c r="I37" s="586" t="s">
        <v>76</v>
      </c>
      <c r="J37" s="586" t="s">
        <v>76</v>
      </c>
      <c r="K37" s="592" t="s">
        <v>76</v>
      </c>
      <c r="L37" s="586" t="s">
        <v>76</v>
      </c>
      <c r="M37" s="586" t="s">
        <v>76</v>
      </c>
      <c r="N37" s="586" t="s">
        <v>76</v>
      </c>
      <c r="O37" s="586" t="s">
        <v>76</v>
      </c>
      <c r="P37" s="586" t="s">
        <v>76</v>
      </c>
      <c r="Q37" s="586" t="s">
        <v>76</v>
      </c>
      <c r="R37" s="586" t="s">
        <v>76</v>
      </c>
      <c r="S37" s="592" t="s">
        <v>76</v>
      </c>
      <c r="T37" s="474" t="s">
        <v>223</v>
      </c>
    </row>
    <row r="38" spans="1:20" ht="12.75" customHeight="1" x14ac:dyDescent="0.2">
      <c r="A38" s="8"/>
      <c r="B38" s="530" t="s">
        <v>1</v>
      </c>
      <c r="C38" s="88"/>
      <c r="D38" s="87"/>
      <c r="E38" s="751"/>
      <c r="F38" s="751"/>
      <c r="G38" s="751"/>
      <c r="H38" s="751"/>
      <c r="I38" s="751"/>
      <c r="J38" s="751">
        <v>1501</v>
      </c>
      <c r="K38" s="857">
        <v>1525</v>
      </c>
      <c r="L38" s="751">
        <v>1553</v>
      </c>
      <c r="M38" s="751">
        <v>1498</v>
      </c>
      <c r="N38" s="751">
        <v>1498</v>
      </c>
      <c r="O38" s="751">
        <v>1323</v>
      </c>
      <c r="P38" s="751">
        <v>1144</v>
      </c>
      <c r="Q38" s="751">
        <v>1007</v>
      </c>
      <c r="R38" s="751">
        <v>1011</v>
      </c>
      <c r="S38" s="855">
        <v>1011</v>
      </c>
      <c r="T38" s="75" t="s">
        <v>1</v>
      </c>
    </row>
    <row r="39" spans="1:20" ht="12.75" customHeight="1" x14ac:dyDescent="0.2">
      <c r="A39" s="8"/>
      <c r="B39" s="197" t="s">
        <v>222</v>
      </c>
      <c r="C39" s="557"/>
      <c r="D39" s="558"/>
      <c r="E39" s="753"/>
      <c r="F39" s="753"/>
      <c r="G39" s="753"/>
      <c r="H39" s="753"/>
      <c r="I39" s="753"/>
      <c r="J39" s="753"/>
      <c r="K39" s="860"/>
      <c r="L39" s="753"/>
      <c r="M39" s="753"/>
      <c r="N39" s="753"/>
      <c r="O39" s="753"/>
      <c r="P39" s="753"/>
      <c r="Q39" s="753">
        <v>8447</v>
      </c>
      <c r="R39" s="753">
        <v>8449</v>
      </c>
      <c r="S39" s="860">
        <v>8452</v>
      </c>
      <c r="T39" s="474" t="s">
        <v>222</v>
      </c>
    </row>
    <row r="40" spans="1:20" ht="12.75" customHeight="1" x14ac:dyDescent="0.2">
      <c r="A40" s="8"/>
      <c r="B40" s="530" t="s">
        <v>58</v>
      </c>
      <c r="C40" s="90">
        <v>17374</v>
      </c>
      <c r="D40" s="89">
        <v>23228</v>
      </c>
      <c r="E40" s="585">
        <v>21941</v>
      </c>
      <c r="F40" s="751">
        <v>17872</v>
      </c>
      <c r="G40" s="751">
        <v>17571</v>
      </c>
      <c r="H40" s="751">
        <v>17030</v>
      </c>
      <c r="I40" s="751">
        <v>16841</v>
      </c>
      <c r="J40" s="751">
        <v>16004</v>
      </c>
      <c r="K40" s="857">
        <v>17499</v>
      </c>
      <c r="L40" s="751">
        <f>16320+1909</f>
        <v>18229</v>
      </c>
      <c r="M40" s="751">
        <v>17041</v>
      </c>
      <c r="N40" s="751">
        <v>17079</v>
      </c>
      <c r="O40" s="751">
        <v>17607</v>
      </c>
      <c r="P40" s="751">
        <v>17773</v>
      </c>
      <c r="Q40" s="751">
        <v>18200</v>
      </c>
      <c r="R40" s="751">
        <v>18167</v>
      </c>
      <c r="S40" s="857">
        <v>18607</v>
      </c>
      <c r="T40" s="75" t="s">
        <v>58</v>
      </c>
    </row>
    <row r="41" spans="1:20" ht="12.75" customHeight="1" x14ac:dyDescent="0.2">
      <c r="A41" s="8"/>
      <c r="B41" s="195" t="s">
        <v>44</v>
      </c>
      <c r="C41" s="889" t="s">
        <v>76</v>
      </c>
      <c r="D41" s="890" t="s">
        <v>76</v>
      </c>
      <c r="E41" s="901" t="s">
        <v>76</v>
      </c>
      <c r="F41" s="901" t="s">
        <v>76</v>
      </c>
      <c r="G41" s="901" t="s">
        <v>76</v>
      </c>
      <c r="H41" s="901" t="s">
        <v>76</v>
      </c>
      <c r="I41" s="901" t="s">
        <v>76</v>
      </c>
      <c r="J41" s="901" t="s">
        <v>76</v>
      </c>
      <c r="K41" s="902" t="s">
        <v>76</v>
      </c>
      <c r="L41" s="901" t="s">
        <v>76</v>
      </c>
      <c r="M41" s="901" t="s">
        <v>76</v>
      </c>
      <c r="N41" s="901" t="s">
        <v>76</v>
      </c>
      <c r="O41" s="901" t="s">
        <v>76</v>
      </c>
      <c r="P41" s="901" t="s">
        <v>76</v>
      </c>
      <c r="Q41" s="901" t="s">
        <v>76</v>
      </c>
      <c r="R41" s="903" t="s">
        <v>76</v>
      </c>
      <c r="S41" s="902" t="s">
        <v>76</v>
      </c>
      <c r="T41" s="574" t="s">
        <v>44</v>
      </c>
    </row>
    <row r="42" spans="1:20" ht="12.75" customHeight="1" x14ac:dyDescent="0.2">
      <c r="A42" s="8"/>
      <c r="B42" s="530" t="s">
        <v>74</v>
      </c>
      <c r="C42" s="88"/>
      <c r="D42" s="87"/>
      <c r="E42" s="751"/>
      <c r="F42" s="751"/>
      <c r="G42" s="751">
        <v>2741</v>
      </c>
      <c r="H42" s="751"/>
      <c r="I42" s="751"/>
      <c r="J42" s="751"/>
      <c r="K42" s="857"/>
      <c r="L42" s="751"/>
      <c r="M42" s="751"/>
      <c r="N42" s="751"/>
      <c r="O42" s="751"/>
      <c r="P42" s="751"/>
      <c r="Q42" s="751"/>
      <c r="R42" s="751"/>
      <c r="S42" s="857"/>
      <c r="T42" s="75" t="s">
        <v>74</v>
      </c>
    </row>
    <row r="43" spans="1:20" ht="12.75" customHeight="1" x14ac:dyDescent="0.2">
      <c r="A43" s="8"/>
      <c r="B43" s="197" t="s">
        <v>45</v>
      </c>
      <c r="C43" s="562">
        <v>32545</v>
      </c>
      <c r="D43" s="561">
        <v>31417</v>
      </c>
      <c r="E43" s="847">
        <v>27104</v>
      </c>
      <c r="F43" s="753">
        <v>19894</v>
      </c>
      <c r="G43" s="753">
        <v>20394</v>
      </c>
      <c r="H43" s="753">
        <v>19553</v>
      </c>
      <c r="I43" s="753">
        <v>19497</v>
      </c>
      <c r="J43" s="753">
        <v>18917</v>
      </c>
      <c r="K43" s="863">
        <v>18339</v>
      </c>
      <c r="L43" s="847">
        <f>29+10888</f>
        <v>10917</v>
      </c>
      <c r="M43" s="847">
        <v>10464</v>
      </c>
      <c r="N43" s="847">
        <f>21+11495</f>
        <v>11516</v>
      </c>
      <c r="O43" s="847">
        <f>21+9121</f>
        <v>9142</v>
      </c>
      <c r="P43" s="847">
        <v>8794</v>
      </c>
      <c r="Q43" s="847">
        <v>8289</v>
      </c>
      <c r="R43" s="847">
        <v>7869</v>
      </c>
      <c r="S43" s="863">
        <v>7360</v>
      </c>
      <c r="T43" s="475" t="s">
        <v>45</v>
      </c>
    </row>
    <row r="44" spans="1:20" ht="25.5" customHeight="1" x14ac:dyDescent="0.2">
      <c r="B44" s="975" t="s">
        <v>205</v>
      </c>
      <c r="C44" s="975"/>
      <c r="D44" s="975"/>
      <c r="E44" s="975"/>
      <c r="F44" s="975"/>
      <c r="G44" s="975"/>
      <c r="H44" s="975"/>
      <c r="I44" s="975"/>
      <c r="J44" s="975"/>
      <c r="K44" s="975"/>
      <c r="L44" s="975"/>
      <c r="M44" s="975"/>
      <c r="N44" s="975"/>
      <c r="O44" s="975"/>
      <c r="P44" s="975"/>
      <c r="Q44" s="975"/>
      <c r="R44" s="975"/>
      <c r="S44" s="1022"/>
      <c r="T44" s="975"/>
    </row>
    <row r="45" spans="1:20" x14ac:dyDescent="0.2">
      <c r="B45" s="406" t="s">
        <v>0</v>
      </c>
      <c r="C45" s="422"/>
      <c r="D45" s="422"/>
      <c r="E45" s="422"/>
      <c r="F45" s="422"/>
      <c r="G45" s="422"/>
      <c r="H45" s="422"/>
      <c r="I45" s="422"/>
    </row>
    <row r="46" spans="1:20" ht="12.75" customHeight="1" x14ac:dyDescent="0.2">
      <c r="B46" s="423" t="s">
        <v>107</v>
      </c>
      <c r="C46" s="427"/>
      <c r="D46" s="427"/>
      <c r="E46" s="427"/>
      <c r="F46" s="427"/>
      <c r="G46" s="427"/>
      <c r="H46" s="427"/>
      <c r="I46" s="427"/>
    </row>
    <row r="47" spans="1:20" ht="12.75" customHeight="1" x14ac:dyDescent="0.2">
      <c r="B47" s="427" t="s">
        <v>206</v>
      </c>
      <c r="C47" s="427"/>
      <c r="D47" s="427"/>
      <c r="E47" s="427"/>
      <c r="F47" s="427"/>
      <c r="G47" s="427"/>
      <c r="H47" s="427"/>
      <c r="I47" s="427"/>
    </row>
    <row r="48" spans="1:20" x14ac:dyDescent="0.2">
      <c r="B48" s="408" t="s">
        <v>207</v>
      </c>
      <c r="D48" s="419"/>
      <c r="E48" s="419"/>
      <c r="F48" s="419"/>
      <c r="G48" s="419"/>
      <c r="H48" s="419"/>
      <c r="I48" s="419"/>
    </row>
    <row r="49" spans="2:3" x14ac:dyDescent="0.2">
      <c r="C49" s="261"/>
    </row>
    <row r="51" spans="2:3" x14ac:dyDescent="0.2">
      <c r="B51" s="261"/>
    </row>
    <row r="52" spans="2:3" ht="15" x14ac:dyDescent="0.2">
      <c r="B52" s="26"/>
    </row>
  </sheetData>
  <mergeCells count="3">
    <mergeCell ref="B2:T2"/>
    <mergeCell ref="B3:T3"/>
    <mergeCell ref="B44:T44"/>
  </mergeCells>
  <phoneticPr fontId="4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AF46"/>
  <sheetViews>
    <sheetView zoomScaleNormal="100" workbookViewId="0">
      <selection activeCell="V43" sqref="V43"/>
    </sheetView>
  </sheetViews>
  <sheetFormatPr defaultRowHeight="11.25" x14ac:dyDescent="0.2"/>
  <cols>
    <col min="1" max="1" width="3.7109375" style="3" customWidth="1"/>
    <col min="2" max="2" width="4" style="3" customWidth="1"/>
    <col min="3" max="4" width="5.7109375" style="3" hidden="1" customWidth="1"/>
    <col min="5" max="20" width="5.7109375" style="3" customWidth="1"/>
    <col min="21" max="28" width="6" style="3" customWidth="1"/>
    <col min="29" max="29" width="6.28515625" style="3" bestFit="1" customWidth="1"/>
    <col min="30" max="30" width="1.85546875" style="3" customWidth="1"/>
    <col min="31" max="32" width="6.5703125" style="3" customWidth="1"/>
    <col min="33" max="16384" width="9.140625" style="3"/>
  </cols>
  <sheetData>
    <row r="1" spans="1:32" ht="14.25" customHeight="1" x14ac:dyDescent="0.2">
      <c r="B1" s="963"/>
      <c r="C1" s="963"/>
      <c r="D1" s="32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AC1" s="16" t="s">
        <v>147</v>
      </c>
    </row>
    <row r="2" spans="1:32" s="63" customFormat="1" ht="30" customHeight="1" x14ac:dyDescent="0.2">
      <c r="B2" s="964" t="s">
        <v>142</v>
      </c>
      <c r="C2" s="964"/>
      <c r="D2" s="964"/>
      <c r="E2" s="964"/>
      <c r="F2" s="964"/>
      <c r="G2" s="964"/>
      <c r="H2" s="964"/>
      <c r="I2" s="964"/>
      <c r="J2" s="964"/>
      <c r="K2" s="964"/>
      <c r="L2" s="964"/>
      <c r="M2" s="964"/>
      <c r="N2" s="964"/>
      <c r="O2" s="964"/>
      <c r="P2" s="964"/>
      <c r="Q2" s="964"/>
      <c r="R2" s="964"/>
      <c r="S2" s="964"/>
      <c r="T2" s="964"/>
      <c r="U2" s="964"/>
      <c r="V2" s="964"/>
      <c r="W2" s="964"/>
      <c r="X2" s="964"/>
      <c r="Y2" s="964"/>
      <c r="Z2" s="964"/>
      <c r="AA2" s="964"/>
      <c r="AB2" s="964"/>
      <c r="AC2" s="964"/>
      <c r="AD2" s="98"/>
      <c r="AF2" s="540"/>
    </row>
    <row r="3" spans="1:32" ht="18" customHeight="1" x14ac:dyDescent="0.2">
      <c r="B3" s="965" t="s">
        <v>10</v>
      </c>
      <c r="C3" s="965"/>
      <c r="D3" s="965"/>
      <c r="E3" s="965"/>
      <c r="F3" s="965"/>
      <c r="G3" s="965"/>
      <c r="H3" s="965"/>
      <c r="I3" s="965"/>
      <c r="J3" s="965"/>
      <c r="K3" s="965"/>
      <c r="L3" s="965"/>
      <c r="M3" s="965"/>
      <c r="N3" s="965"/>
      <c r="O3" s="965"/>
      <c r="P3" s="965"/>
      <c r="Q3" s="965"/>
      <c r="R3" s="965"/>
      <c r="S3" s="965"/>
      <c r="T3" s="965"/>
      <c r="U3" s="965"/>
      <c r="V3" s="965"/>
      <c r="W3" s="965"/>
      <c r="X3" s="965"/>
      <c r="Y3" s="965"/>
      <c r="Z3" s="965"/>
      <c r="AA3" s="965"/>
      <c r="AB3" s="965"/>
      <c r="AC3" s="965"/>
      <c r="AD3" s="99"/>
    </row>
    <row r="4" spans="1:32" ht="24.95" customHeight="1" x14ac:dyDescent="0.2">
      <c r="B4" s="4"/>
      <c r="C4" s="120">
        <v>1970</v>
      </c>
      <c r="D4" s="120">
        <v>1980</v>
      </c>
      <c r="E4" s="60">
        <v>1990</v>
      </c>
      <c r="F4" s="61">
        <v>1991</v>
      </c>
      <c r="G4" s="61">
        <v>1992</v>
      </c>
      <c r="H4" s="61">
        <v>1993</v>
      </c>
      <c r="I4" s="61">
        <v>1994</v>
      </c>
      <c r="J4" s="61">
        <v>1995</v>
      </c>
      <c r="K4" s="61">
        <v>1996</v>
      </c>
      <c r="L4" s="61">
        <v>1997</v>
      </c>
      <c r="M4" s="61">
        <v>1998</v>
      </c>
      <c r="N4" s="61">
        <v>1999</v>
      </c>
      <c r="O4" s="61">
        <v>2000</v>
      </c>
      <c r="P4" s="61">
        <v>2001</v>
      </c>
      <c r="Q4" s="61">
        <v>2002</v>
      </c>
      <c r="R4" s="61">
        <v>2003</v>
      </c>
      <c r="S4" s="61">
        <v>2004</v>
      </c>
      <c r="T4" s="61">
        <v>2005</v>
      </c>
      <c r="U4" s="61">
        <v>2006</v>
      </c>
      <c r="V4" s="61">
        <v>2007</v>
      </c>
      <c r="W4" s="61">
        <v>2008</v>
      </c>
      <c r="X4" s="61">
        <v>2009</v>
      </c>
      <c r="Y4" s="61">
        <v>2010</v>
      </c>
      <c r="Z4" s="61">
        <v>2011</v>
      </c>
      <c r="AA4" s="61">
        <v>2012</v>
      </c>
      <c r="AB4" s="539">
        <v>2013</v>
      </c>
      <c r="AC4" s="6"/>
      <c r="AD4" s="6"/>
      <c r="AE4" s="168" t="s">
        <v>257</v>
      </c>
      <c r="AF4" s="168"/>
    </row>
    <row r="5" spans="1:32" ht="12.75" customHeight="1" x14ac:dyDescent="0.2">
      <c r="B5" s="59" t="s">
        <v>236</v>
      </c>
      <c r="C5" s="121"/>
      <c r="D5" s="121"/>
      <c r="E5" s="161">
        <v>343.21579754860579</v>
      </c>
      <c r="F5" s="103">
        <v>352.58942740771761</v>
      </c>
      <c r="G5" s="103">
        <v>360.66215758654346</v>
      </c>
      <c r="H5" s="103">
        <v>365.70857122341636</v>
      </c>
      <c r="I5" s="103">
        <v>371.5626087963854</v>
      </c>
      <c r="J5" s="169">
        <v>378.20890054320193</v>
      </c>
      <c r="K5" s="169">
        <v>386.52518060403082</v>
      </c>
      <c r="L5" s="169">
        <v>385.27737249419243</v>
      </c>
      <c r="M5" s="169">
        <v>394.80387113090666</v>
      </c>
      <c r="N5" s="169">
        <v>406.03498924026735</v>
      </c>
      <c r="O5" s="169">
        <v>415.24909123148655</v>
      </c>
      <c r="P5" s="169">
        <v>424.26941942572012</v>
      </c>
      <c r="Q5" s="169">
        <v>431.22429813554754</v>
      </c>
      <c r="R5" s="169">
        <v>435.4670945196886</v>
      </c>
      <c r="S5" s="169">
        <v>440.67652487445474</v>
      </c>
      <c r="T5" s="169">
        <v>447.87048997883846</v>
      </c>
      <c r="U5" s="169">
        <v>454.91275231255639</v>
      </c>
      <c r="V5" s="169">
        <v>463.40257918791451</v>
      </c>
      <c r="W5" s="169">
        <v>470.49078055466725</v>
      </c>
      <c r="X5" s="169">
        <v>473.73830914782394</v>
      </c>
      <c r="Y5" s="169">
        <v>477.93496251772763</v>
      </c>
      <c r="Z5" s="169">
        <v>484.30973213431167</v>
      </c>
      <c r="AA5" s="169">
        <v>488.14596567367437</v>
      </c>
      <c r="AB5" s="169">
        <v>490.60885657232785</v>
      </c>
      <c r="AC5" s="538" t="s">
        <v>236</v>
      </c>
      <c r="AD5" s="20"/>
      <c r="AE5" s="139">
        <f>AB5/AA5-1</f>
        <v>5.0453984501428462E-3</v>
      </c>
      <c r="AF5" s="139"/>
    </row>
    <row r="6" spans="1:32" ht="12.75" customHeight="1" x14ac:dyDescent="0.2">
      <c r="B6" s="57" t="s">
        <v>241</v>
      </c>
      <c r="C6" s="170">
        <v>172.6392206480121</v>
      </c>
      <c r="D6" s="170">
        <v>286.89557005643985</v>
      </c>
      <c r="E6" s="171">
        <v>405.52028845335832</v>
      </c>
      <c r="F6" s="172">
        <v>413.21097739770659</v>
      </c>
      <c r="G6" s="172">
        <v>420.83621353531834</v>
      </c>
      <c r="H6" s="172">
        <v>424.38213146690964</v>
      </c>
      <c r="I6" s="172">
        <v>429.28736471672283</v>
      </c>
      <c r="J6" s="172">
        <v>434.6328258315325</v>
      </c>
      <c r="K6" s="172">
        <v>441.72193730110098</v>
      </c>
      <c r="L6" s="172">
        <v>436.48263142272111</v>
      </c>
      <c r="M6" s="172">
        <v>445.9824386103935</v>
      </c>
      <c r="N6" s="172">
        <v>457.35925830113899</v>
      </c>
      <c r="O6" s="172">
        <v>465.32241475600694</v>
      </c>
      <c r="P6" s="172">
        <v>473.03746883037871</v>
      </c>
      <c r="Q6" s="172">
        <v>478.26416340117061</v>
      </c>
      <c r="R6" s="172">
        <v>480.7338395471366</v>
      </c>
      <c r="S6" s="172">
        <v>483.61143824092466</v>
      </c>
      <c r="T6" s="172">
        <v>489.112340182536</v>
      </c>
      <c r="U6" s="172">
        <v>494.58709031455754</v>
      </c>
      <c r="V6" s="172">
        <v>499.49221917828453</v>
      </c>
      <c r="W6" s="172">
        <v>500.98446868350885</v>
      </c>
      <c r="X6" s="172">
        <v>502.74148568536094</v>
      </c>
      <c r="Y6" s="172">
        <v>506.13133241915284</v>
      </c>
      <c r="Z6" s="172">
        <v>510.96512881890015</v>
      </c>
      <c r="AA6" s="172">
        <v>512.71551989530349</v>
      </c>
      <c r="AB6" s="172">
        <v>512.40724957401221</v>
      </c>
      <c r="AC6" s="536" t="s">
        <v>241</v>
      </c>
      <c r="AD6" s="20"/>
      <c r="AE6" s="139">
        <f>AB6/AA6-1</f>
        <v>-6.0125022420665086E-4</v>
      </c>
      <c r="AF6" s="139"/>
    </row>
    <row r="7" spans="1:32" ht="12.75" customHeight="1" x14ac:dyDescent="0.2">
      <c r="B7" s="58" t="s">
        <v>245</v>
      </c>
      <c r="C7" s="122"/>
      <c r="D7" s="122"/>
      <c r="E7" s="162">
        <v>139.56411115938221</v>
      </c>
      <c r="F7" s="173">
        <v>152.62414124209195</v>
      </c>
      <c r="G7" s="173">
        <v>160.96456946545251</v>
      </c>
      <c r="H7" s="173">
        <v>170.41913919784542</v>
      </c>
      <c r="I7" s="173">
        <v>178.80681858056457</v>
      </c>
      <c r="J7" s="173">
        <v>188.88874685250232</v>
      </c>
      <c r="K7" s="173">
        <v>200.47793652329381</v>
      </c>
      <c r="L7" s="173">
        <v>212.03792263825412</v>
      </c>
      <c r="M7" s="173">
        <v>220.97248416345354</v>
      </c>
      <c r="N7" s="173">
        <v>230.23579671179715</v>
      </c>
      <c r="O7" s="173">
        <v>242.3750844305203</v>
      </c>
      <c r="P7" s="173">
        <v>253.55216103233425</v>
      </c>
      <c r="Q7" s="173">
        <v>265.09577644957324</v>
      </c>
      <c r="R7" s="173">
        <v>274.3273855108917</v>
      </c>
      <c r="S7" s="173">
        <v>286.53014167687633</v>
      </c>
      <c r="T7" s="173">
        <v>298.64409164330561</v>
      </c>
      <c r="U7" s="173">
        <v>310.14388463075028</v>
      </c>
      <c r="V7" s="173">
        <v>330.20546813182568</v>
      </c>
      <c r="W7" s="173">
        <v>357.21537019386005</v>
      </c>
      <c r="X7" s="173">
        <v>365.43604152805187</v>
      </c>
      <c r="Y7" s="173">
        <v>372.33623984946848</v>
      </c>
      <c r="Z7" s="173">
        <v>384.30667232061194</v>
      </c>
      <c r="AA7" s="173">
        <v>395.50611432771291</v>
      </c>
      <c r="AB7" s="173">
        <v>407.80788719363295</v>
      </c>
      <c r="AC7" s="537" t="s">
        <v>245</v>
      </c>
      <c r="AD7" s="20"/>
      <c r="AE7" s="139">
        <f>AB7/AA7-1</f>
        <v>3.110387531386416E-2</v>
      </c>
      <c r="AF7" s="139"/>
    </row>
    <row r="8" spans="1:32" ht="12.75" customHeight="1" x14ac:dyDescent="0.2">
      <c r="A8" s="8"/>
      <c r="B8" s="9" t="s">
        <v>63</v>
      </c>
      <c r="C8" s="174">
        <v>213.41083317859889</v>
      </c>
      <c r="D8" s="174">
        <v>320.24913584337367</v>
      </c>
      <c r="E8" s="175">
        <v>386.91986312171605</v>
      </c>
      <c r="F8" s="176">
        <v>396.12863583974331</v>
      </c>
      <c r="G8" s="176">
        <v>399.37153361946514</v>
      </c>
      <c r="H8" s="176">
        <v>406.8657690791793</v>
      </c>
      <c r="I8" s="176">
        <v>415.59313420937457</v>
      </c>
      <c r="J8" s="176">
        <v>421.31826856367718</v>
      </c>
      <c r="K8" s="176">
        <v>426.66023350906852</v>
      </c>
      <c r="L8" s="176">
        <v>433.20532121224488</v>
      </c>
      <c r="M8" s="176">
        <v>439.77316073466449</v>
      </c>
      <c r="N8" s="176">
        <v>447.65865309253707</v>
      </c>
      <c r="O8" s="176">
        <v>455.83038938115527</v>
      </c>
      <c r="P8" s="176">
        <v>459.74553152484668</v>
      </c>
      <c r="Q8" s="176">
        <v>462.28573933713182</v>
      </c>
      <c r="R8" s="176">
        <v>463.70457679618789</v>
      </c>
      <c r="S8" s="176">
        <v>466.63747485604813</v>
      </c>
      <c r="T8" s="176">
        <v>467.92553062955949</v>
      </c>
      <c r="U8" s="176">
        <v>470.14691435636183</v>
      </c>
      <c r="V8" s="176">
        <v>473.30893628925304</v>
      </c>
      <c r="W8" s="176">
        <v>477.12636751516777</v>
      </c>
      <c r="X8" s="176">
        <v>479.0232017716022</v>
      </c>
      <c r="Y8" s="176">
        <v>479.6342721213079</v>
      </c>
      <c r="Z8" s="176">
        <v>487.34322681244004</v>
      </c>
      <c r="AA8" s="176">
        <v>487.45103990971933</v>
      </c>
      <c r="AB8" s="176">
        <v>491.32568106082192</v>
      </c>
      <c r="AC8" s="529" t="s">
        <v>63</v>
      </c>
      <c r="AD8" s="20"/>
      <c r="AE8" s="139">
        <f>AB8/AA8-1</f>
        <v>7.9487801519926293E-3</v>
      </c>
      <c r="AF8" s="139"/>
    </row>
    <row r="9" spans="1:32" ht="12.75" customHeight="1" x14ac:dyDescent="0.2">
      <c r="A9" s="8"/>
      <c r="B9" s="57" t="s">
        <v>46</v>
      </c>
      <c r="C9" s="177">
        <v>18.790628127244968</v>
      </c>
      <c r="D9" s="177">
        <v>92.377171032501892</v>
      </c>
      <c r="E9" s="178">
        <v>151.96206277599646</v>
      </c>
      <c r="F9" s="179">
        <v>158.10662948426872</v>
      </c>
      <c r="G9" s="179">
        <v>166.33150116861049</v>
      </c>
      <c r="H9" s="179">
        <v>177.95427602404465</v>
      </c>
      <c r="I9" s="179">
        <v>188.41749631975063</v>
      </c>
      <c r="J9" s="179">
        <v>196.49695904989017</v>
      </c>
      <c r="K9" s="179">
        <v>204.65604819411155</v>
      </c>
      <c r="L9" s="179">
        <v>208.9175680896272</v>
      </c>
      <c r="M9" s="179">
        <v>219.83820656444283</v>
      </c>
      <c r="N9" s="179">
        <v>232.99095237188308</v>
      </c>
      <c r="O9" s="179">
        <v>244.51902872678315</v>
      </c>
      <c r="P9" s="179">
        <v>264.31059314328365</v>
      </c>
      <c r="Q9" s="179">
        <v>277.10222524264765</v>
      </c>
      <c r="R9" s="179">
        <v>296.01579126893779</v>
      </c>
      <c r="S9" s="179">
        <v>314.1843325560759</v>
      </c>
      <c r="T9" s="180">
        <v>328.82163562753038</v>
      </c>
      <c r="U9" s="179">
        <v>233.43699113906013</v>
      </c>
      <c r="V9" s="179">
        <v>276.87103568208676</v>
      </c>
      <c r="W9" s="179">
        <v>316.88205317204665</v>
      </c>
      <c r="X9" s="179">
        <v>337.11652994718509</v>
      </c>
      <c r="Y9" s="179">
        <v>353.1344550210186</v>
      </c>
      <c r="Z9" s="179">
        <v>367.80641618162622</v>
      </c>
      <c r="AA9" s="179">
        <v>385.33598222649795</v>
      </c>
      <c r="AB9" s="179">
        <v>401.64638859833246</v>
      </c>
      <c r="AC9" s="536" t="s">
        <v>46</v>
      </c>
      <c r="AD9" s="20"/>
      <c r="AE9" s="139">
        <f>AB9/AA9-1</f>
        <v>4.2327753244303379E-2</v>
      </c>
      <c r="AF9" s="139"/>
    </row>
    <row r="10" spans="1:32" ht="12.75" customHeight="1" x14ac:dyDescent="0.2">
      <c r="A10" s="8"/>
      <c r="B10" s="10" t="s">
        <v>48</v>
      </c>
      <c r="C10" s="181">
        <v>69.829077786228638</v>
      </c>
      <c r="D10" s="181">
        <v>172.93781612765611</v>
      </c>
      <c r="E10" s="182">
        <v>233.87597411526707</v>
      </c>
      <c r="F10" s="183">
        <v>240.48372914240011</v>
      </c>
      <c r="G10" s="183">
        <v>249.86206742266407</v>
      </c>
      <c r="H10" s="183">
        <v>274.15709657032556</v>
      </c>
      <c r="I10" s="183">
        <v>282.96433201805331</v>
      </c>
      <c r="J10" s="183">
        <v>294.85656131604566</v>
      </c>
      <c r="K10" s="183">
        <v>309.67985002042366</v>
      </c>
      <c r="L10" s="183">
        <v>329.30380008010388</v>
      </c>
      <c r="M10" s="183">
        <v>339.46449533952705</v>
      </c>
      <c r="N10" s="183">
        <v>334.66746473909859</v>
      </c>
      <c r="O10" s="183">
        <v>336.08883166551453</v>
      </c>
      <c r="P10" s="183">
        <v>346.01784381456974</v>
      </c>
      <c r="Q10" s="183">
        <v>357.81345948437939</v>
      </c>
      <c r="R10" s="183">
        <v>363.500330101565</v>
      </c>
      <c r="S10" s="183">
        <v>374.11523156275877</v>
      </c>
      <c r="T10" s="183">
        <v>387.21359461566141</v>
      </c>
      <c r="U10" s="183">
        <v>400.6745311911676</v>
      </c>
      <c r="V10" s="183">
        <v>413.79738736367904</v>
      </c>
      <c r="W10" s="183">
        <v>424.27221053804789</v>
      </c>
      <c r="X10" s="183">
        <v>423.91652603189726</v>
      </c>
      <c r="Y10" s="183">
        <v>428.75439448194101</v>
      </c>
      <c r="Z10" s="183">
        <v>436.12069740977176</v>
      </c>
      <c r="AA10" s="183">
        <v>447.50323907332785</v>
      </c>
      <c r="AB10" s="183">
        <v>449.86648648612663</v>
      </c>
      <c r="AC10" s="530" t="s">
        <v>48</v>
      </c>
      <c r="AD10" s="20"/>
      <c r="AE10" s="139">
        <f>AB10/AA10-1</f>
        <v>5.2809615807307697E-3</v>
      </c>
      <c r="AF10" s="139"/>
    </row>
    <row r="11" spans="1:32" ht="12.75" customHeight="1" x14ac:dyDescent="0.2">
      <c r="A11" s="8"/>
      <c r="B11" s="57" t="s">
        <v>59</v>
      </c>
      <c r="C11" s="177">
        <v>217.52422636618849</v>
      </c>
      <c r="D11" s="177">
        <v>271.27302576176493</v>
      </c>
      <c r="E11" s="178">
        <v>308.94968958328519</v>
      </c>
      <c r="F11" s="179">
        <v>308.78750344334873</v>
      </c>
      <c r="G11" s="179">
        <v>309.62604046547381</v>
      </c>
      <c r="H11" s="179">
        <v>311.3037226732186</v>
      </c>
      <c r="I11" s="179">
        <v>308.91068113728545</v>
      </c>
      <c r="J11" s="179">
        <v>319.74830828331301</v>
      </c>
      <c r="K11" s="179">
        <v>329.63300747034998</v>
      </c>
      <c r="L11" s="179">
        <v>336.76017873938122</v>
      </c>
      <c r="M11" s="179">
        <v>341.98187021661676</v>
      </c>
      <c r="N11" s="179">
        <v>345.82496876184325</v>
      </c>
      <c r="O11" s="179">
        <v>346.60432228148744</v>
      </c>
      <c r="P11" s="179">
        <v>348.82777849597846</v>
      </c>
      <c r="Q11" s="179">
        <v>350.75462890639875</v>
      </c>
      <c r="R11" s="179">
        <v>351.01433218962359</v>
      </c>
      <c r="S11" s="179">
        <v>354.03393388593162</v>
      </c>
      <c r="T11" s="179">
        <v>361.9892844883766</v>
      </c>
      <c r="U11" s="179">
        <v>370.84300517487884</v>
      </c>
      <c r="V11" s="179">
        <v>377.75236490947151</v>
      </c>
      <c r="W11" s="179">
        <v>380.85977721656241</v>
      </c>
      <c r="X11" s="179">
        <v>383.09347253655011</v>
      </c>
      <c r="Y11" s="179">
        <v>389.10623044735235</v>
      </c>
      <c r="Z11" s="179">
        <v>393.84010367500065</v>
      </c>
      <c r="AA11" s="179">
        <v>399.29868625937684</v>
      </c>
      <c r="AB11" s="179">
        <v>404.83843308480988</v>
      </c>
      <c r="AC11" s="536" t="s">
        <v>59</v>
      </c>
      <c r="AD11" s="20"/>
      <c r="AE11" s="139">
        <f>AB11/AA11-1</f>
        <v>1.3873691589945558E-2</v>
      </c>
      <c r="AF11" s="139"/>
    </row>
    <row r="12" spans="1:32" ht="12.75" customHeight="1" x14ac:dyDescent="0.2">
      <c r="A12" s="8"/>
      <c r="B12" s="10" t="s">
        <v>64</v>
      </c>
      <c r="C12" s="181">
        <v>193.50812395552978</v>
      </c>
      <c r="D12" s="181">
        <v>329.98015625245148</v>
      </c>
      <c r="E12" s="182">
        <v>461.07225228641846</v>
      </c>
      <c r="F12" s="183">
        <v>472.71511807899697</v>
      </c>
      <c r="G12" s="183">
        <v>480.29857054490844</v>
      </c>
      <c r="H12" s="183">
        <v>481.96440995979583</v>
      </c>
      <c r="I12" s="183">
        <v>489.55434029204548</v>
      </c>
      <c r="J12" s="183">
        <v>494.99731102755908</v>
      </c>
      <c r="K12" s="183">
        <v>500.47719751614397</v>
      </c>
      <c r="L12" s="184">
        <v>449.9856984220761</v>
      </c>
      <c r="M12" s="183">
        <v>457.76349652719546</v>
      </c>
      <c r="N12" s="183">
        <v>467.6868401683351</v>
      </c>
      <c r="O12" s="183">
        <v>474.82561901026918</v>
      </c>
      <c r="P12" s="183">
        <v>477.77985645347354</v>
      </c>
      <c r="Q12" s="183">
        <v>481.25210512465486</v>
      </c>
      <c r="R12" s="183">
        <v>484.87424906252051</v>
      </c>
      <c r="S12" s="183">
        <v>487.0189517686054</v>
      </c>
      <c r="T12" s="183">
        <v>493.21311126016587</v>
      </c>
      <c r="U12" s="183">
        <v>498.32651209004598</v>
      </c>
      <c r="V12" s="183">
        <v>500.90826398169531</v>
      </c>
      <c r="W12" s="183">
        <v>503.90224154047473</v>
      </c>
      <c r="X12" s="183">
        <v>510.22586088303166</v>
      </c>
      <c r="Y12" s="183">
        <v>517.4401719980973</v>
      </c>
      <c r="Z12" s="432">
        <v>534.40958869832275</v>
      </c>
      <c r="AA12" s="183">
        <v>539.35642785421328</v>
      </c>
      <c r="AB12" s="183">
        <v>542.84761079475118</v>
      </c>
      <c r="AC12" s="10" t="s">
        <v>64</v>
      </c>
      <c r="AD12" s="20"/>
      <c r="AE12" s="139">
        <f>AB12/AA12-1</f>
        <v>6.4728679593701877E-3</v>
      </c>
      <c r="AF12" s="139"/>
    </row>
    <row r="13" spans="1:32" ht="12.75" customHeight="1" x14ac:dyDescent="0.2">
      <c r="A13" s="8"/>
      <c r="B13" s="57" t="s">
        <v>49</v>
      </c>
      <c r="C13" s="177">
        <v>21.921635997080038</v>
      </c>
      <c r="D13" s="177">
        <v>85.680726626533897</v>
      </c>
      <c r="E13" s="178">
        <v>153.72358713033782</v>
      </c>
      <c r="F13" s="179">
        <v>167.8588287955711</v>
      </c>
      <c r="G13" s="179">
        <v>187.91731373523376</v>
      </c>
      <c r="H13" s="179">
        <v>214.91896825353837</v>
      </c>
      <c r="I13" s="179">
        <v>233.283497056437</v>
      </c>
      <c r="J13" s="179">
        <v>269.04725819398368</v>
      </c>
      <c r="K13" s="179">
        <v>289.18858944122172</v>
      </c>
      <c r="L13" s="179">
        <v>307.00307377784668</v>
      </c>
      <c r="M13" s="179">
        <v>326.9590360467418</v>
      </c>
      <c r="N13" s="179">
        <v>327.35057983942903</v>
      </c>
      <c r="O13" s="179">
        <v>333.08920673215005</v>
      </c>
      <c r="P13" s="179">
        <v>294.39613736077081</v>
      </c>
      <c r="Q13" s="179">
        <v>291.37791868759956</v>
      </c>
      <c r="R13" s="179">
        <v>317.65782250686186</v>
      </c>
      <c r="S13" s="179">
        <v>346.76380763145306</v>
      </c>
      <c r="T13" s="179">
        <v>365.57340638187605</v>
      </c>
      <c r="U13" s="180">
        <v>412.54281714472938</v>
      </c>
      <c r="V13" s="179">
        <v>391.32572248289046</v>
      </c>
      <c r="W13" s="179">
        <v>413.12680611496256</v>
      </c>
      <c r="X13" s="179">
        <v>409.28830186981077</v>
      </c>
      <c r="Y13" s="179">
        <v>415.67017132199209</v>
      </c>
      <c r="Z13" s="179">
        <v>433.13661083430105</v>
      </c>
      <c r="AA13" s="179">
        <v>456.07624449504385</v>
      </c>
      <c r="AB13" s="179">
        <v>477.649281550122</v>
      </c>
      <c r="AC13" s="57" t="s">
        <v>49</v>
      </c>
      <c r="AD13" s="20"/>
      <c r="AE13" s="139">
        <f>AB13/AA13-1</f>
        <v>4.7301382861901331E-2</v>
      </c>
      <c r="AF13" s="139"/>
    </row>
    <row r="14" spans="1:32" ht="12.75" customHeight="1" x14ac:dyDescent="0.2">
      <c r="A14" s="8"/>
      <c r="B14" s="10" t="s">
        <v>67</v>
      </c>
      <c r="C14" s="181">
        <v>132.42427302100162</v>
      </c>
      <c r="D14" s="181">
        <v>215.01806105802845</v>
      </c>
      <c r="E14" s="182">
        <v>227.60302041166415</v>
      </c>
      <c r="F14" s="183">
        <v>237.33555988286938</v>
      </c>
      <c r="G14" s="183">
        <v>242.11828035615278</v>
      </c>
      <c r="H14" s="183">
        <v>250.38583326309728</v>
      </c>
      <c r="I14" s="183">
        <v>262.93710531165493</v>
      </c>
      <c r="J14" s="183">
        <v>275.81548950087915</v>
      </c>
      <c r="K14" s="183">
        <v>291.82356554321461</v>
      </c>
      <c r="L14" s="183">
        <v>309.95108553506191</v>
      </c>
      <c r="M14" s="183">
        <v>323.7267035476363</v>
      </c>
      <c r="N14" s="183">
        <v>339.45703118278573</v>
      </c>
      <c r="O14" s="183">
        <v>347.75957835337925</v>
      </c>
      <c r="P14" s="183">
        <v>359.32258413591603</v>
      </c>
      <c r="Q14" s="183">
        <v>369.85099860223681</v>
      </c>
      <c r="R14" s="183">
        <v>379.00681856936376</v>
      </c>
      <c r="S14" s="183">
        <v>390.0060607947326</v>
      </c>
      <c r="T14" s="183">
        <v>400.18597219304604</v>
      </c>
      <c r="U14" s="183">
        <v>415.22949376030789</v>
      </c>
      <c r="V14" s="183">
        <v>428.36600852669443</v>
      </c>
      <c r="W14" s="183">
        <v>432.02718143056393</v>
      </c>
      <c r="X14" s="183">
        <v>424.38587884015317</v>
      </c>
      <c r="Y14" s="183">
        <v>415.54243044174638</v>
      </c>
      <c r="Z14" s="183">
        <v>417.42555219000468</v>
      </c>
      <c r="AA14" s="183">
        <v>415.3112323944199</v>
      </c>
      <c r="AB14" s="183">
        <v>419.87767670446908</v>
      </c>
      <c r="AC14" s="10" t="s">
        <v>67</v>
      </c>
      <c r="AD14" s="20"/>
      <c r="AE14" s="139">
        <f>AB14/AA14-1</f>
        <v>1.0995234305900992E-2</v>
      </c>
      <c r="AF14" s="139"/>
    </row>
    <row r="15" spans="1:32" ht="12.75" customHeight="1" x14ac:dyDescent="0.2">
      <c r="A15" s="8"/>
      <c r="B15" s="57" t="s">
        <v>60</v>
      </c>
      <c r="C15" s="177">
        <v>25.768367370811774</v>
      </c>
      <c r="D15" s="177">
        <v>88.92119083467739</v>
      </c>
      <c r="E15" s="178">
        <v>170.26764974206091</v>
      </c>
      <c r="F15" s="179">
        <v>172.24229607297593</v>
      </c>
      <c r="G15" s="179">
        <v>175.53643410272437</v>
      </c>
      <c r="H15" s="179">
        <v>186.33286512524597</v>
      </c>
      <c r="I15" s="179">
        <v>195.75899139543529</v>
      </c>
      <c r="J15" s="179">
        <v>206.56022056464789</v>
      </c>
      <c r="K15" s="179">
        <v>217.72893651528307</v>
      </c>
      <c r="L15" s="179">
        <v>231.3116386411331</v>
      </c>
      <c r="M15" s="179">
        <v>246.34720269077602</v>
      </c>
      <c r="N15" s="179">
        <v>268.61209397824985</v>
      </c>
      <c r="O15" s="179">
        <v>292.1874149804504</v>
      </c>
      <c r="P15" s="179">
        <v>312.13847747494611</v>
      </c>
      <c r="Q15" s="179">
        <v>331.49387716211334</v>
      </c>
      <c r="R15" s="179">
        <v>347.85628767470172</v>
      </c>
      <c r="S15" s="179">
        <v>367.8541244476898</v>
      </c>
      <c r="T15" s="179">
        <v>387.24669196578543</v>
      </c>
      <c r="U15" s="179">
        <v>407.67280043216931</v>
      </c>
      <c r="V15" s="179">
        <v>429.12125530663667</v>
      </c>
      <c r="W15" s="179">
        <v>448.94105384725509</v>
      </c>
      <c r="X15" s="179">
        <v>458.88609628671344</v>
      </c>
      <c r="Y15" s="179">
        <v>469.00019346616563</v>
      </c>
      <c r="Z15" s="179">
        <v>467.8211897940796</v>
      </c>
      <c r="AA15" s="179">
        <v>467.12345880337443</v>
      </c>
      <c r="AB15" s="179">
        <v>466.15114965182448</v>
      </c>
      <c r="AC15" s="57" t="s">
        <v>60</v>
      </c>
      <c r="AD15" s="20"/>
      <c r="AE15" s="139">
        <f>AB15/AA15-1</f>
        <v>-2.0814821718453391E-3</v>
      </c>
      <c r="AF15" s="139"/>
    </row>
    <row r="16" spans="1:32" ht="12.75" customHeight="1" x14ac:dyDescent="0.2">
      <c r="A16" s="8"/>
      <c r="B16" s="10" t="s">
        <v>65</v>
      </c>
      <c r="C16" s="181">
        <v>69.856009667272716</v>
      </c>
      <c r="D16" s="181">
        <v>200.77772993081848</v>
      </c>
      <c r="E16" s="182">
        <v>308.57290702588551</v>
      </c>
      <c r="F16" s="183">
        <v>321.43503238322774</v>
      </c>
      <c r="G16" s="183">
        <v>334.82307022345873</v>
      </c>
      <c r="H16" s="183">
        <v>342.46569653148828</v>
      </c>
      <c r="I16" s="183">
        <v>349.07757650007244</v>
      </c>
      <c r="J16" s="183">
        <v>360.4342560192527</v>
      </c>
      <c r="K16" s="183">
        <v>373.27376359497896</v>
      </c>
      <c r="L16" s="183">
        <v>385.91327393853811</v>
      </c>
      <c r="M16" s="183">
        <v>403.2391216834925</v>
      </c>
      <c r="N16" s="183">
        <v>420.6621681236727</v>
      </c>
      <c r="O16" s="183">
        <v>431.09307539545631</v>
      </c>
      <c r="P16" s="183">
        <v>442.32379758704212</v>
      </c>
      <c r="Q16" s="183">
        <v>447.85083082706791</v>
      </c>
      <c r="R16" s="432">
        <v>439.23477342978782</v>
      </c>
      <c r="S16" s="183">
        <v>451.35267560041689</v>
      </c>
      <c r="T16" s="183">
        <v>460.13156882107467</v>
      </c>
      <c r="U16" s="183">
        <v>466.87241119538544</v>
      </c>
      <c r="V16" s="183">
        <v>476.4764515330649</v>
      </c>
      <c r="W16" s="183">
        <v>478.92976172008593</v>
      </c>
      <c r="X16" s="183">
        <v>472.89920138093936</v>
      </c>
      <c r="Y16" s="183">
        <v>474.58316203162423</v>
      </c>
      <c r="Z16" s="183">
        <v>475.81903959225787</v>
      </c>
      <c r="AA16" s="183">
        <v>476.10812300748006</v>
      </c>
      <c r="AB16" s="183">
        <v>473.5669488274645</v>
      </c>
      <c r="AC16" s="10" t="s">
        <v>65</v>
      </c>
      <c r="AD16" s="20"/>
      <c r="AE16" s="139">
        <f>AB16/AA16-1</f>
        <v>-5.3373888350475296E-3</v>
      </c>
      <c r="AF16" s="139"/>
    </row>
    <row r="17" spans="1:32" ht="12.75" customHeight="1" x14ac:dyDescent="0.2">
      <c r="A17" s="8"/>
      <c r="B17" s="57" t="s">
        <v>66</v>
      </c>
      <c r="C17" s="177">
        <v>233.25908376537555</v>
      </c>
      <c r="D17" s="177">
        <v>353.51627461218249</v>
      </c>
      <c r="E17" s="178">
        <v>476.27246980818893</v>
      </c>
      <c r="F17" s="179">
        <v>478.18926851899636</v>
      </c>
      <c r="G17" s="179">
        <v>481.02570299049694</v>
      </c>
      <c r="H17" s="179">
        <v>480.85262143974688</v>
      </c>
      <c r="I17" s="179">
        <v>480.70482100915564</v>
      </c>
      <c r="J17" s="179">
        <v>481.08407077545746</v>
      </c>
      <c r="K17" s="179">
        <v>482.09120246332094</v>
      </c>
      <c r="L17" s="179">
        <v>483.7362455955905</v>
      </c>
      <c r="M17" s="179">
        <v>489.38491532834558</v>
      </c>
      <c r="N17" s="179">
        <v>497.33369343043768</v>
      </c>
      <c r="O17" s="179">
        <v>502.94454351096942</v>
      </c>
      <c r="P17" s="179">
        <v>508.16662743071026</v>
      </c>
      <c r="Q17" s="179">
        <v>508.98179641452248</v>
      </c>
      <c r="R17" s="179">
        <v>505.45416418142105</v>
      </c>
      <c r="S17" s="179">
        <v>500.91222149785153</v>
      </c>
      <c r="T17" s="179">
        <v>496.69618270164142</v>
      </c>
      <c r="U17" s="179">
        <v>501.69406257485412</v>
      </c>
      <c r="V17" s="179">
        <v>506.04245287983724</v>
      </c>
      <c r="W17" s="179">
        <v>498.01853685835857</v>
      </c>
      <c r="X17" s="179">
        <v>500.17711237757658</v>
      </c>
      <c r="Y17" s="512">
        <v>501.92760959096717</v>
      </c>
      <c r="Z17" s="179">
        <v>501.01394722772505</v>
      </c>
      <c r="AA17" s="179">
        <v>504.74052557785149</v>
      </c>
      <c r="AB17" s="179">
        <v>504.37240867187353</v>
      </c>
      <c r="AC17" s="57" t="s">
        <v>66</v>
      </c>
      <c r="AD17" s="20"/>
      <c r="AE17" s="139">
        <f>AB17/AA17-1</f>
        <v>-7.2931910025753055E-4</v>
      </c>
      <c r="AF17" s="139"/>
    </row>
    <row r="18" spans="1:32" ht="12.75" customHeight="1" x14ac:dyDescent="0.2">
      <c r="A18" s="8"/>
      <c r="B18" s="10" t="s">
        <v>77</v>
      </c>
      <c r="C18" s="181"/>
      <c r="D18" s="181"/>
      <c r="E18" s="182">
        <v>121.28362405505942</v>
      </c>
      <c r="F18" s="183">
        <v>130.55210922163528</v>
      </c>
      <c r="G18" s="183">
        <v>136.09112486119253</v>
      </c>
      <c r="H18" s="183">
        <v>139.11484116245853</v>
      </c>
      <c r="I18" s="183">
        <v>149.90492376622515</v>
      </c>
      <c r="J18" s="183">
        <v>155.18098336078995</v>
      </c>
      <c r="K18" s="183">
        <v>184.36109373248965</v>
      </c>
      <c r="L18" s="183">
        <v>205.49187402960493</v>
      </c>
      <c r="M18" s="183">
        <v>220.88593182180114</v>
      </c>
      <c r="N18" s="183">
        <v>236.46257505166491</v>
      </c>
      <c r="O18" s="183">
        <v>261.86698067656471</v>
      </c>
      <c r="P18" s="183">
        <v>277.65687282342049</v>
      </c>
      <c r="Q18" s="183">
        <v>288.99907650513865</v>
      </c>
      <c r="R18" s="183">
        <v>300.39563604271058</v>
      </c>
      <c r="S18" s="183">
        <v>310.27166034813001</v>
      </c>
      <c r="T18" s="183">
        <v>321.09059111366599</v>
      </c>
      <c r="U18" s="183">
        <v>332.85522530271027</v>
      </c>
      <c r="V18" s="183">
        <v>345.81131998459171</v>
      </c>
      <c r="W18" s="183">
        <v>356.23031809394223</v>
      </c>
      <c r="X18" s="432">
        <v>356.17092590092096</v>
      </c>
      <c r="Y18" s="183">
        <v>353.26329059453502</v>
      </c>
      <c r="Z18" s="183">
        <v>355.07101991027093</v>
      </c>
      <c r="AA18" s="183">
        <v>339.08318356506362</v>
      </c>
      <c r="AB18" s="183">
        <v>341.04104363388046</v>
      </c>
      <c r="AC18" s="10" t="s">
        <v>77</v>
      </c>
      <c r="AD18" s="20"/>
      <c r="AE18" s="139">
        <f>AB18/AA18-1</f>
        <v>5.7739816178208336E-3</v>
      </c>
      <c r="AF18" s="139"/>
    </row>
    <row r="19" spans="1:32" ht="12.75" customHeight="1" x14ac:dyDescent="0.2">
      <c r="A19" s="8"/>
      <c r="B19" s="197" t="s">
        <v>68</v>
      </c>
      <c r="C19" s="513">
        <v>188.6859506582849</v>
      </c>
      <c r="D19" s="513">
        <v>313.14553645641939</v>
      </c>
      <c r="E19" s="514">
        <v>483.14835939209843</v>
      </c>
      <c r="F19" s="515">
        <v>500.85360234138375</v>
      </c>
      <c r="G19" s="515">
        <v>517.93348439184285</v>
      </c>
      <c r="H19" s="515">
        <v>521.65334632645306</v>
      </c>
      <c r="I19" s="515">
        <v>521.86853630351823</v>
      </c>
      <c r="J19" s="515">
        <v>533.06099125650417</v>
      </c>
      <c r="K19" s="515">
        <v>535.67371149112125</v>
      </c>
      <c r="L19" s="515">
        <v>540.23879251893777</v>
      </c>
      <c r="M19" s="515">
        <v>551.24329920540492</v>
      </c>
      <c r="N19" s="515">
        <v>562.83042139133909</v>
      </c>
      <c r="O19" s="515">
        <v>572.04036425681056</v>
      </c>
      <c r="P19" s="515">
        <v>583.26869782178755</v>
      </c>
      <c r="Q19" s="515">
        <v>589.98519985102178</v>
      </c>
      <c r="R19" s="515">
        <v>596.7459592770964</v>
      </c>
      <c r="S19" s="515">
        <v>587.0115246971335</v>
      </c>
      <c r="T19" s="515">
        <v>597.05423722776993</v>
      </c>
      <c r="U19" s="515">
        <v>606.23518130335276</v>
      </c>
      <c r="V19" s="515">
        <v>608.32648015975349</v>
      </c>
      <c r="W19" s="515">
        <v>611.94617626340187</v>
      </c>
      <c r="X19" s="515">
        <v>614.49420725339348</v>
      </c>
      <c r="Y19" s="515">
        <v>619.07170744090467</v>
      </c>
      <c r="Z19" s="515">
        <v>624.85891932187928</v>
      </c>
      <c r="AA19" s="515">
        <v>621.22575155825416</v>
      </c>
      <c r="AB19" s="515">
        <v>608.11634658748449</v>
      </c>
      <c r="AC19" s="197" t="s">
        <v>68</v>
      </c>
      <c r="AD19" s="20"/>
      <c r="AE19" s="139">
        <f>AB19/AA19-1</f>
        <v>-2.1102481566301234E-2</v>
      </c>
      <c r="AF19" s="139"/>
    </row>
    <row r="20" spans="1:32" ht="12.75" customHeight="1" x14ac:dyDescent="0.2">
      <c r="A20" s="8"/>
      <c r="B20" s="10" t="s">
        <v>47</v>
      </c>
      <c r="C20" s="181">
        <v>97.260496028529744</v>
      </c>
      <c r="D20" s="181">
        <v>174.75728155339806</v>
      </c>
      <c r="E20" s="182">
        <v>304.1892833237672</v>
      </c>
      <c r="F20" s="183">
        <v>315.05515952569277</v>
      </c>
      <c r="G20" s="183">
        <v>322.98124609394557</v>
      </c>
      <c r="H20" s="183">
        <v>321.68722667408178</v>
      </c>
      <c r="I20" s="183">
        <v>325.94565532329619</v>
      </c>
      <c r="J20" s="183">
        <v>334.81327314031137</v>
      </c>
      <c r="K20" s="183">
        <v>340.42859737090521</v>
      </c>
      <c r="L20" s="183">
        <v>348.00174759150786</v>
      </c>
      <c r="M20" s="183">
        <v>364.97125334254946</v>
      </c>
      <c r="N20" s="183">
        <v>372.17974878963986</v>
      </c>
      <c r="O20" s="183">
        <v>383.61319419854379</v>
      </c>
      <c r="P20" s="185">
        <v>396.95750341228478</v>
      </c>
      <c r="Q20" s="183">
        <v>402.98996805469932</v>
      </c>
      <c r="R20" s="183">
        <v>418.45888672320797</v>
      </c>
      <c r="S20" s="183">
        <v>457.84900970852595</v>
      </c>
      <c r="T20" s="183">
        <v>477.32230485220015</v>
      </c>
      <c r="U20" s="183">
        <v>492.06640313702309</v>
      </c>
      <c r="V20" s="183">
        <v>529.32955316854998</v>
      </c>
      <c r="W20" s="183">
        <v>556.53194132483407</v>
      </c>
      <c r="X20" s="183">
        <v>562.17984715677426</v>
      </c>
      <c r="Y20" s="183">
        <v>550.93950468650826</v>
      </c>
      <c r="Z20" s="183">
        <v>545.23666171313357</v>
      </c>
      <c r="AA20" s="183">
        <v>549.10968981773408</v>
      </c>
      <c r="AB20" s="183">
        <v>553.10139860139861</v>
      </c>
      <c r="AC20" s="10" t="s">
        <v>47</v>
      </c>
      <c r="AD20" s="20"/>
      <c r="AE20" s="139">
        <f>AB20/AA20-1</f>
        <v>7.2694196764029329E-3</v>
      </c>
      <c r="AF20" s="139"/>
    </row>
    <row r="21" spans="1:32" ht="12.75" customHeight="1" x14ac:dyDescent="0.2">
      <c r="A21" s="8"/>
      <c r="B21" s="197" t="s">
        <v>51</v>
      </c>
      <c r="C21" s="513">
        <v>16.903141617901102</v>
      </c>
      <c r="D21" s="513">
        <v>66.013425380969039</v>
      </c>
      <c r="E21" s="514">
        <v>106.46458209265728</v>
      </c>
      <c r="F21" s="515">
        <v>124.47975785092699</v>
      </c>
      <c r="G21" s="515">
        <v>135.36117261450104</v>
      </c>
      <c r="H21" s="515">
        <v>144.62372446971631</v>
      </c>
      <c r="I21" s="519">
        <v>100.61385758504028</v>
      </c>
      <c r="J21" s="515">
        <v>134.43848244869167</v>
      </c>
      <c r="K21" s="515">
        <v>155.38187059493347</v>
      </c>
      <c r="L21" s="515">
        <v>178.37820644426259</v>
      </c>
      <c r="M21" s="515">
        <v>201.17553500096696</v>
      </c>
      <c r="N21" s="515">
        <v>220.66955954007932</v>
      </c>
      <c r="O21" s="515">
        <v>236.59547273203179</v>
      </c>
      <c r="P21" s="515">
        <v>252.56833821925107</v>
      </c>
      <c r="Q21" s="515">
        <v>269.24532158529001</v>
      </c>
      <c r="R21" s="515">
        <v>285.04032470613038</v>
      </c>
      <c r="S21" s="515">
        <v>304.9831890489678</v>
      </c>
      <c r="T21" s="515">
        <v>333.25358615433368</v>
      </c>
      <c r="U21" s="515">
        <v>372.1460132920447</v>
      </c>
      <c r="V21" s="515">
        <v>412.8409853043832</v>
      </c>
      <c r="W21" s="515">
        <v>431.29893463853438</v>
      </c>
      <c r="X21" s="520">
        <v>426.45899276775708</v>
      </c>
      <c r="Y21" s="515">
        <v>306.88444306265529</v>
      </c>
      <c r="Z21" s="515">
        <v>299.45036538793528</v>
      </c>
      <c r="AA21" s="515">
        <v>305.49775795832147</v>
      </c>
      <c r="AB21" s="515">
        <v>317.06877152170307</v>
      </c>
      <c r="AC21" s="197" t="s">
        <v>51</v>
      </c>
      <c r="AD21" s="20"/>
      <c r="AE21" s="139">
        <f>AB21/AA21-1</f>
        <v>3.7875936113940911E-2</v>
      </c>
      <c r="AF21" s="139"/>
    </row>
    <row r="22" spans="1:32" ht="12.75" customHeight="1" x14ac:dyDescent="0.2">
      <c r="A22" s="8"/>
      <c r="B22" s="10" t="s">
        <v>52</v>
      </c>
      <c r="C22" s="181">
        <v>13.827201744568869</v>
      </c>
      <c r="D22" s="181">
        <v>72.175582445261981</v>
      </c>
      <c r="E22" s="182">
        <v>133.17240991818406</v>
      </c>
      <c r="F22" s="183">
        <v>143.26960668850515</v>
      </c>
      <c r="G22" s="183">
        <v>152.9536707392048</v>
      </c>
      <c r="H22" s="183">
        <v>162.81307745275782</v>
      </c>
      <c r="I22" s="183">
        <v>179.19616051755273</v>
      </c>
      <c r="J22" s="183">
        <v>198.73495662218426</v>
      </c>
      <c r="K22" s="183">
        <v>218.80857176381465</v>
      </c>
      <c r="L22" s="183">
        <v>247.62391076903126</v>
      </c>
      <c r="M22" s="183">
        <v>277.37521847776878</v>
      </c>
      <c r="N22" s="183">
        <v>310.1682937204626</v>
      </c>
      <c r="O22" s="183">
        <v>336.21871879479141</v>
      </c>
      <c r="P22" s="183">
        <v>328.10306842658144</v>
      </c>
      <c r="Q22" s="183">
        <v>344.14863250645419</v>
      </c>
      <c r="R22" s="183">
        <v>369.77912748398103</v>
      </c>
      <c r="S22" s="183">
        <v>392.19902122662597</v>
      </c>
      <c r="T22" s="183">
        <v>442.35531569212441</v>
      </c>
      <c r="U22" s="183">
        <v>489.921947284032</v>
      </c>
      <c r="V22" s="183">
        <v>494.27271637814175</v>
      </c>
      <c r="W22" s="183">
        <v>524.85570955470348</v>
      </c>
      <c r="X22" s="183">
        <v>539.56045494936939</v>
      </c>
      <c r="Y22" s="183">
        <v>554.23627426957057</v>
      </c>
      <c r="Z22" s="183">
        <v>570.40771516968903</v>
      </c>
      <c r="AA22" s="183">
        <v>589.99429658754229</v>
      </c>
      <c r="AB22" s="183">
        <v>614.57421711502604</v>
      </c>
      <c r="AC22" s="10" t="s">
        <v>52</v>
      </c>
      <c r="AD22" s="20"/>
      <c r="AE22" s="139">
        <f>AB22/AA22-1</f>
        <v>4.1661284981314495E-2</v>
      </c>
      <c r="AF22" s="139"/>
    </row>
    <row r="23" spans="1:32" ht="12.75" customHeight="1" x14ac:dyDescent="0.2">
      <c r="A23" s="8"/>
      <c r="B23" s="197" t="s">
        <v>69</v>
      </c>
      <c r="C23" s="513">
        <v>211.86378335751129</v>
      </c>
      <c r="D23" s="513">
        <v>352.47361929560088</v>
      </c>
      <c r="E23" s="514">
        <v>477.1175858480749</v>
      </c>
      <c r="F23" s="515">
        <v>492.81314168377821</v>
      </c>
      <c r="G23" s="515">
        <v>509.18302723242562</v>
      </c>
      <c r="H23" s="515">
        <v>519.74012993503243</v>
      </c>
      <c r="I23" s="515">
        <v>536.80266239368905</v>
      </c>
      <c r="J23" s="515">
        <v>556.45529640427594</v>
      </c>
      <c r="K23" s="515">
        <v>555.75386829794888</v>
      </c>
      <c r="L23" s="515">
        <v>561.15152233147739</v>
      </c>
      <c r="M23" s="515">
        <v>592.97063297063301</v>
      </c>
      <c r="N23" s="515">
        <v>607.64529520295207</v>
      </c>
      <c r="O23" s="515">
        <v>622.06378132118459</v>
      </c>
      <c r="P23" s="515">
        <v>632.15628870622675</v>
      </c>
      <c r="Q23" s="515">
        <v>640.74280615659166</v>
      </c>
      <c r="R23" s="515">
        <v>644.88746263407779</v>
      </c>
      <c r="S23" s="515">
        <v>649.91219131452863</v>
      </c>
      <c r="T23" s="515">
        <v>655.02914177784044</v>
      </c>
      <c r="U23" s="515">
        <v>660.8832244475384</v>
      </c>
      <c r="V23" s="515">
        <v>664.5735109001879</v>
      </c>
      <c r="W23" s="515">
        <v>666.74366767983793</v>
      </c>
      <c r="X23" s="515">
        <v>660.27773240968315</v>
      </c>
      <c r="Y23" s="515">
        <v>658.87582056892791</v>
      </c>
      <c r="Z23" s="515">
        <v>658.42245352508235</v>
      </c>
      <c r="AA23" s="515">
        <v>662.61481940790134</v>
      </c>
      <c r="AB23" s="515">
        <v>660.83357589870479</v>
      </c>
      <c r="AC23" s="197" t="s">
        <v>69</v>
      </c>
      <c r="AD23" s="20"/>
      <c r="AE23" s="139">
        <f>AB23/AA23-1</f>
        <v>-2.6882035490667366E-3</v>
      </c>
      <c r="AF23" s="139"/>
    </row>
    <row r="24" spans="1:32" ht="12.75" customHeight="1" x14ac:dyDescent="0.2">
      <c r="A24" s="8"/>
      <c r="B24" s="10" t="s">
        <v>50</v>
      </c>
      <c r="C24" s="181">
        <v>23.180072169223024</v>
      </c>
      <c r="D24" s="181">
        <v>94.279907336853057</v>
      </c>
      <c r="E24" s="182">
        <v>187.40685691226187</v>
      </c>
      <c r="F24" s="183">
        <v>194.72418909184012</v>
      </c>
      <c r="G24" s="183">
        <v>198.55215153639134</v>
      </c>
      <c r="H24" s="183">
        <v>202.27313790034987</v>
      </c>
      <c r="I24" s="183">
        <v>210.79174204533362</v>
      </c>
      <c r="J24" s="183">
        <v>217.50762433427258</v>
      </c>
      <c r="K24" s="183">
        <v>219.89376625956061</v>
      </c>
      <c r="L24" s="183">
        <v>223.5433558332889</v>
      </c>
      <c r="M24" s="183">
        <v>216.33024545185719</v>
      </c>
      <c r="N24" s="183">
        <v>220.66176438936827</v>
      </c>
      <c r="O24" s="183">
        <v>231.82714857938464</v>
      </c>
      <c r="P24" s="183">
        <v>244.01600691430139</v>
      </c>
      <c r="Q24" s="183">
        <v>259.26169860630097</v>
      </c>
      <c r="R24" s="183">
        <v>274.51713209647926</v>
      </c>
      <c r="S24" s="183">
        <v>280.11084670151138</v>
      </c>
      <c r="T24" s="183">
        <v>286.67809051502689</v>
      </c>
      <c r="U24" s="183">
        <v>293.4324098628295</v>
      </c>
      <c r="V24" s="183">
        <v>299.85512773457225</v>
      </c>
      <c r="W24" s="183">
        <v>304.59920396571624</v>
      </c>
      <c r="X24" s="183">
        <v>300.94083235173935</v>
      </c>
      <c r="Y24" s="183">
        <v>298.8329737198772</v>
      </c>
      <c r="Z24" s="183">
        <v>298.81498299675036</v>
      </c>
      <c r="AA24" s="183">
        <v>301.3511830597414</v>
      </c>
      <c r="AB24" s="183">
        <v>307.79755035934812</v>
      </c>
      <c r="AC24" s="10" t="s">
        <v>50</v>
      </c>
      <c r="AD24" s="20"/>
      <c r="AE24" s="139">
        <f>AB24/AA24-1</f>
        <v>2.1391544689336017E-2</v>
      </c>
      <c r="AF24" s="139"/>
    </row>
    <row r="25" spans="1:32" ht="12.75" customHeight="1" x14ac:dyDescent="0.2">
      <c r="A25" s="8"/>
      <c r="B25" s="197" t="s">
        <v>53</v>
      </c>
      <c r="C25" s="513"/>
      <c r="D25" s="513"/>
      <c r="E25" s="521">
        <v>337.16388974740806</v>
      </c>
      <c r="F25" s="515">
        <v>339.31963631610125</v>
      </c>
      <c r="G25" s="515">
        <v>344.37443694779557</v>
      </c>
      <c r="H25" s="515">
        <v>416.48495896908287</v>
      </c>
      <c r="I25" s="515">
        <v>461.8609775044593</v>
      </c>
      <c r="J25" s="515">
        <v>486.92432992743966</v>
      </c>
      <c r="K25" s="515">
        <v>486.68567058332752</v>
      </c>
      <c r="L25" s="515">
        <v>488.09470058138766</v>
      </c>
      <c r="M25" s="519">
        <v>461.76403764153883</v>
      </c>
      <c r="N25" s="515">
        <v>479.35697170707073</v>
      </c>
      <c r="O25" s="515">
        <v>483.17770141665494</v>
      </c>
      <c r="P25" s="515">
        <v>495.0803388396036</v>
      </c>
      <c r="Q25" s="515">
        <v>508.23819016551897</v>
      </c>
      <c r="R25" s="515">
        <v>522.20363270787539</v>
      </c>
      <c r="S25" s="515">
        <v>524.95604319191</v>
      </c>
      <c r="T25" s="515">
        <v>524.84327121795366</v>
      </c>
      <c r="U25" s="515">
        <v>537.83134787582355</v>
      </c>
      <c r="V25" s="515">
        <v>551.44275093666022</v>
      </c>
      <c r="W25" s="515">
        <v>558.22459518258756</v>
      </c>
      <c r="X25" s="515">
        <v>563.93906677583834</v>
      </c>
      <c r="Y25" s="516">
        <v>580.64189653219717</v>
      </c>
      <c r="Z25" s="515">
        <v>592.44969416543324</v>
      </c>
      <c r="AA25" s="515">
        <v>592.39042727902711</v>
      </c>
      <c r="AB25" s="515">
        <v>602.03486731988039</v>
      </c>
      <c r="AC25" s="197" t="s">
        <v>53</v>
      </c>
      <c r="AD25" s="20"/>
      <c r="AE25" s="139">
        <f>AB25/AA25-1</f>
        <v>1.6280546742040158E-2</v>
      </c>
      <c r="AF25" s="139"/>
    </row>
    <row r="26" spans="1:32" ht="12.75" customHeight="1" x14ac:dyDescent="0.2">
      <c r="A26" s="8"/>
      <c r="B26" s="10" t="s">
        <v>61</v>
      </c>
      <c r="C26" s="181">
        <v>195.43531997960278</v>
      </c>
      <c r="D26" s="181">
        <v>320.22890947769184</v>
      </c>
      <c r="E26" s="182">
        <v>367.02262990870685</v>
      </c>
      <c r="F26" s="183">
        <v>367.10588499684388</v>
      </c>
      <c r="G26" s="183">
        <v>371.2797707908469</v>
      </c>
      <c r="H26" s="183">
        <v>375.1249954942632</v>
      </c>
      <c r="I26" s="183">
        <v>381.48038507475496</v>
      </c>
      <c r="J26" s="183">
        <v>363.56269236213063</v>
      </c>
      <c r="K26" s="183">
        <v>368.72618656761335</v>
      </c>
      <c r="L26" s="183">
        <v>378.90087204756401</v>
      </c>
      <c r="M26" s="183">
        <v>388.29274328253564</v>
      </c>
      <c r="N26" s="183">
        <v>399.84965913281366</v>
      </c>
      <c r="O26" s="183">
        <v>409.03117049241342</v>
      </c>
      <c r="P26" s="183">
        <v>416.67080092031904</v>
      </c>
      <c r="Q26" s="183">
        <v>423.32638693840613</v>
      </c>
      <c r="R26" s="183">
        <v>424.92676850433065</v>
      </c>
      <c r="S26" s="183">
        <v>428.81112820279458</v>
      </c>
      <c r="T26" s="183">
        <v>434.198715456701</v>
      </c>
      <c r="U26" s="183">
        <v>441.99667049598753</v>
      </c>
      <c r="V26" s="183">
        <v>450.57745928642152</v>
      </c>
      <c r="W26" s="183">
        <v>457.50506178443288</v>
      </c>
      <c r="X26" s="183">
        <v>459.84947561654496</v>
      </c>
      <c r="Y26" s="183">
        <v>464.46285765095996</v>
      </c>
      <c r="Z26" s="183">
        <v>469.74516011262887</v>
      </c>
      <c r="AA26" s="183">
        <v>471.74097079336036</v>
      </c>
      <c r="AB26" s="183">
        <v>471.33839106334204</v>
      </c>
      <c r="AC26" s="10" t="s">
        <v>61</v>
      </c>
      <c r="AD26" s="20"/>
      <c r="AE26" s="139">
        <f>AB26/AA26-1</f>
        <v>-8.5339149012486626E-4</v>
      </c>
      <c r="AF26" s="139"/>
    </row>
    <row r="27" spans="1:32" ht="12.75" customHeight="1" x14ac:dyDescent="0.2">
      <c r="A27" s="8"/>
      <c r="B27" s="197" t="s">
        <v>70</v>
      </c>
      <c r="C27" s="513">
        <v>160.04749278984039</v>
      </c>
      <c r="D27" s="513">
        <v>297.4848431009068</v>
      </c>
      <c r="E27" s="514">
        <v>387.8933693966527</v>
      </c>
      <c r="F27" s="515">
        <v>397.49200496121313</v>
      </c>
      <c r="G27" s="515">
        <v>411.67043174903858</v>
      </c>
      <c r="H27" s="515">
        <v>424.73626977078089</v>
      </c>
      <c r="I27" s="515">
        <v>438.04366066346915</v>
      </c>
      <c r="J27" s="515">
        <v>451.8493305790081</v>
      </c>
      <c r="K27" s="515">
        <v>463.36569421639712</v>
      </c>
      <c r="L27" s="515">
        <v>474.53116978852148</v>
      </c>
      <c r="M27" s="515">
        <v>486.9643584854345</v>
      </c>
      <c r="N27" s="515">
        <v>501.06358437556935</v>
      </c>
      <c r="O27" s="515">
        <v>510.80570795514649</v>
      </c>
      <c r="P27" s="518">
        <v>518.62769171242769</v>
      </c>
      <c r="Q27" s="515">
        <v>492.21711416393003</v>
      </c>
      <c r="R27" s="515">
        <v>497.91484829181144</v>
      </c>
      <c r="S27" s="515">
        <v>501.03025608316864</v>
      </c>
      <c r="T27" s="515">
        <v>503.58528369099349</v>
      </c>
      <c r="U27" s="515">
        <v>507.6635425107666</v>
      </c>
      <c r="V27" s="515">
        <v>511.02414796167881</v>
      </c>
      <c r="W27" s="515">
        <v>514.08727747308546</v>
      </c>
      <c r="X27" s="515">
        <v>522.04626083753828</v>
      </c>
      <c r="Y27" s="515">
        <v>530.26149696889524</v>
      </c>
      <c r="Z27" s="515">
        <v>536.79305994763877</v>
      </c>
      <c r="AA27" s="515">
        <v>542.38972249895289</v>
      </c>
      <c r="AB27" s="515">
        <v>545.53652383828182</v>
      </c>
      <c r="AC27" s="197" t="s">
        <v>70</v>
      </c>
      <c r="AD27" s="20"/>
      <c r="AE27" s="139">
        <f>AB27/AA27-1</f>
        <v>5.8017348205468E-3</v>
      </c>
      <c r="AF27" s="139"/>
    </row>
    <row r="28" spans="1:32" ht="12.75" customHeight="1" x14ac:dyDescent="0.2">
      <c r="A28" s="8"/>
      <c r="B28" s="10" t="s">
        <v>54</v>
      </c>
      <c r="C28" s="181">
        <v>14.667156592565373</v>
      </c>
      <c r="D28" s="181">
        <v>66.601622812902747</v>
      </c>
      <c r="E28" s="182">
        <v>137.78325314091342</v>
      </c>
      <c r="F28" s="183">
        <v>159.49160653885306</v>
      </c>
      <c r="G28" s="183">
        <v>169.32119614011185</v>
      </c>
      <c r="H28" s="183">
        <v>175.83712557532249</v>
      </c>
      <c r="I28" s="183">
        <v>185.4077322857394</v>
      </c>
      <c r="J28" s="183">
        <v>194.70041478760129</v>
      </c>
      <c r="K28" s="183">
        <v>208.45200232581607</v>
      </c>
      <c r="L28" s="183">
        <v>220.73082346992481</v>
      </c>
      <c r="M28" s="183">
        <v>229.93164478335433</v>
      </c>
      <c r="N28" s="183">
        <v>242.60581999415993</v>
      </c>
      <c r="O28" s="183">
        <v>261.18345148887221</v>
      </c>
      <c r="P28" s="183">
        <v>274.64687763624045</v>
      </c>
      <c r="Q28" s="183">
        <v>288.5746707533055</v>
      </c>
      <c r="R28" s="183">
        <v>294.4126995831017</v>
      </c>
      <c r="S28" s="183">
        <v>313.70154452650621</v>
      </c>
      <c r="T28" s="183">
        <v>323.38326424824976</v>
      </c>
      <c r="U28" s="183">
        <v>351.05733360097588</v>
      </c>
      <c r="V28" s="183">
        <v>382.74940725777117</v>
      </c>
      <c r="W28" s="183">
        <v>421.63796106322553</v>
      </c>
      <c r="X28" s="183">
        <v>432.17590625741713</v>
      </c>
      <c r="Y28" s="183">
        <v>447.43991583048847</v>
      </c>
      <c r="Z28" s="183">
        <v>470.30955865969383</v>
      </c>
      <c r="AA28" s="183">
        <v>486.43641957570259</v>
      </c>
      <c r="AB28" s="183">
        <v>503.67876544209827</v>
      </c>
      <c r="AC28" s="10" t="s">
        <v>54</v>
      </c>
      <c r="AD28" s="20"/>
      <c r="AE28" s="139">
        <f>AB28/AA28-1</f>
        <v>3.5446247798294861E-2</v>
      </c>
      <c r="AF28" s="139"/>
    </row>
    <row r="29" spans="1:32" ht="12.75" customHeight="1" x14ac:dyDescent="0.2">
      <c r="A29" s="8"/>
      <c r="B29" s="197" t="s">
        <v>71</v>
      </c>
      <c r="C29" s="513">
        <v>48.596069928474897</v>
      </c>
      <c r="D29" s="513">
        <v>129.2385193115345</v>
      </c>
      <c r="E29" s="521">
        <v>185.4481662345728</v>
      </c>
      <c r="F29" s="517">
        <v>195.97932830145518</v>
      </c>
      <c r="G29" s="517">
        <v>210.95016171841209</v>
      </c>
      <c r="H29" s="517">
        <v>225.57768188554067</v>
      </c>
      <c r="I29" s="517">
        <v>240.79149864132648</v>
      </c>
      <c r="J29" s="515">
        <v>254.88632517939368</v>
      </c>
      <c r="K29" s="515">
        <v>272.70394189085573</v>
      </c>
      <c r="L29" s="515">
        <v>291.10622140374772</v>
      </c>
      <c r="M29" s="515">
        <v>309.22874032776679</v>
      </c>
      <c r="N29" s="515">
        <v>326.86045556346744</v>
      </c>
      <c r="O29" s="515">
        <v>333.27609334983032</v>
      </c>
      <c r="P29" s="515">
        <v>345.27313952950306</v>
      </c>
      <c r="Q29" s="515">
        <v>371.96283014214436</v>
      </c>
      <c r="R29" s="515">
        <v>378.68624708179561</v>
      </c>
      <c r="S29" s="515">
        <v>390.67442984401993</v>
      </c>
      <c r="T29" s="515">
        <v>399.54383509570215</v>
      </c>
      <c r="U29" s="515">
        <v>407.30730187110709</v>
      </c>
      <c r="V29" s="515">
        <v>414.93976456171833</v>
      </c>
      <c r="W29" s="515">
        <v>417.30513658317597</v>
      </c>
      <c r="X29" s="515">
        <v>421.5263490852916</v>
      </c>
      <c r="Y29" s="515">
        <v>423.73197968621326</v>
      </c>
      <c r="Z29" s="515">
        <v>428.93466932286185</v>
      </c>
      <c r="AA29" s="515">
        <v>428.80481314093657</v>
      </c>
      <c r="AB29" s="515">
        <v>429.64138083287327</v>
      </c>
      <c r="AC29" s="197" t="s">
        <v>71</v>
      </c>
      <c r="AD29" s="20"/>
      <c r="AE29" s="139">
        <f>AB29/AA29-1</f>
        <v>1.9509288755621412E-3</v>
      </c>
      <c r="AF29" s="139"/>
    </row>
    <row r="30" spans="1:32" ht="12.75" customHeight="1" x14ac:dyDescent="0.2">
      <c r="A30" s="8"/>
      <c r="B30" s="10" t="s">
        <v>55</v>
      </c>
      <c r="C30" s="181">
        <v>1.964521527030441</v>
      </c>
      <c r="D30" s="181">
        <v>10.771077180422813</v>
      </c>
      <c r="E30" s="182">
        <v>55.720409305271225</v>
      </c>
      <c r="F30" s="183">
        <v>62.760359639956718</v>
      </c>
      <c r="G30" s="183">
        <v>69.93553974700653</v>
      </c>
      <c r="H30" s="183">
        <v>78.822396333536972</v>
      </c>
      <c r="I30" s="183">
        <v>88.938973143914296</v>
      </c>
      <c r="J30" s="183">
        <v>96.992537786106155</v>
      </c>
      <c r="K30" s="183">
        <v>103.01085889197269</v>
      </c>
      <c r="L30" s="183">
        <v>108.63344122746896</v>
      </c>
      <c r="M30" s="183">
        <v>115.37274783062259</v>
      </c>
      <c r="N30" s="183">
        <v>120.32788425634095</v>
      </c>
      <c r="O30" s="183">
        <v>123.8313601902984</v>
      </c>
      <c r="P30" s="183">
        <v>131.96204197012449</v>
      </c>
      <c r="Q30" s="183">
        <v>137.48185239455916</v>
      </c>
      <c r="R30" s="183">
        <v>143.46952406150194</v>
      </c>
      <c r="S30" s="183">
        <v>150.84246570793843</v>
      </c>
      <c r="T30" s="183">
        <v>158.24323602146228</v>
      </c>
      <c r="U30" s="185">
        <v>170.53247620276716</v>
      </c>
      <c r="V30" s="183">
        <v>171.61051898043468</v>
      </c>
      <c r="W30" s="183">
        <v>197.03061942858929</v>
      </c>
      <c r="X30" s="183">
        <v>209.1631586460355</v>
      </c>
      <c r="Y30" s="183">
        <v>213.8565464856556</v>
      </c>
      <c r="Z30" s="183">
        <v>215.69207119667021</v>
      </c>
      <c r="AA30" s="183">
        <v>224.13758310783467</v>
      </c>
      <c r="AB30" s="183">
        <v>235.45827077475491</v>
      </c>
      <c r="AC30" s="10" t="s">
        <v>55</v>
      </c>
      <c r="AD30" s="20"/>
      <c r="AE30" s="139">
        <f>AB30/AA30-1</f>
        <v>5.0507761839627463E-2</v>
      </c>
      <c r="AF30" s="139"/>
    </row>
    <row r="31" spans="1:32" ht="12.75" customHeight="1" x14ac:dyDescent="0.2">
      <c r="A31" s="8"/>
      <c r="B31" s="197" t="s">
        <v>57</v>
      </c>
      <c r="C31" s="513">
        <v>87.081725408494222</v>
      </c>
      <c r="D31" s="513">
        <v>218.08515652247681</v>
      </c>
      <c r="E31" s="514">
        <v>293.56007290200483</v>
      </c>
      <c r="F31" s="515">
        <v>301.60607370409502</v>
      </c>
      <c r="G31" s="515">
        <v>304.02179647397003</v>
      </c>
      <c r="H31" s="515">
        <v>326.90327976966012</v>
      </c>
      <c r="I31" s="515">
        <v>335.92094806826117</v>
      </c>
      <c r="J31" s="515">
        <v>357.42157078501066</v>
      </c>
      <c r="K31" s="515">
        <v>373.96130527144339</v>
      </c>
      <c r="L31" s="515">
        <v>391.34918583743553</v>
      </c>
      <c r="M31" s="515">
        <v>410.2800639325817</v>
      </c>
      <c r="N31" s="515">
        <v>425.66060706676632</v>
      </c>
      <c r="O31" s="515">
        <v>435.20356324877116</v>
      </c>
      <c r="P31" s="515">
        <v>442.06394500372608</v>
      </c>
      <c r="Q31" s="515">
        <v>448.3740369206925</v>
      </c>
      <c r="R31" s="515">
        <v>456.02782562700577</v>
      </c>
      <c r="S31" s="515">
        <v>467.53387832337967</v>
      </c>
      <c r="T31" s="515">
        <v>479.30175235779126</v>
      </c>
      <c r="U31" s="515">
        <v>487.60058436800654</v>
      </c>
      <c r="V31" s="515">
        <v>504.47079470458925</v>
      </c>
      <c r="W31" s="515">
        <v>514.27009558336556</v>
      </c>
      <c r="X31" s="515">
        <v>517.27914738619313</v>
      </c>
      <c r="Y31" s="515">
        <v>517.82835631251555</v>
      </c>
      <c r="Z31" s="515">
        <v>518.84800554221454</v>
      </c>
      <c r="AA31" s="515">
        <v>517.78566470810233</v>
      </c>
      <c r="AB31" s="515">
        <v>516.13349279627005</v>
      </c>
      <c r="AC31" s="197" t="s">
        <v>57</v>
      </c>
      <c r="AD31" s="20"/>
      <c r="AE31" s="139">
        <f>AB31/AA31-1</f>
        <v>-3.1908413547209191E-3</v>
      </c>
      <c r="AF31" s="139"/>
    </row>
    <row r="32" spans="1:32" ht="12.75" customHeight="1" x14ac:dyDescent="0.2">
      <c r="A32" s="8"/>
      <c r="B32" s="10" t="s">
        <v>56</v>
      </c>
      <c r="C32" s="181">
        <v>36.124223274132191</v>
      </c>
      <c r="D32" s="181">
        <v>110.48111523480539</v>
      </c>
      <c r="E32" s="182">
        <v>165.70285974891121</v>
      </c>
      <c r="F32" s="183">
        <v>175.41948198570321</v>
      </c>
      <c r="G32" s="183">
        <v>182.71954807490559</v>
      </c>
      <c r="H32" s="183">
        <v>186.44081136259933</v>
      </c>
      <c r="I32" s="183">
        <v>185.58767426277586</v>
      </c>
      <c r="J32" s="183">
        <v>189.23877424414889</v>
      </c>
      <c r="K32" s="183">
        <v>196.77233324384841</v>
      </c>
      <c r="L32" s="183">
        <v>210.83663563891494</v>
      </c>
      <c r="M32" s="183">
        <v>221.77346236554354</v>
      </c>
      <c r="N32" s="183">
        <v>229.01992106555392</v>
      </c>
      <c r="O32" s="183">
        <v>236.8937359993887</v>
      </c>
      <c r="P32" s="183">
        <v>240.34426043293573</v>
      </c>
      <c r="Q32" s="183">
        <v>246.87094932289565</v>
      </c>
      <c r="R32" s="185">
        <v>252.46305991855729</v>
      </c>
      <c r="S32" s="183">
        <v>222.79921491768084</v>
      </c>
      <c r="T32" s="183">
        <v>242.64311749571183</v>
      </c>
      <c r="U32" s="183">
        <v>248.22339843444666</v>
      </c>
      <c r="V32" s="183">
        <v>266.72413126034212</v>
      </c>
      <c r="W32" s="183">
        <v>287.0258087422323</v>
      </c>
      <c r="X32" s="183">
        <v>294.79093427030597</v>
      </c>
      <c r="Y32" s="183">
        <v>309.51909393251231</v>
      </c>
      <c r="Z32" s="183">
        <v>323.68537625996379</v>
      </c>
      <c r="AA32" s="183">
        <v>337.1364425016763</v>
      </c>
      <c r="AB32" s="183">
        <v>347.07841598951541</v>
      </c>
      <c r="AC32" s="10" t="s">
        <v>56</v>
      </c>
      <c r="AD32" s="20"/>
      <c r="AE32" s="139">
        <f>AB32/AA32-1</f>
        <v>2.9489465493750977E-2</v>
      </c>
      <c r="AF32" s="139"/>
    </row>
    <row r="33" spans="1:32" ht="12.75" customHeight="1" x14ac:dyDescent="0.2">
      <c r="A33" s="8"/>
      <c r="B33" s="197" t="s">
        <v>72</v>
      </c>
      <c r="C33" s="513">
        <v>154.8386198833665</v>
      </c>
      <c r="D33" s="513">
        <v>256.06868154705586</v>
      </c>
      <c r="E33" s="514">
        <v>387.88927349485181</v>
      </c>
      <c r="F33" s="515">
        <v>382.38203126584557</v>
      </c>
      <c r="G33" s="515">
        <v>382.98850520140331</v>
      </c>
      <c r="H33" s="515">
        <v>368.83920004915404</v>
      </c>
      <c r="I33" s="515">
        <v>367.26384524532858</v>
      </c>
      <c r="J33" s="515">
        <v>371.49103760807975</v>
      </c>
      <c r="K33" s="515">
        <v>378.53290519687005</v>
      </c>
      <c r="L33" s="515">
        <v>378.47171427466839</v>
      </c>
      <c r="M33" s="515">
        <v>391.71602082778543</v>
      </c>
      <c r="N33" s="515">
        <v>402.71869637472344</v>
      </c>
      <c r="O33" s="515">
        <v>412.02096459931886</v>
      </c>
      <c r="P33" s="515">
        <v>415.9084071092019</v>
      </c>
      <c r="Q33" s="515">
        <v>421.54411150347801</v>
      </c>
      <c r="R33" s="515">
        <v>435.7650929204795</v>
      </c>
      <c r="S33" s="515">
        <v>448.13830929965968</v>
      </c>
      <c r="T33" s="515">
        <v>462.43135867021334</v>
      </c>
      <c r="U33" s="515">
        <v>474.80848330144943</v>
      </c>
      <c r="V33" s="515">
        <v>484.92854614786125</v>
      </c>
      <c r="W33" s="515">
        <v>507.00953792810566</v>
      </c>
      <c r="X33" s="515">
        <v>518.86422070225387</v>
      </c>
      <c r="Y33" s="515">
        <v>535.31837248915213</v>
      </c>
      <c r="Z33" s="515">
        <v>551.35211793825408</v>
      </c>
      <c r="AA33" s="515">
        <v>563.41766614320295</v>
      </c>
      <c r="AB33" s="515">
        <v>573.7009907782957</v>
      </c>
      <c r="AC33" s="197" t="s">
        <v>72</v>
      </c>
      <c r="AD33" s="20"/>
      <c r="AE33" s="139">
        <f>AB33/AA33-1</f>
        <v>1.8251690092513151E-2</v>
      </c>
      <c r="AF33" s="139"/>
    </row>
    <row r="34" spans="1:32" ht="12.75" customHeight="1" x14ac:dyDescent="0.2">
      <c r="A34" s="8"/>
      <c r="B34" s="10" t="s">
        <v>73</v>
      </c>
      <c r="C34" s="181">
        <v>283.12521732459044</v>
      </c>
      <c r="D34" s="181">
        <v>346.59911490391823</v>
      </c>
      <c r="E34" s="182">
        <v>419.17763889260738</v>
      </c>
      <c r="F34" s="183">
        <v>418.66609903610782</v>
      </c>
      <c r="G34" s="183">
        <v>412.90780398050487</v>
      </c>
      <c r="H34" s="183">
        <v>407.7822243267637</v>
      </c>
      <c r="I34" s="183">
        <v>407.67294426136982</v>
      </c>
      <c r="J34" s="183">
        <v>410.83582951550983</v>
      </c>
      <c r="K34" s="183">
        <v>413.24217459914911</v>
      </c>
      <c r="L34" s="183">
        <v>418.32356140772237</v>
      </c>
      <c r="M34" s="183">
        <v>428.11804223971075</v>
      </c>
      <c r="N34" s="183">
        <v>438.9992084795382</v>
      </c>
      <c r="O34" s="183">
        <v>450.15283482940947</v>
      </c>
      <c r="P34" s="183">
        <v>451.0579486567035</v>
      </c>
      <c r="Q34" s="183">
        <v>452.1740141920377</v>
      </c>
      <c r="R34" s="183">
        <v>454.05122960180137</v>
      </c>
      <c r="S34" s="183">
        <v>456.46932238659684</v>
      </c>
      <c r="T34" s="183">
        <v>459.08353809874546</v>
      </c>
      <c r="U34" s="183">
        <v>461.13732993593828</v>
      </c>
      <c r="V34" s="183">
        <v>463.73699801817003</v>
      </c>
      <c r="W34" s="183">
        <v>462.27685716622335</v>
      </c>
      <c r="X34" s="183">
        <v>460.43233245709473</v>
      </c>
      <c r="Y34" s="183">
        <v>460.42693113640485</v>
      </c>
      <c r="Z34" s="183">
        <v>464.13785721705113</v>
      </c>
      <c r="AA34" s="183">
        <v>465.38455380360585</v>
      </c>
      <c r="AB34" s="183">
        <v>466.10019591774437</v>
      </c>
      <c r="AC34" s="10" t="s">
        <v>73</v>
      </c>
      <c r="AD34" s="20"/>
      <c r="AE34" s="139">
        <f>AB34/AA34-1</f>
        <v>1.5377435892307556E-3</v>
      </c>
      <c r="AF34" s="139"/>
    </row>
    <row r="35" spans="1:32" ht="12.75" customHeight="1" x14ac:dyDescent="0.2">
      <c r="A35" s="8"/>
      <c r="B35" s="199" t="s">
        <v>62</v>
      </c>
      <c r="C35" s="522">
        <v>213.33773155659458</v>
      </c>
      <c r="D35" s="522">
        <v>277.20998646713343</v>
      </c>
      <c r="E35" s="523">
        <v>361.39956192206176</v>
      </c>
      <c r="F35" s="524">
        <v>360.97069401345402</v>
      </c>
      <c r="G35" s="524">
        <v>363.7517322440325</v>
      </c>
      <c r="H35" s="524">
        <v>368.42752365079423</v>
      </c>
      <c r="I35" s="524">
        <v>375.2054933815495</v>
      </c>
      <c r="J35" s="524">
        <v>377.84604613851548</v>
      </c>
      <c r="K35" s="524">
        <v>391.80953923356788</v>
      </c>
      <c r="L35" s="524">
        <v>401.57825563173691</v>
      </c>
      <c r="M35" s="524">
        <v>408.37073466680471</v>
      </c>
      <c r="N35" s="524">
        <v>418.94767268644244</v>
      </c>
      <c r="O35" s="524">
        <v>424.86367873128211</v>
      </c>
      <c r="P35" s="524">
        <v>435.78480759919165</v>
      </c>
      <c r="Q35" s="524">
        <v>445.24323245267163</v>
      </c>
      <c r="R35" s="524">
        <v>451.42416953582057</v>
      </c>
      <c r="S35" s="524">
        <v>462.03550726504</v>
      </c>
      <c r="T35" s="524">
        <v>467.27364424636141</v>
      </c>
      <c r="U35" s="515">
        <v>465.77916669579832</v>
      </c>
      <c r="V35" s="515">
        <v>468.93855218782761</v>
      </c>
      <c r="W35" s="515">
        <v>468.22722346253107</v>
      </c>
      <c r="X35" s="515">
        <v>466.36077630662408</v>
      </c>
      <c r="Y35" s="515">
        <v>465.44585038252671</v>
      </c>
      <c r="Z35" s="515">
        <v>462.74626014462825</v>
      </c>
      <c r="AA35" s="524">
        <v>463.87669554215518</v>
      </c>
      <c r="AB35" s="524">
        <v>467.66708557085695</v>
      </c>
      <c r="AC35" s="199" t="s">
        <v>62</v>
      </c>
      <c r="AD35" s="20"/>
      <c r="AE35" s="139">
        <f>AB35/AA35-1</f>
        <v>8.1711154389245699E-3</v>
      </c>
      <c r="AF35" s="139"/>
    </row>
    <row r="36" spans="1:32" ht="12.75" customHeight="1" x14ac:dyDescent="0.2">
      <c r="A36" s="8"/>
      <c r="B36" s="530" t="s">
        <v>234</v>
      </c>
      <c r="C36" s="181"/>
      <c r="D36" s="181"/>
      <c r="E36" s="182"/>
      <c r="F36" s="183"/>
      <c r="G36" s="183"/>
      <c r="H36" s="183">
        <v>17.615695383363715</v>
      </c>
      <c r="I36" s="183">
        <v>20.918261186468015</v>
      </c>
      <c r="J36" s="183">
        <v>17.874505025890954</v>
      </c>
      <c r="K36" s="183">
        <v>20.238142150703439</v>
      </c>
      <c r="L36" s="183">
        <v>22.902263067469885</v>
      </c>
      <c r="M36" s="183">
        <v>26.906026332132289</v>
      </c>
      <c r="N36" s="183">
        <v>30.162527542122813</v>
      </c>
      <c r="O36" s="183">
        <v>37.388217612405889</v>
      </c>
      <c r="P36" s="183">
        <v>43.296560346650026</v>
      </c>
      <c r="Q36" s="183">
        <v>47.870281531310141</v>
      </c>
      <c r="R36" s="183">
        <v>56.027988670153498</v>
      </c>
      <c r="S36" s="183">
        <v>60.607819839073677</v>
      </c>
      <c r="T36" s="183">
        <v>61.961301852599263</v>
      </c>
      <c r="U36" s="797">
        <v>71.405257523492324</v>
      </c>
      <c r="V36" s="797">
        <v>75.056229397012672</v>
      </c>
      <c r="W36" s="797">
        <v>83.156315145440644</v>
      </c>
      <c r="X36" s="797">
        <v>99.315580061877128</v>
      </c>
      <c r="Y36" s="798">
        <v>104.08049323719929</v>
      </c>
      <c r="Z36" s="797">
        <v>103.82774558417982</v>
      </c>
      <c r="AA36" s="110">
        <v>102.57446058379001</v>
      </c>
      <c r="AB36" s="183">
        <v>117.98938309299167</v>
      </c>
      <c r="AC36" s="530" t="s">
        <v>234</v>
      </c>
      <c r="AD36" s="20"/>
      <c r="AE36" s="799">
        <f>AB36/AA36-1</f>
        <v>0.15028031755145976</v>
      </c>
      <c r="AF36" s="139"/>
    </row>
    <row r="37" spans="1:32" ht="12.75" customHeight="1" x14ac:dyDescent="0.2">
      <c r="A37" s="8"/>
      <c r="B37" s="197" t="s">
        <v>223</v>
      </c>
      <c r="C37" s="513"/>
      <c r="D37" s="513"/>
      <c r="E37" s="514"/>
      <c r="F37" s="515"/>
      <c r="G37" s="515"/>
      <c r="H37" s="515"/>
      <c r="I37" s="515"/>
      <c r="J37" s="500"/>
      <c r="K37" s="500"/>
      <c r="L37" s="500"/>
      <c r="M37" s="500"/>
      <c r="N37" s="500"/>
      <c r="O37" s="500"/>
      <c r="P37" s="500"/>
      <c r="Q37" s="500"/>
      <c r="R37" s="500"/>
      <c r="S37" s="500"/>
      <c r="T37" s="500"/>
      <c r="U37" s="500"/>
      <c r="V37" s="500"/>
      <c r="W37" s="500"/>
      <c r="X37" s="795"/>
      <c r="Y37" s="796">
        <v>265.62419338185947</v>
      </c>
      <c r="Z37" s="515">
        <v>276.82216212735818</v>
      </c>
      <c r="AA37" s="515">
        <v>279.17697667062208</v>
      </c>
      <c r="AB37" s="515">
        <v>286.1636781535554</v>
      </c>
      <c r="AC37" s="197" t="s">
        <v>223</v>
      </c>
      <c r="AD37" s="20"/>
      <c r="AE37" s="139">
        <f>AB37/AA37-1</f>
        <v>2.5026066140032555E-2</v>
      </c>
      <c r="AF37" s="139"/>
    </row>
    <row r="38" spans="1:32" ht="12.75" customHeight="1" x14ac:dyDescent="0.2">
      <c r="A38" s="8"/>
      <c r="B38" s="530" t="s">
        <v>1</v>
      </c>
      <c r="C38" s="181"/>
      <c r="D38" s="181"/>
      <c r="E38" s="182"/>
      <c r="F38" s="183"/>
      <c r="G38" s="183"/>
      <c r="H38" s="183">
        <v>149.72523429823605</v>
      </c>
      <c r="I38" s="183">
        <v>134.46365208594645</v>
      </c>
      <c r="J38" s="183">
        <v>145.00628142296418</v>
      </c>
      <c r="K38" s="183">
        <v>142.6244276633802</v>
      </c>
      <c r="L38" s="183">
        <v>144.43301337435202</v>
      </c>
      <c r="M38" s="183">
        <v>143.42787442769804</v>
      </c>
      <c r="N38" s="183">
        <v>143.45229320857271</v>
      </c>
      <c r="O38" s="183">
        <v>147.70234236221341</v>
      </c>
      <c r="P38" s="183">
        <v>152.06133860086888</v>
      </c>
      <c r="Q38" s="183">
        <v>152.19993141119974</v>
      </c>
      <c r="R38" s="185">
        <v>147.69702033408677</v>
      </c>
      <c r="S38" s="110">
        <v>122.54495390124588</v>
      </c>
      <c r="T38" s="183">
        <v>124.2248029692217</v>
      </c>
      <c r="U38" s="183">
        <v>118.6552402836321</v>
      </c>
      <c r="V38" s="183">
        <v>121.63934955263042</v>
      </c>
      <c r="W38" s="183">
        <v>128.43383762427277</v>
      </c>
      <c r="X38" s="183">
        <v>137.47404665609858</v>
      </c>
      <c r="Y38" s="183">
        <v>150.79638980325515</v>
      </c>
      <c r="Z38" s="183">
        <v>151.99578210248208</v>
      </c>
      <c r="AA38" s="183">
        <v>146.32297819806487</v>
      </c>
      <c r="AB38" s="183">
        <v>167.87840266748123</v>
      </c>
      <c r="AC38" s="530" t="s">
        <v>1</v>
      </c>
      <c r="AD38" s="20"/>
      <c r="AE38" s="139">
        <f>AB38/AA38-1</f>
        <v>0.14731400860525556</v>
      </c>
      <c r="AF38" s="139"/>
    </row>
    <row r="39" spans="1:32" ht="12.75" customHeight="1" x14ac:dyDescent="0.2">
      <c r="A39" s="8"/>
      <c r="B39" s="197" t="s">
        <v>222</v>
      </c>
      <c r="C39" s="513"/>
      <c r="D39" s="513"/>
      <c r="E39" s="514"/>
      <c r="F39" s="515"/>
      <c r="G39" s="515"/>
      <c r="H39" s="515"/>
      <c r="I39" s="515"/>
      <c r="J39" s="515"/>
      <c r="K39" s="515"/>
      <c r="L39" s="515"/>
      <c r="M39" s="515">
        <v>0</v>
      </c>
      <c r="N39" s="515">
        <v>0</v>
      </c>
      <c r="O39" s="515">
        <v>0</v>
      </c>
      <c r="P39" s="515">
        <v>184.26723304833857</v>
      </c>
      <c r="Q39" s="515">
        <v>179.37160705804015</v>
      </c>
      <c r="R39" s="515">
        <v>185.81795580691067</v>
      </c>
      <c r="S39" s="517">
        <v>194.45188806405537</v>
      </c>
      <c r="T39" s="515">
        <v>199.51526411668351</v>
      </c>
      <c r="U39" s="515">
        <v>204.36717006520044</v>
      </c>
      <c r="V39" s="515">
        <v>200.48070010659146</v>
      </c>
      <c r="W39" s="515">
        <v>202.67495140040057</v>
      </c>
      <c r="X39" s="515">
        <v>224.04192767793074</v>
      </c>
      <c r="Y39" s="515">
        <v>215.891804633741</v>
      </c>
      <c r="Z39" s="515">
        <v>232.44999167896344</v>
      </c>
      <c r="AA39" s="515">
        <v>240.36605140565942</v>
      </c>
      <c r="AB39" s="515">
        <v>247.6873782927338</v>
      </c>
      <c r="AC39" s="197" t="s">
        <v>222</v>
      </c>
      <c r="AD39" s="20"/>
      <c r="AE39" s="139">
        <f>AB39/AA39-1</f>
        <v>3.0459072087174022E-2</v>
      </c>
      <c r="AF39" s="139"/>
    </row>
    <row r="40" spans="1:32" ht="12.75" customHeight="1" x14ac:dyDescent="0.2">
      <c r="A40" s="8"/>
      <c r="B40" s="531" t="s">
        <v>58</v>
      </c>
      <c r="C40" s="186"/>
      <c r="D40" s="186"/>
      <c r="E40" s="187"/>
      <c r="F40" s="188"/>
      <c r="G40" s="188"/>
      <c r="H40" s="188">
        <v>43.606740851138483</v>
      </c>
      <c r="I40" s="188">
        <v>46.756085395260513</v>
      </c>
      <c r="J40" s="188">
        <v>49.063649641916861</v>
      </c>
      <c r="K40" s="188">
        <v>51.57396997047838</v>
      </c>
      <c r="L40" s="188">
        <v>55.229153638113488</v>
      </c>
      <c r="M40" s="188">
        <v>58.344558903312823</v>
      </c>
      <c r="N40" s="188">
        <v>60.881462204227347</v>
      </c>
      <c r="O40" s="188">
        <v>65.132073912144591</v>
      </c>
      <c r="P40" s="188">
        <v>65.876383022888106</v>
      </c>
      <c r="Q40" s="188">
        <v>65.932897889417447</v>
      </c>
      <c r="R40" s="188">
        <v>66.490443071153905</v>
      </c>
      <c r="S40" s="188">
        <v>75.414597420313115</v>
      </c>
      <c r="T40" s="188">
        <v>79.602138301924924</v>
      </c>
      <c r="U40" s="188">
        <v>88.119637839152716</v>
      </c>
      <c r="V40" s="188">
        <v>91.691447694860017</v>
      </c>
      <c r="W40" s="188">
        <v>95.035019596711834</v>
      </c>
      <c r="X40" s="188">
        <v>97.76510104999204</v>
      </c>
      <c r="Y40" s="188">
        <v>102.34081939272455</v>
      </c>
      <c r="Z40" s="188">
        <v>108.57397614689278</v>
      </c>
      <c r="AA40" s="188">
        <v>114.36168412224862</v>
      </c>
      <c r="AB40" s="188">
        <v>121.09275667312188</v>
      </c>
      <c r="AC40" s="531" t="s">
        <v>58</v>
      </c>
      <c r="AD40" s="20"/>
      <c r="AE40" s="139">
        <f>AB40/AA40-1</f>
        <v>5.8857759944126009E-2</v>
      </c>
      <c r="AF40" s="139"/>
    </row>
    <row r="41" spans="1:32" ht="12.75" customHeight="1" x14ac:dyDescent="0.2">
      <c r="A41" s="8"/>
      <c r="B41" s="197" t="s">
        <v>44</v>
      </c>
      <c r="C41" s="513">
        <v>199.11733403634165</v>
      </c>
      <c r="D41" s="513">
        <v>374.67895188965974</v>
      </c>
      <c r="E41" s="514">
        <v>467.94415827034464</v>
      </c>
      <c r="F41" s="515">
        <v>465.34245573236512</v>
      </c>
      <c r="G41" s="515">
        <v>457.89790613828478</v>
      </c>
      <c r="H41" s="515">
        <v>438.36582863006663</v>
      </c>
      <c r="I41" s="515">
        <v>435.40291709429243</v>
      </c>
      <c r="J41" s="515">
        <v>444.96525574903535</v>
      </c>
      <c r="K41" s="515">
        <v>462.84191882137594</v>
      </c>
      <c r="L41" s="515">
        <v>486.33348141023049</v>
      </c>
      <c r="M41" s="515">
        <v>509.1254642525534</v>
      </c>
      <c r="N41" s="515">
        <v>542.58929435332141</v>
      </c>
      <c r="O41" s="515">
        <v>560.89581840832022</v>
      </c>
      <c r="P41" s="515">
        <v>557.84698595481109</v>
      </c>
      <c r="Q41" s="515">
        <v>560.61441184729142</v>
      </c>
      <c r="R41" s="515">
        <v>574.28158447190003</v>
      </c>
      <c r="S41" s="515">
        <v>597.55021680853747</v>
      </c>
      <c r="T41" s="515">
        <v>625.03376226695696</v>
      </c>
      <c r="U41" s="515">
        <v>641.28357471593131</v>
      </c>
      <c r="V41" s="515">
        <v>657.81290120110702</v>
      </c>
      <c r="W41" s="515">
        <v>656.73455073770708</v>
      </c>
      <c r="X41" s="515">
        <v>646.46916223278652</v>
      </c>
      <c r="Y41" s="515">
        <v>642.9100774999057</v>
      </c>
      <c r="Z41" s="515">
        <v>644.95658296174611</v>
      </c>
      <c r="AA41" s="515">
        <v>652.68115964543256</v>
      </c>
      <c r="AB41" s="515">
        <v>654.38126207123139</v>
      </c>
      <c r="AC41" s="197" t="s">
        <v>44</v>
      </c>
      <c r="AD41" s="20"/>
      <c r="AE41" s="139">
        <f>AB41/AA41-1</f>
        <v>2.604797764841793E-3</v>
      </c>
      <c r="AF41" s="139"/>
    </row>
    <row r="42" spans="1:32" ht="12.75" customHeight="1" x14ac:dyDescent="0.2">
      <c r="A42" s="8"/>
      <c r="B42" s="530" t="s">
        <v>74</v>
      </c>
      <c r="C42" s="181">
        <v>177.45521506157567</v>
      </c>
      <c r="D42" s="181">
        <v>300.56153692019723</v>
      </c>
      <c r="E42" s="182">
        <v>379.55329977904995</v>
      </c>
      <c r="F42" s="183">
        <v>377.81031319013277</v>
      </c>
      <c r="G42" s="183">
        <v>376.68646042361235</v>
      </c>
      <c r="H42" s="183">
        <v>377.60875320678457</v>
      </c>
      <c r="I42" s="183">
        <v>380.29486639944253</v>
      </c>
      <c r="J42" s="183">
        <v>385.51042950765873</v>
      </c>
      <c r="K42" s="183">
        <v>378.18237199143857</v>
      </c>
      <c r="L42" s="183">
        <v>397.95395643651676</v>
      </c>
      <c r="M42" s="183">
        <v>401.86091963047056</v>
      </c>
      <c r="N42" s="183">
        <v>404.96666627218912</v>
      </c>
      <c r="O42" s="183">
        <v>411.22578404578195</v>
      </c>
      <c r="P42" s="183">
        <v>413.97760333293104</v>
      </c>
      <c r="Q42" s="183">
        <v>417.32465601640683</v>
      </c>
      <c r="R42" s="183">
        <v>422.43105724422975</v>
      </c>
      <c r="S42" s="183">
        <v>429.3890863572845</v>
      </c>
      <c r="T42" s="183">
        <v>437.2442335157026</v>
      </c>
      <c r="U42" s="183">
        <v>445.23250135544083</v>
      </c>
      <c r="V42" s="183">
        <v>454.87844960631566</v>
      </c>
      <c r="W42" s="183">
        <v>457.81988526545388</v>
      </c>
      <c r="X42" s="183">
        <v>461.89956401538927</v>
      </c>
      <c r="Y42" s="183">
        <v>469.18798733005372</v>
      </c>
      <c r="Z42" s="183">
        <v>476.54672103364106</v>
      </c>
      <c r="AA42" s="183">
        <v>483.64026904098466</v>
      </c>
      <c r="AB42" s="183">
        <v>489.37905554372469</v>
      </c>
      <c r="AC42" s="530" t="s">
        <v>74</v>
      </c>
      <c r="AD42" s="20"/>
      <c r="AE42" s="139">
        <f>AB42/AA42-1</f>
        <v>1.1865816124285056E-2</v>
      </c>
      <c r="AF42" s="139"/>
    </row>
    <row r="43" spans="1:32" ht="12.75" customHeight="1" x14ac:dyDescent="0.2">
      <c r="A43" s="8"/>
      <c r="B43" s="199" t="s">
        <v>45</v>
      </c>
      <c r="C43" s="522">
        <v>223.34764076011609</v>
      </c>
      <c r="D43" s="522">
        <v>354.64338147723771</v>
      </c>
      <c r="E43" s="523">
        <v>441.81055788295367</v>
      </c>
      <c r="F43" s="524">
        <v>446.8656543667708</v>
      </c>
      <c r="G43" s="524">
        <v>447.48789041741566</v>
      </c>
      <c r="H43" s="524">
        <v>446.22110418636828</v>
      </c>
      <c r="I43" s="524">
        <v>450.92369745686682</v>
      </c>
      <c r="J43" s="524">
        <v>457.23791245808405</v>
      </c>
      <c r="K43" s="524">
        <v>461.50731795904335</v>
      </c>
      <c r="L43" s="524">
        <v>468.32542681461825</v>
      </c>
      <c r="M43" s="524">
        <v>474.94762784274161</v>
      </c>
      <c r="N43" s="524">
        <v>483.96093262784944</v>
      </c>
      <c r="O43" s="524">
        <v>492.11825839752748</v>
      </c>
      <c r="P43" s="524">
        <v>500.26000416502836</v>
      </c>
      <c r="Q43" s="524">
        <v>506.01933071392057</v>
      </c>
      <c r="R43" s="524">
        <v>509.75211253223046</v>
      </c>
      <c r="S43" s="524">
        <v>513.99845882093064</v>
      </c>
      <c r="T43" s="524">
        <v>517.68008271208112</v>
      </c>
      <c r="U43" s="524">
        <v>519.39666567182587</v>
      </c>
      <c r="V43" s="524">
        <v>520.94424516566414</v>
      </c>
      <c r="W43" s="524">
        <v>518.03240673416906</v>
      </c>
      <c r="X43" s="524">
        <v>514.98868582135231</v>
      </c>
      <c r="Y43" s="524">
        <v>517.8850830239993</v>
      </c>
      <c r="Z43" s="524">
        <v>523.34090373670188</v>
      </c>
      <c r="AA43" s="524">
        <v>529.29073797185254</v>
      </c>
      <c r="AB43" s="524">
        <v>531.03725606324633</v>
      </c>
      <c r="AC43" s="199" t="s">
        <v>45</v>
      </c>
      <c r="AD43" s="20"/>
      <c r="AE43" s="139">
        <f>AB43/AA43-1</f>
        <v>3.2997329560047195E-3</v>
      </c>
      <c r="AF43" s="139"/>
    </row>
    <row r="44" spans="1:32" ht="15" customHeight="1" x14ac:dyDescent="0.2">
      <c r="B44" s="962" t="s">
        <v>177</v>
      </c>
      <c r="C44" s="962"/>
      <c r="D44" s="962"/>
      <c r="E44" s="962"/>
      <c r="F44" s="962"/>
      <c r="G44" s="962"/>
      <c r="H44" s="962"/>
      <c r="I44" s="962"/>
      <c r="J44" s="962"/>
      <c r="K44" s="962"/>
      <c r="L44" s="962"/>
      <c r="M44" s="962"/>
      <c r="N44" s="962"/>
      <c r="O44" s="962"/>
      <c r="P44" s="962"/>
      <c r="Q44" s="962"/>
      <c r="R44" s="962"/>
      <c r="S44" s="962"/>
      <c r="T44" s="189"/>
      <c r="U44" s="189"/>
      <c r="V44" s="189"/>
      <c r="W44" s="189"/>
      <c r="X44" s="189"/>
      <c r="Y44" s="428"/>
      <c r="Z44" s="489"/>
      <c r="AA44" s="189"/>
      <c r="AB44" s="691"/>
      <c r="AC44" s="189"/>
      <c r="AD44" s="189"/>
    </row>
    <row r="45" spans="1:32" ht="27" customHeight="1" x14ac:dyDescent="0.2">
      <c r="B45" s="966" t="s">
        <v>258</v>
      </c>
      <c r="C45" s="966"/>
      <c r="D45" s="966"/>
      <c r="E45" s="966"/>
      <c r="F45" s="966"/>
      <c r="G45" s="966"/>
      <c r="H45" s="966"/>
      <c r="I45" s="966"/>
      <c r="J45" s="966"/>
      <c r="K45" s="966"/>
      <c r="L45" s="966"/>
      <c r="M45" s="966"/>
      <c r="N45" s="966"/>
      <c r="O45" s="966"/>
      <c r="P45" s="966"/>
      <c r="Q45" s="966"/>
      <c r="R45" s="966"/>
      <c r="S45" s="966"/>
      <c r="T45" s="966"/>
      <c r="U45" s="966"/>
      <c r="V45" s="966"/>
      <c r="W45" s="966"/>
      <c r="X45" s="966"/>
      <c r="Y45" s="966"/>
      <c r="Z45" s="966"/>
      <c r="AA45" s="966"/>
      <c r="AB45" s="966"/>
      <c r="AC45" s="966"/>
      <c r="AD45" s="966"/>
    </row>
    <row r="46" spans="1:32" ht="12.75" x14ac:dyDescent="0.2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</sheetData>
  <mergeCells count="5">
    <mergeCell ref="B44:S44"/>
    <mergeCell ref="B1:C1"/>
    <mergeCell ref="B2:AC2"/>
    <mergeCell ref="B3:AC3"/>
    <mergeCell ref="B45:AD45"/>
  </mergeCells>
  <phoneticPr fontId="4" type="noConversion"/>
  <printOptions horizontalCentered="1"/>
  <pageMargins left="0.6692913385826772" right="0.48" top="0.47" bottom="0.39" header="0.31" footer="0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A1:AD51"/>
  <sheetViews>
    <sheetView workbookViewId="0">
      <selection activeCell="AF20" sqref="AF20"/>
    </sheetView>
  </sheetViews>
  <sheetFormatPr defaultRowHeight="11.25" x14ac:dyDescent="0.2"/>
  <cols>
    <col min="1" max="1" width="2.7109375" style="3" customWidth="1"/>
    <col min="2" max="2" width="4" style="3" customWidth="1"/>
    <col min="3" max="9" width="6.7109375" style="3" customWidth="1"/>
    <col min="10" max="10" width="7.5703125" style="3" customWidth="1"/>
    <col min="11" max="15" width="6.7109375" style="3" customWidth="1"/>
    <col min="16" max="16" width="6.7109375" style="22" customWidth="1"/>
    <col min="17" max="17" width="6.7109375" style="28" customWidth="1"/>
    <col min="18" max="20" width="6.7109375" style="27" customWidth="1"/>
    <col min="21" max="25" width="7.28515625" style="27" customWidth="1"/>
    <col min="26" max="29" width="6.7109375" style="3" customWidth="1"/>
    <col min="30" max="30" width="4.7109375" style="3" customWidth="1"/>
    <col min="31" max="16384" width="9.140625" style="3"/>
  </cols>
  <sheetData>
    <row r="1" spans="1:30" ht="14.25" customHeight="1" x14ac:dyDescent="0.25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190"/>
      <c r="Q1" s="191"/>
      <c r="R1" s="192"/>
      <c r="S1" s="192"/>
      <c r="AD1" s="17" t="s">
        <v>149</v>
      </c>
    </row>
    <row r="2" spans="1:30" s="63" customFormat="1" ht="30" customHeight="1" x14ac:dyDescent="0.2">
      <c r="B2" s="964" t="s">
        <v>11</v>
      </c>
      <c r="C2" s="964"/>
      <c r="D2" s="964"/>
      <c r="E2" s="964"/>
      <c r="F2" s="964"/>
      <c r="G2" s="964"/>
      <c r="H2" s="964"/>
      <c r="I2" s="964"/>
      <c r="J2" s="964"/>
      <c r="K2" s="964"/>
      <c r="L2" s="964"/>
      <c r="M2" s="964"/>
      <c r="N2" s="964"/>
      <c r="O2" s="964"/>
      <c r="P2" s="964"/>
      <c r="Q2" s="964"/>
      <c r="R2" s="964"/>
      <c r="S2" s="964"/>
      <c r="T2" s="964"/>
      <c r="U2" s="964"/>
      <c r="V2" s="964"/>
      <c r="W2" s="964"/>
      <c r="X2" s="964"/>
      <c r="Y2" s="964"/>
      <c r="Z2" s="964"/>
      <c r="AA2" s="964"/>
      <c r="AB2" s="964"/>
      <c r="AC2" s="964"/>
      <c r="AD2" s="964"/>
    </row>
    <row r="3" spans="1:30" ht="20.100000000000001" customHeight="1" x14ac:dyDescent="0.2">
      <c r="B3" s="969" t="s">
        <v>114</v>
      </c>
      <c r="C3" s="969"/>
      <c r="D3" s="969"/>
      <c r="E3" s="969"/>
      <c r="F3" s="969"/>
      <c r="G3" s="969"/>
      <c r="H3" s="969"/>
      <c r="I3" s="969"/>
      <c r="J3" s="969"/>
      <c r="K3" s="969"/>
      <c r="L3" s="969"/>
      <c r="M3" s="969"/>
      <c r="N3" s="969"/>
      <c r="O3" s="969"/>
      <c r="P3" s="969"/>
      <c r="Q3" s="969"/>
      <c r="R3" s="969"/>
      <c r="S3" s="969"/>
      <c r="T3" s="969"/>
      <c r="U3" s="969"/>
      <c r="V3" s="969"/>
      <c r="W3" s="969"/>
      <c r="X3" s="969"/>
      <c r="Y3" s="969"/>
      <c r="Z3" s="969"/>
      <c r="AA3" s="969"/>
      <c r="AB3" s="969"/>
      <c r="AC3" s="969"/>
      <c r="AD3" s="969"/>
    </row>
    <row r="4" spans="1:30" ht="12.75" customHeight="1" x14ac:dyDescent="0.2">
      <c r="W4" s="43"/>
      <c r="X4" s="43" t="s">
        <v>3</v>
      </c>
      <c r="Y4" s="43"/>
    </row>
    <row r="5" spans="1:30" ht="20.100000000000001" customHeight="1" x14ac:dyDescent="0.2">
      <c r="B5" s="115"/>
      <c r="C5" s="118">
        <v>1970</v>
      </c>
      <c r="D5" s="118">
        <v>1980</v>
      </c>
      <c r="E5" s="101">
        <v>1990</v>
      </c>
      <c r="F5" s="102">
        <v>1991</v>
      </c>
      <c r="G5" s="102">
        <v>1992</v>
      </c>
      <c r="H5" s="102">
        <v>1993</v>
      </c>
      <c r="I5" s="102">
        <v>1994</v>
      </c>
      <c r="J5" s="102">
        <v>1995</v>
      </c>
      <c r="K5" s="102">
        <v>1996</v>
      </c>
      <c r="L5" s="102">
        <v>1997</v>
      </c>
      <c r="M5" s="102">
        <v>1998</v>
      </c>
      <c r="N5" s="102">
        <v>1999</v>
      </c>
      <c r="O5" s="102">
        <v>2000</v>
      </c>
      <c r="P5" s="102">
        <v>2001</v>
      </c>
      <c r="Q5" s="102">
        <v>2002</v>
      </c>
      <c r="R5" s="102">
        <v>2003</v>
      </c>
      <c r="S5" s="102">
        <v>2004</v>
      </c>
      <c r="T5" s="102">
        <v>2005</v>
      </c>
      <c r="U5" s="102">
        <v>2006</v>
      </c>
      <c r="V5" s="102">
        <v>2007</v>
      </c>
      <c r="W5" s="102">
        <v>2008</v>
      </c>
      <c r="X5" s="102">
        <v>2009</v>
      </c>
      <c r="Y5" s="102">
        <v>2010</v>
      </c>
      <c r="Z5" s="102">
        <v>2011</v>
      </c>
      <c r="AA5" s="102">
        <v>2012</v>
      </c>
      <c r="AB5" s="102">
        <v>2013</v>
      </c>
      <c r="AC5" s="193" t="s">
        <v>235</v>
      </c>
      <c r="AD5" s="2"/>
    </row>
    <row r="6" spans="1:30" ht="9.9499999999999993" customHeight="1" x14ac:dyDescent="0.2">
      <c r="B6" s="115"/>
      <c r="C6" s="119"/>
      <c r="D6" s="119"/>
      <c r="E6" s="151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429"/>
      <c r="Z6" s="431"/>
      <c r="AA6" s="431"/>
      <c r="AB6" s="431"/>
      <c r="AC6" s="430" t="s">
        <v>106</v>
      </c>
      <c r="AD6" s="2"/>
    </row>
    <row r="7" spans="1:30" ht="12.75" customHeight="1" x14ac:dyDescent="0.2">
      <c r="B7" s="195" t="s">
        <v>236</v>
      </c>
      <c r="C7" s="576"/>
      <c r="D7" s="576"/>
      <c r="E7" s="577">
        <f>SUM(E10:E37)</f>
        <v>163627.99899999998</v>
      </c>
      <c r="F7" s="577">
        <f t="shared" ref="F7:U7" si="0">SUM(F10:F37)</f>
        <v>168475.546</v>
      </c>
      <c r="G7" s="577">
        <f t="shared" si="0"/>
        <v>172905.88999999998</v>
      </c>
      <c r="H7" s="577">
        <f t="shared" si="0"/>
        <v>175794.55299999999</v>
      </c>
      <c r="I7" s="577">
        <f t="shared" si="0"/>
        <v>178966.66</v>
      </c>
      <c r="J7" s="578">
        <f t="shared" si="0"/>
        <v>182462.08800000002</v>
      </c>
      <c r="K7" s="578">
        <f t="shared" si="0"/>
        <v>186759.245</v>
      </c>
      <c r="L7" s="578">
        <f t="shared" si="0"/>
        <v>186414.53799999997</v>
      </c>
      <c r="M7" s="578">
        <f t="shared" si="0"/>
        <v>191290.785</v>
      </c>
      <c r="N7" s="578">
        <f t="shared" si="0"/>
        <v>197037.149</v>
      </c>
      <c r="O7" s="578">
        <f t="shared" si="0"/>
        <v>201992.91999999998</v>
      </c>
      <c r="P7" s="578">
        <f t="shared" si="0"/>
        <v>206757.99299999999</v>
      </c>
      <c r="Q7" s="578">
        <f t="shared" si="0"/>
        <v>210891.44999999998</v>
      </c>
      <c r="R7" s="578">
        <f t="shared" si="0"/>
        <v>213780.58599999995</v>
      </c>
      <c r="S7" s="578">
        <f t="shared" si="0"/>
        <v>217238.09999999992</v>
      </c>
      <c r="T7" s="578">
        <f t="shared" si="0"/>
        <v>221607.87299999996</v>
      </c>
      <c r="U7" s="578">
        <f t="shared" si="0"/>
        <v>225890.894</v>
      </c>
      <c r="V7" s="578">
        <f t="shared" ref="V7:AA7" si="1">SUM(V10:V37)</f>
        <v>231027.49899999995</v>
      </c>
      <c r="W7" s="578">
        <f t="shared" si="1"/>
        <v>235387.30299999999</v>
      </c>
      <c r="X7" s="578">
        <f t="shared" si="1"/>
        <v>237572.97999999995</v>
      </c>
      <c r="Y7" s="578">
        <f t="shared" si="1"/>
        <v>240426.68599999999</v>
      </c>
      <c r="Z7" s="578">
        <f t="shared" si="1"/>
        <v>243449.51799999998</v>
      </c>
      <c r="AA7" s="578">
        <f t="shared" si="1"/>
        <v>245906.33899999998</v>
      </c>
      <c r="AB7" s="578">
        <f t="shared" ref="AB7" si="2">SUM(AB10:AB37)</f>
        <v>247997.18699999998</v>
      </c>
      <c r="AC7" s="207">
        <f>AB7/AA7*100-100</f>
        <v>0.85026193651722792</v>
      </c>
      <c r="AD7" s="195" t="s">
        <v>236</v>
      </c>
    </row>
    <row r="8" spans="1:30" ht="12.75" customHeight="1" x14ac:dyDescent="0.2">
      <c r="B8" s="197" t="s">
        <v>241</v>
      </c>
      <c r="C8" s="579">
        <f t="shared" ref="C8:U8" si="3">C10+C13+C14+C17+C18+C19+C16+C21+C25+C28+C29+C31+C35+C36+C37</f>
        <v>62477.114000000001</v>
      </c>
      <c r="D8" s="579">
        <f t="shared" si="3"/>
        <v>104284.42300000001</v>
      </c>
      <c r="E8" s="580">
        <f>E10+E13+E14+E17+E18+E19+E16+E21+E25+E28+E29+E31+E35+E36+E37</f>
        <v>148040.60999999999</v>
      </c>
      <c r="F8" s="580">
        <f t="shared" si="3"/>
        <v>151510.09599999999</v>
      </c>
      <c r="G8" s="580">
        <f t="shared" si="3"/>
        <v>155037.31599999999</v>
      </c>
      <c r="H8" s="580">
        <f t="shared" si="3"/>
        <v>156868.47400000002</v>
      </c>
      <c r="I8" s="580">
        <f t="shared" si="3"/>
        <v>159118.86299999998</v>
      </c>
      <c r="J8" s="581">
        <f t="shared" si="3"/>
        <v>161538.93100000001</v>
      </c>
      <c r="K8" s="581">
        <f t="shared" si="3"/>
        <v>164596.27600000001</v>
      </c>
      <c r="L8" s="581">
        <f t="shared" si="3"/>
        <v>163008.65599999999</v>
      </c>
      <c r="M8" s="581">
        <f t="shared" si="3"/>
        <v>166938.63900000002</v>
      </c>
      <c r="N8" s="581">
        <f t="shared" si="3"/>
        <v>171789.655</v>
      </c>
      <c r="O8" s="581">
        <f t="shared" si="3"/>
        <v>175512.823</v>
      </c>
      <c r="P8" s="581">
        <f t="shared" si="3"/>
        <v>179303.22200000001</v>
      </c>
      <c r="Q8" s="581">
        <f t="shared" si="3"/>
        <v>182282.50599999996</v>
      </c>
      <c r="R8" s="581">
        <f t="shared" si="3"/>
        <v>184245.51099999997</v>
      </c>
      <c r="S8" s="581">
        <f t="shared" si="3"/>
        <v>186466.39399999997</v>
      </c>
      <c r="T8" s="581">
        <f t="shared" si="3"/>
        <v>189611.39199999999</v>
      </c>
      <c r="U8" s="581">
        <f t="shared" si="3"/>
        <v>192763.989</v>
      </c>
      <c r="V8" s="581">
        <f t="shared" ref="V8:AA8" si="4">V10+V13+V14+V17+V18+V19+V16+V21+V25+V28+V29+V31+V35+V36+V37</f>
        <v>195932.18999999997</v>
      </c>
      <c r="W8" s="581">
        <f t="shared" si="4"/>
        <v>197481.43399999998</v>
      </c>
      <c r="X8" s="581">
        <f t="shared" si="4"/>
        <v>198862.57399999999</v>
      </c>
      <c r="Y8" s="581">
        <f t="shared" si="4"/>
        <v>200953.49900000001</v>
      </c>
      <c r="Z8" s="581">
        <f t="shared" si="4"/>
        <v>202794.45800000004</v>
      </c>
      <c r="AA8" s="581">
        <f t="shared" si="4"/>
        <v>204141.76700000005</v>
      </c>
      <c r="AB8" s="581">
        <f t="shared" ref="AB8" si="5">AB10+AB13+AB14+AB17+AB18+AB19+AB16+AB21+AB25+AB28+AB29+AB31+AB35+AB36+AB37</f>
        <v>205037.36900000001</v>
      </c>
      <c r="AC8" s="209">
        <f t="shared" ref="AC8:AC46" si="6">AB8/AA8*100-100</f>
        <v>0.43871570877504951</v>
      </c>
      <c r="AD8" s="197" t="s">
        <v>241</v>
      </c>
    </row>
    <row r="9" spans="1:30" ht="12.75" customHeight="1" x14ac:dyDescent="0.2">
      <c r="B9" s="199" t="s">
        <v>245</v>
      </c>
      <c r="C9" s="582"/>
      <c r="D9" s="582"/>
      <c r="E9" s="583">
        <f t="shared" ref="E9:X9" si="7">E7-E8</f>
        <v>15587.388999999996</v>
      </c>
      <c r="F9" s="584">
        <f t="shared" si="7"/>
        <v>16965.450000000012</v>
      </c>
      <c r="G9" s="584">
        <f t="shared" si="7"/>
        <v>17868.573999999993</v>
      </c>
      <c r="H9" s="584">
        <f t="shared" si="7"/>
        <v>18926.078999999969</v>
      </c>
      <c r="I9" s="584">
        <f t="shared" si="7"/>
        <v>19847.79700000002</v>
      </c>
      <c r="J9" s="584">
        <f t="shared" si="7"/>
        <v>20923.157000000007</v>
      </c>
      <c r="K9" s="584">
        <f t="shared" si="7"/>
        <v>22162.968999999983</v>
      </c>
      <c r="L9" s="584">
        <f t="shared" si="7"/>
        <v>23405.881999999983</v>
      </c>
      <c r="M9" s="584">
        <f t="shared" si="7"/>
        <v>24352.145999999979</v>
      </c>
      <c r="N9" s="584">
        <f t="shared" si="7"/>
        <v>25247.494000000006</v>
      </c>
      <c r="O9" s="584">
        <f t="shared" si="7"/>
        <v>26480.09699999998</v>
      </c>
      <c r="P9" s="584">
        <f t="shared" si="7"/>
        <v>27454.770999999979</v>
      </c>
      <c r="Q9" s="584">
        <f t="shared" si="7"/>
        <v>28608.944000000018</v>
      </c>
      <c r="R9" s="584">
        <f t="shared" si="7"/>
        <v>29535.074999999983</v>
      </c>
      <c r="S9" s="584">
        <f t="shared" si="7"/>
        <v>30771.705999999947</v>
      </c>
      <c r="T9" s="584">
        <f t="shared" si="7"/>
        <v>31996.480999999971</v>
      </c>
      <c r="U9" s="584">
        <f t="shared" si="7"/>
        <v>33126.904999999999</v>
      </c>
      <c r="V9" s="584">
        <f t="shared" si="7"/>
        <v>35095.308999999979</v>
      </c>
      <c r="W9" s="584">
        <f t="shared" si="7"/>
        <v>37905.869000000006</v>
      </c>
      <c r="X9" s="584">
        <f t="shared" si="7"/>
        <v>38710.405999999959</v>
      </c>
      <c r="Y9" s="584">
        <f>Y7-Y8</f>
        <v>39473.186999999976</v>
      </c>
      <c r="Z9" s="584">
        <f>Z7-Z8</f>
        <v>40655.059999999939</v>
      </c>
      <c r="AA9" s="584">
        <f>AA7-AA8</f>
        <v>41764.571999999927</v>
      </c>
      <c r="AB9" s="584">
        <f>AB7-AB8</f>
        <v>42959.81799999997</v>
      </c>
      <c r="AC9" s="211">
        <f t="shared" si="6"/>
        <v>2.8618657938121288</v>
      </c>
      <c r="AD9" s="199" t="s">
        <v>245</v>
      </c>
    </row>
    <row r="10" spans="1:30" ht="12.75" customHeight="1" x14ac:dyDescent="0.2">
      <c r="A10" s="8"/>
      <c r="B10" s="10" t="s">
        <v>63</v>
      </c>
      <c r="C10" s="201">
        <v>2059.616</v>
      </c>
      <c r="D10" s="201">
        <v>3158.7370000000001</v>
      </c>
      <c r="E10" s="585">
        <v>3864.1590000000001</v>
      </c>
      <c r="F10" s="585">
        <v>3970</v>
      </c>
      <c r="G10" s="585">
        <v>4021</v>
      </c>
      <c r="H10" s="585">
        <v>4109.6009999999997</v>
      </c>
      <c r="I10" s="585">
        <v>4210.1970000000001</v>
      </c>
      <c r="J10" s="585">
        <v>4273.451</v>
      </c>
      <c r="K10" s="585">
        <v>4339.2309999999998</v>
      </c>
      <c r="L10" s="585">
        <v>4415.3429999999998</v>
      </c>
      <c r="M10" s="585">
        <v>4491.7340000000004</v>
      </c>
      <c r="N10" s="585">
        <v>4583.6149999999998</v>
      </c>
      <c r="O10" s="585">
        <v>4678.3760000000002</v>
      </c>
      <c r="P10" s="585">
        <v>4739.8500000000004</v>
      </c>
      <c r="Q10" s="585">
        <v>4787.3590000000004</v>
      </c>
      <c r="R10" s="585">
        <v>4820.8680000000004</v>
      </c>
      <c r="S10" s="585">
        <v>4874.4260000000004</v>
      </c>
      <c r="T10" s="585">
        <v>4918.5439999999999</v>
      </c>
      <c r="U10" s="585">
        <v>4976.2860000000001</v>
      </c>
      <c r="V10" s="585">
        <v>5048.723</v>
      </c>
      <c r="W10" s="585">
        <v>5130.5780000000004</v>
      </c>
      <c r="X10" s="585">
        <v>5192.5659999999998</v>
      </c>
      <c r="Y10" s="585">
        <v>5276.2830000000004</v>
      </c>
      <c r="Z10" s="585">
        <v>5407</v>
      </c>
      <c r="AA10" s="585">
        <v>5440.7539999999999</v>
      </c>
      <c r="AB10" s="585">
        <v>5504.8090000000002</v>
      </c>
      <c r="AC10" s="163">
        <f t="shared" si="6"/>
        <v>1.1773184378488679</v>
      </c>
      <c r="AD10" s="10" t="s">
        <v>63</v>
      </c>
    </row>
    <row r="11" spans="1:30" ht="12.75" customHeight="1" x14ac:dyDescent="0.2">
      <c r="A11" s="8"/>
      <c r="B11" s="197" t="s">
        <v>46</v>
      </c>
      <c r="C11" s="202">
        <v>160</v>
      </c>
      <c r="D11" s="202">
        <v>820</v>
      </c>
      <c r="E11" s="586">
        <v>1317.4</v>
      </c>
      <c r="F11" s="586">
        <v>1359</v>
      </c>
      <c r="G11" s="586">
        <v>1411.3</v>
      </c>
      <c r="H11" s="586">
        <v>1505.451</v>
      </c>
      <c r="I11" s="586">
        <v>1587.873</v>
      </c>
      <c r="J11" s="586">
        <v>1647.5709999999999</v>
      </c>
      <c r="K11" s="586">
        <v>1707.0229999999999</v>
      </c>
      <c r="L11" s="586">
        <v>1730.5060000000001</v>
      </c>
      <c r="M11" s="586">
        <v>1809.35</v>
      </c>
      <c r="N11" s="586">
        <v>1908.4</v>
      </c>
      <c r="O11" s="586">
        <v>1992.7</v>
      </c>
      <c r="P11" s="586">
        <v>2085.6999999999998</v>
      </c>
      <c r="Q11" s="586">
        <v>2174.1</v>
      </c>
      <c r="R11" s="586">
        <v>2309.3000000000002</v>
      </c>
      <c r="S11" s="586">
        <v>2438.4</v>
      </c>
      <c r="T11" s="587">
        <v>2538.0920000000001</v>
      </c>
      <c r="U11" s="586">
        <v>1767.742</v>
      </c>
      <c r="V11" s="586">
        <v>2081.5169999999998</v>
      </c>
      <c r="W11" s="586">
        <v>2366.1959999999999</v>
      </c>
      <c r="X11" s="586">
        <v>2502</v>
      </c>
      <c r="Y11" s="586">
        <v>2602.4</v>
      </c>
      <c r="Z11" s="586">
        <v>2695</v>
      </c>
      <c r="AA11" s="586">
        <v>2807</v>
      </c>
      <c r="AB11" s="586">
        <v>2910.2</v>
      </c>
      <c r="AC11" s="224">
        <f t="shared" si="6"/>
        <v>3.676522978268622</v>
      </c>
      <c r="AD11" s="197" t="s">
        <v>46</v>
      </c>
    </row>
    <row r="12" spans="1:30" ht="12.75" customHeight="1" x14ac:dyDescent="0.2">
      <c r="A12" s="8"/>
      <c r="B12" s="10" t="s">
        <v>48</v>
      </c>
      <c r="C12" s="201">
        <v>685</v>
      </c>
      <c r="D12" s="201">
        <v>1780</v>
      </c>
      <c r="E12" s="585">
        <v>2410</v>
      </c>
      <c r="F12" s="585">
        <v>2480</v>
      </c>
      <c r="G12" s="585">
        <v>2580</v>
      </c>
      <c r="H12" s="585">
        <v>2833.143</v>
      </c>
      <c r="I12" s="585">
        <v>2923.9160000000002</v>
      </c>
      <c r="J12" s="585">
        <v>3043.3159999999998</v>
      </c>
      <c r="K12" s="585">
        <v>3192.5320000000002</v>
      </c>
      <c r="L12" s="585">
        <v>3391.5410000000002</v>
      </c>
      <c r="M12" s="585">
        <v>3492.9609999999998</v>
      </c>
      <c r="N12" s="585">
        <v>3439.7449999999999</v>
      </c>
      <c r="O12" s="585">
        <v>3438.87</v>
      </c>
      <c r="P12" s="585">
        <v>3529.7910000000002</v>
      </c>
      <c r="Q12" s="585">
        <v>3647.067</v>
      </c>
      <c r="R12" s="585">
        <v>3706.0120000000002</v>
      </c>
      <c r="S12" s="585">
        <v>3815.547</v>
      </c>
      <c r="T12" s="585">
        <v>3958.7080000000001</v>
      </c>
      <c r="U12" s="585">
        <v>4108.6099999999997</v>
      </c>
      <c r="V12" s="585">
        <v>4280.0810000000001</v>
      </c>
      <c r="W12" s="585">
        <v>4423.37</v>
      </c>
      <c r="X12" s="585">
        <v>4435.0519999999997</v>
      </c>
      <c r="Y12" s="585">
        <v>4496.232</v>
      </c>
      <c r="Z12" s="585">
        <v>4581.6419999999998</v>
      </c>
      <c r="AA12" s="585">
        <v>4706</v>
      </c>
      <c r="AB12" s="585">
        <v>4729.1850000000004</v>
      </c>
      <c r="AC12" s="165">
        <f t="shared" si="6"/>
        <v>0.49266893327668981</v>
      </c>
      <c r="AD12" s="10" t="s">
        <v>48</v>
      </c>
    </row>
    <row r="13" spans="1:30" ht="12.75" customHeight="1" x14ac:dyDescent="0.2">
      <c r="A13" s="8"/>
      <c r="B13" s="197" t="s">
        <v>59</v>
      </c>
      <c r="C13" s="202">
        <v>1076.875</v>
      </c>
      <c r="D13" s="202">
        <v>1390</v>
      </c>
      <c r="E13" s="586">
        <v>1590</v>
      </c>
      <c r="F13" s="586">
        <v>1594</v>
      </c>
      <c r="G13" s="586">
        <v>1604.0530000000001</v>
      </c>
      <c r="H13" s="586">
        <v>1617.7339999999999</v>
      </c>
      <c r="I13" s="586">
        <v>1611.191</v>
      </c>
      <c r="J13" s="586">
        <v>1679.0070000000001</v>
      </c>
      <c r="K13" s="586">
        <v>1738.854</v>
      </c>
      <c r="L13" s="586">
        <v>1783.098</v>
      </c>
      <c r="M13" s="586">
        <v>1817.1469999999999</v>
      </c>
      <c r="N13" s="586">
        <v>1843.2539999999999</v>
      </c>
      <c r="O13" s="586">
        <v>1854.06</v>
      </c>
      <c r="P13" s="586">
        <v>1872.6310000000001</v>
      </c>
      <c r="Q13" s="586">
        <v>1888.29</v>
      </c>
      <c r="R13" s="586">
        <v>1894.6489999999999</v>
      </c>
      <c r="S13" s="586">
        <v>1915.8209999999999</v>
      </c>
      <c r="T13" s="586">
        <v>1964.682</v>
      </c>
      <c r="U13" s="586">
        <v>2020.0129999999999</v>
      </c>
      <c r="V13" s="586">
        <v>2068.4929999999999</v>
      </c>
      <c r="W13" s="586">
        <v>2099.09</v>
      </c>
      <c r="X13" s="586">
        <v>2120.3220000000001</v>
      </c>
      <c r="Y13" s="586">
        <v>2163.6750000000002</v>
      </c>
      <c r="Z13" s="586">
        <v>2197.8310000000001</v>
      </c>
      <c r="AA13" s="586">
        <v>2237.1219999999998</v>
      </c>
      <c r="AB13" s="586">
        <v>2278.1210000000001</v>
      </c>
      <c r="AC13" s="224">
        <f t="shared" si="6"/>
        <v>1.8326671500258129</v>
      </c>
      <c r="AD13" s="197" t="s">
        <v>59</v>
      </c>
    </row>
    <row r="14" spans="1:30" ht="12.75" customHeight="1" x14ac:dyDescent="0.2">
      <c r="A14" s="8"/>
      <c r="B14" s="10" t="s">
        <v>64</v>
      </c>
      <c r="C14" s="201">
        <v>15107.079</v>
      </c>
      <c r="D14" s="201">
        <v>25869.616000000005</v>
      </c>
      <c r="E14" s="585">
        <v>36772</v>
      </c>
      <c r="F14" s="585">
        <v>37947</v>
      </c>
      <c r="G14" s="585">
        <v>38892</v>
      </c>
      <c r="H14" s="585">
        <v>39202.065999999999</v>
      </c>
      <c r="I14" s="585">
        <v>39917.576999999997</v>
      </c>
      <c r="J14" s="585">
        <v>40499.442000000003</v>
      </c>
      <c r="K14" s="588">
        <v>41045.216999999997</v>
      </c>
      <c r="L14" s="585">
        <v>36924.646999999997</v>
      </c>
      <c r="M14" s="585">
        <v>37553.548999999999</v>
      </c>
      <c r="N14" s="585">
        <v>38426.775999999998</v>
      </c>
      <c r="O14" s="585">
        <v>39058.936999999998</v>
      </c>
      <c r="P14" s="585">
        <v>39388.319000000003</v>
      </c>
      <c r="Q14" s="585">
        <v>39720.951000000001</v>
      </c>
      <c r="R14" s="585">
        <v>40017.482000000004</v>
      </c>
      <c r="S14" s="585">
        <v>40179.476999999999</v>
      </c>
      <c r="T14" s="585">
        <v>40659.5</v>
      </c>
      <c r="U14" s="585">
        <v>41019.699999999997</v>
      </c>
      <c r="V14" s="585">
        <v>41183.593999999997</v>
      </c>
      <c r="W14" s="585">
        <v>41321.171000000002</v>
      </c>
      <c r="X14" s="585">
        <v>41737.627</v>
      </c>
      <c r="Y14" s="585">
        <v>42301.563000000002</v>
      </c>
      <c r="Z14" s="585">
        <v>42928</v>
      </c>
      <c r="AA14" s="585">
        <v>43431</v>
      </c>
      <c r="AB14" s="585">
        <v>43851.23</v>
      </c>
      <c r="AC14" s="165">
        <f t="shared" si="6"/>
        <v>0.96758076028645235</v>
      </c>
      <c r="AD14" s="10" t="s">
        <v>64</v>
      </c>
    </row>
    <row r="15" spans="1:30" ht="12.75" customHeight="1" x14ac:dyDescent="0.2">
      <c r="A15" s="8"/>
      <c r="B15" s="197" t="s">
        <v>49</v>
      </c>
      <c r="C15" s="202">
        <v>30</v>
      </c>
      <c r="D15" s="202">
        <v>127</v>
      </c>
      <c r="E15" s="586">
        <v>241</v>
      </c>
      <c r="F15" s="586">
        <v>261</v>
      </c>
      <c r="G15" s="586">
        <v>284</v>
      </c>
      <c r="H15" s="586">
        <v>317.42500000000001</v>
      </c>
      <c r="I15" s="586">
        <v>337.81200000000001</v>
      </c>
      <c r="J15" s="586">
        <v>383.44400000000002</v>
      </c>
      <c r="K15" s="586">
        <v>406.59800000000001</v>
      </c>
      <c r="L15" s="586">
        <v>427.678</v>
      </c>
      <c r="M15" s="586">
        <v>450.95400000000001</v>
      </c>
      <c r="N15" s="586">
        <v>458.7</v>
      </c>
      <c r="O15" s="586">
        <v>463.9</v>
      </c>
      <c r="P15" s="586">
        <v>407.3</v>
      </c>
      <c r="Q15" s="586">
        <v>400.7</v>
      </c>
      <c r="R15" s="586">
        <v>434</v>
      </c>
      <c r="S15" s="586">
        <v>471.2</v>
      </c>
      <c r="T15" s="586">
        <v>493.78</v>
      </c>
      <c r="U15" s="587">
        <v>554.01199999999994</v>
      </c>
      <c r="V15" s="586">
        <v>523.76599999999996</v>
      </c>
      <c r="W15" s="586">
        <v>551.83000000000004</v>
      </c>
      <c r="X15" s="586">
        <v>545.70000000000005</v>
      </c>
      <c r="Y15" s="586">
        <v>552.70000000000005</v>
      </c>
      <c r="Z15" s="586">
        <v>574</v>
      </c>
      <c r="AA15" s="586">
        <v>602.1</v>
      </c>
      <c r="AB15" s="586">
        <v>628.5</v>
      </c>
      <c r="AC15" s="224">
        <f t="shared" si="6"/>
        <v>4.3846537120079603</v>
      </c>
      <c r="AD15" s="197" t="s">
        <v>49</v>
      </c>
    </row>
    <row r="16" spans="1:30" ht="12.75" customHeight="1" x14ac:dyDescent="0.2">
      <c r="A16" s="8"/>
      <c r="B16" s="10" t="s">
        <v>67</v>
      </c>
      <c r="C16" s="201">
        <v>393.459</v>
      </c>
      <c r="D16" s="201">
        <v>738.11400000000003</v>
      </c>
      <c r="E16" s="585">
        <f>796.408+4.977</f>
        <v>801.38499999999999</v>
      </c>
      <c r="F16" s="585">
        <f>836.583+5.363</f>
        <v>841.94600000000003</v>
      </c>
      <c r="G16" s="585">
        <f>858.498+5.711</f>
        <v>864.20900000000006</v>
      </c>
      <c r="H16" s="585">
        <f>891.027+6.144</f>
        <v>897.17100000000005</v>
      </c>
      <c r="I16" s="585">
        <f>939.022+6.925</f>
        <v>945.947</v>
      </c>
      <c r="J16" s="585">
        <f>990.384+8.086</f>
        <v>998.47</v>
      </c>
      <c r="K16" s="585">
        <f>1057.383+9.219</f>
        <v>1066.6020000000001</v>
      </c>
      <c r="L16" s="585">
        <f>1134.429+10.34</f>
        <v>1144.769</v>
      </c>
      <c r="M16" s="585">
        <f>1196.901+11.249</f>
        <v>1208.1500000000001</v>
      </c>
      <c r="N16" s="585">
        <f>1269.245+13.076</f>
        <v>1282.3209999999999</v>
      </c>
      <c r="O16" s="585">
        <f>1319.25+13.637</f>
        <v>1332.8869999999999</v>
      </c>
      <c r="P16" s="585">
        <f>1384.704+16.547</f>
        <v>1401.251</v>
      </c>
      <c r="Q16" s="585">
        <f>1447.908+18.252</f>
        <v>1466.1599999999999</v>
      </c>
      <c r="R16" s="585">
        <f>1507.106+19.856</f>
        <v>1526.962</v>
      </c>
      <c r="S16" s="585">
        <f>1582.833+20.744</f>
        <v>1603.577</v>
      </c>
      <c r="T16" s="585">
        <f>1662.157+21.888</f>
        <v>1684.0449999999998</v>
      </c>
      <c r="U16" s="585">
        <f>1778.861+23.284</f>
        <v>1802.1450000000002</v>
      </c>
      <c r="V16" s="585">
        <f>1882.901+26.654</f>
        <v>1909.5550000000001</v>
      </c>
      <c r="W16" s="585">
        <f>1924.281+29.053</f>
        <v>1953.3340000000001</v>
      </c>
      <c r="X16" s="585">
        <f>1902.429+28.284</f>
        <v>1930.7130000000002</v>
      </c>
      <c r="Y16" s="585">
        <f>1872.715+26.68</f>
        <v>1899.395</v>
      </c>
      <c r="Z16" s="585">
        <f>1887.81+25.129</f>
        <v>1912.9389999999999</v>
      </c>
      <c r="AA16" s="585">
        <f>1882.55+24.18</f>
        <v>1906.73</v>
      </c>
      <c r="AB16" s="585">
        <f>1910.165+22.964</f>
        <v>1933.1289999999999</v>
      </c>
      <c r="AC16" s="165">
        <f t="shared" si="6"/>
        <v>1.3845169478636166</v>
      </c>
      <c r="AD16" s="10" t="s">
        <v>67</v>
      </c>
    </row>
    <row r="17" spans="1:30" ht="12.75" customHeight="1" x14ac:dyDescent="0.2">
      <c r="A17" s="8"/>
      <c r="B17" s="197" t="s">
        <v>60</v>
      </c>
      <c r="C17" s="202">
        <v>226.893</v>
      </c>
      <c r="D17" s="202">
        <v>862.60900000000004</v>
      </c>
      <c r="E17" s="586">
        <v>1735.5229999999999</v>
      </c>
      <c r="F17" s="586">
        <v>1777.4839999999999</v>
      </c>
      <c r="G17" s="586">
        <v>1829.1</v>
      </c>
      <c r="H17" s="586">
        <v>1958.5440000000001</v>
      </c>
      <c r="I17" s="586">
        <v>2074.0810000000001</v>
      </c>
      <c r="J17" s="586">
        <v>2204.761</v>
      </c>
      <c r="K17" s="586">
        <v>2339.4209999999998</v>
      </c>
      <c r="L17" s="586">
        <v>2500.0990000000002</v>
      </c>
      <c r="M17" s="586">
        <v>2675.6759999999999</v>
      </c>
      <c r="N17" s="586">
        <v>2928.8809999999999</v>
      </c>
      <c r="O17" s="586">
        <v>3195.0650000000001</v>
      </c>
      <c r="P17" s="586">
        <v>3423.7040000000002</v>
      </c>
      <c r="Q17" s="586">
        <v>3646.069</v>
      </c>
      <c r="R17" s="586">
        <v>3839.549</v>
      </c>
      <c r="S17" s="586">
        <v>4073.511</v>
      </c>
      <c r="T17" s="586">
        <v>4303.1289999999999</v>
      </c>
      <c r="U17" s="586">
        <v>4543.0159999999996</v>
      </c>
      <c r="V17" s="586">
        <v>4798.53</v>
      </c>
      <c r="W17" s="586">
        <v>5023.9440000000004</v>
      </c>
      <c r="X17" s="586">
        <v>5131.96</v>
      </c>
      <c r="Y17" s="586">
        <v>5216.8729999999996</v>
      </c>
      <c r="Z17" s="586">
        <v>5203.5910000000003</v>
      </c>
      <c r="AA17" s="586">
        <v>5167.5569999999998</v>
      </c>
      <c r="AB17" s="586">
        <v>5124.2079999999996</v>
      </c>
      <c r="AC17" s="224">
        <f t="shared" si="6"/>
        <v>-0.83886834726737902</v>
      </c>
      <c r="AD17" s="197" t="s">
        <v>60</v>
      </c>
    </row>
    <row r="18" spans="1:30" ht="12.75" customHeight="1" x14ac:dyDescent="0.2">
      <c r="A18" s="8"/>
      <c r="B18" s="10" t="s">
        <v>65</v>
      </c>
      <c r="C18" s="201">
        <v>2378</v>
      </c>
      <c r="D18" s="201">
        <v>7556.5110000000004</v>
      </c>
      <c r="E18" s="585">
        <v>11995.64</v>
      </c>
      <c r="F18" s="585">
        <v>12537.099</v>
      </c>
      <c r="G18" s="585">
        <v>13102.285</v>
      </c>
      <c r="H18" s="585">
        <v>13440.694</v>
      </c>
      <c r="I18" s="585">
        <v>13733.794</v>
      </c>
      <c r="J18" s="585">
        <v>14212.259</v>
      </c>
      <c r="K18" s="585">
        <v>14753.808999999999</v>
      </c>
      <c r="L18" s="585">
        <v>15297.366</v>
      </c>
      <c r="M18" s="585">
        <v>16050.057000000001</v>
      </c>
      <c r="N18" s="585">
        <v>16847.397000000001</v>
      </c>
      <c r="O18" s="585">
        <v>17449.235000000001</v>
      </c>
      <c r="P18" s="585">
        <v>18150.88</v>
      </c>
      <c r="Q18" s="588">
        <v>18732.632000000001</v>
      </c>
      <c r="R18" s="585">
        <v>18688.32</v>
      </c>
      <c r="S18" s="585">
        <v>19541.918000000001</v>
      </c>
      <c r="T18" s="585">
        <v>20250.377</v>
      </c>
      <c r="U18" s="585">
        <v>20908.724999999999</v>
      </c>
      <c r="V18" s="585">
        <v>21760.173999999999</v>
      </c>
      <c r="W18" s="585">
        <v>22145.364000000001</v>
      </c>
      <c r="X18" s="585">
        <v>21983.485000000001</v>
      </c>
      <c r="Y18" s="585">
        <v>22147.455000000002</v>
      </c>
      <c r="Z18" s="585">
        <v>22277</v>
      </c>
      <c r="AA18" s="585">
        <v>22247.527999999998</v>
      </c>
      <c r="AB18" s="585">
        <v>22024.538</v>
      </c>
      <c r="AC18" s="165">
        <f t="shared" si="6"/>
        <v>-1.0023136053587507</v>
      </c>
      <c r="AD18" s="10" t="s">
        <v>65</v>
      </c>
    </row>
    <row r="19" spans="1:30" ht="12.75" customHeight="1" x14ac:dyDescent="0.2">
      <c r="A19" s="8"/>
      <c r="B19" s="197" t="s">
        <v>66</v>
      </c>
      <c r="C19" s="202">
        <v>11900</v>
      </c>
      <c r="D19" s="202">
        <v>19100</v>
      </c>
      <c r="E19" s="586">
        <v>27071.642</v>
      </c>
      <c r="F19" s="586">
        <v>27309.644</v>
      </c>
      <c r="G19" s="586">
        <v>27596.041000000001</v>
      </c>
      <c r="H19" s="586">
        <v>27680.285</v>
      </c>
      <c r="I19" s="586">
        <v>27761.921999999999</v>
      </c>
      <c r="J19" s="586">
        <v>27872.066999999999</v>
      </c>
      <c r="K19" s="586">
        <v>28017.221000000001</v>
      </c>
      <c r="L19" s="586">
        <v>28201.321</v>
      </c>
      <c r="M19" s="586">
        <v>28627.360000000001</v>
      </c>
      <c r="N19" s="586">
        <v>29272.165000000001</v>
      </c>
      <c r="O19" s="586">
        <v>29807.798999999999</v>
      </c>
      <c r="P19" s="586">
        <v>30330.382000000001</v>
      </c>
      <c r="Q19" s="586">
        <v>30590.742999999999</v>
      </c>
      <c r="R19" s="586">
        <v>30582.717000000001</v>
      </c>
      <c r="S19" s="586">
        <v>30537.243999999999</v>
      </c>
      <c r="T19" s="586">
        <v>30497.012999999999</v>
      </c>
      <c r="U19" s="586">
        <v>31002.304</v>
      </c>
      <c r="V19" s="586">
        <v>31442.880000000001</v>
      </c>
      <c r="W19" s="586">
        <v>31109.080999999998</v>
      </c>
      <c r="X19" s="586">
        <v>31393.734</v>
      </c>
      <c r="Y19" s="586">
        <v>31656.746999999999</v>
      </c>
      <c r="Z19" s="586">
        <v>31753.535</v>
      </c>
      <c r="AA19" s="586">
        <v>32131.583999999999</v>
      </c>
      <c r="AB19" s="586">
        <v>32243.826000000001</v>
      </c>
      <c r="AC19" s="224">
        <f t="shared" si="6"/>
        <v>0.34931984679001005</v>
      </c>
      <c r="AD19" s="197" t="s">
        <v>66</v>
      </c>
    </row>
    <row r="20" spans="1:30" ht="12.75" customHeight="1" x14ac:dyDescent="0.2">
      <c r="A20" s="8"/>
      <c r="B20" s="10" t="s">
        <v>77</v>
      </c>
      <c r="C20" s="201" t="s">
        <v>75</v>
      </c>
      <c r="D20" s="201" t="s">
        <v>75</v>
      </c>
      <c r="E20" s="589">
        <v>580</v>
      </c>
      <c r="F20" s="589">
        <v>600</v>
      </c>
      <c r="G20" s="589">
        <v>620</v>
      </c>
      <c r="H20" s="585">
        <v>646.21</v>
      </c>
      <c r="I20" s="585">
        <v>698.39099999999996</v>
      </c>
      <c r="J20" s="585">
        <v>710.91</v>
      </c>
      <c r="K20" s="585">
        <v>835.71400000000006</v>
      </c>
      <c r="L20" s="585">
        <v>932.27800000000002</v>
      </c>
      <c r="M20" s="585">
        <v>1000.052</v>
      </c>
      <c r="N20" s="585">
        <v>1063.546</v>
      </c>
      <c r="O20" s="585">
        <v>1124.825</v>
      </c>
      <c r="P20" s="585">
        <v>1195.45</v>
      </c>
      <c r="Q20" s="585">
        <v>1244.252</v>
      </c>
      <c r="R20" s="585">
        <v>1293.421</v>
      </c>
      <c r="S20" s="585">
        <v>1337.538</v>
      </c>
      <c r="T20" s="585">
        <v>1384.6990000000001</v>
      </c>
      <c r="U20" s="585">
        <v>1435.7809999999999</v>
      </c>
      <c r="V20" s="585">
        <v>1491.127</v>
      </c>
      <c r="W20" s="588">
        <v>1535.28</v>
      </c>
      <c r="X20" s="585">
        <v>1532.549</v>
      </c>
      <c r="Y20" s="585">
        <v>1515.4490000000001</v>
      </c>
      <c r="Z20" s="585">
        <v>1518.278</v>
      </c>
      <c r="AA20" s="585">
        <v>1445.22</v>
      </c>
      <c r="AB20" s="585">
        <v>1448.299</v>
      </c>
      <c r="AC20" s="165">
        <f t="shared" si="6"/>
        <v>0.21304714853100393</v>
      </c>
      <c r="AD20" s="10" t="s">
        <v>77</v>
      </c>
    </row>
    <row r="21" spans="1:30" ht="12.75" customHeight="1" x14ac:dyDescent="0.2">
      <c r="A21" s="8"/>
      <c r="B21" s="197" t="s">
        <v>68</v>
      </c>
      <c r="C21" s="202">
        <v>10181.191999999999</v>
      </c>
      <c r="D21" s="202">
        <v>17686.236000000001</v>
      </c>
      <c r="E21" s="586">
        <v>27415.828000000001</v>
      </c>
      <c r="F21" s="586">
        <v>28434.922999999999</v>
      </c>
      <c r="G21" s="586">
        <v>29429.628000000001</v>
      </c>
      <c r="H21" s="586">
        <v>29652.024000000001</v>
      </c>
      <c r="I21" s="586">
        <v>29665.308000000001</v>
      </c>
      <c r="J21" s="586">
        <v>30301.423999999999</v>
      </c>
      <c r="K21" s="586">
        <v>30467.172999999999</v>
      </c>
      <c r="L21" s="586">
        <v>30741.953000000001</v>
      </c>
      <c r="M21" s="586">
        <v>31370.764999999999</v>
      </c>
      <c r="N21" s="586">
        <v>32038.291000000001</v>
      </c>
      <c r="O21" s="586">
        <v>32583.814999999999</v>
      </c>
      <c r="P21" s="586">
        <v>33239.029000000002</v>
      </c>
      <c r="Q21" s="586">
        <v>33706.152999999998</v>
      </c>
      <c r="R21" s="586">
        <v>34310.446000000004</v>
      </c>
      <c r="S21" s="586">
        <v>33973.146999999997</v>
      </c>
      <c r="T21" s="586">
        <v>34667.485000000001</v>
      </c>
      <c r="U21" s="586">
        <v>35297.281999999999</v>
      </c>
      <c r="V21" s="586">
        <v>35680.097000000002</v>
      </c>
      <c r="W21" s="586">
        <v>36105.182999999997</v>
      </c>
      <c r="X21" s="586">
        <v>36372</v>
      </c>
      <c r="Y21" s="586">
        <v>36751</v>
      </c>
      <c r="Z21" s="586">
        <v>37113</v>
      </c>
      <c r="AA21" s="586">
        <v>37078</v>
      </c>
      <c r="AB21" s="586">
        <v>36962.934000000001</v>
      </c>
      <c r="AC21" s="224">
        <f t="shared" si="6"/>
        <v>-0.31033496952370854</v>
      </c>
      <c r="AD21" s="197" t="s">
        <v>68</v>
      </c>
    </row>
    <row r="22" spans="1:30" ht="12.75" customHeight="1" x14ac:dyDescent="0.2">
      <c r="A22" s="8"/>
      <c r="B22" s="10" t="s">
        <v>47</v>
      </c>
      <c r="C22" s="201">
        <v>60</v>
      </c>
      <c r="D22" s="201">
        <v>90</v>
      </c>
      <c r="E22" s="585">
        <v>178.602</v>
      </c>
      <c r="F22" s="585">
        <v>190</v>
      </c>
      <c r="G22" s="585">
        <v>200</v>
      </c>
      <c r="H22" s="585">
        <v>203.61</v>
      </c>
      <c r="I22" s="585">
        <v>210.36500000000001</v>
      </c>
      <c r="J22" s="585">
        <v>219.749</v>
      </c>
      <c r="K22" s="585">
        <v>226.83199999999999</v>
      </c>
      <c r="L22" s="585">
        <v>234.976</v>
      </c>
      <c r="M22" s="585">
        <v>249.22499999999999</v>
      </c>
      <c r="N22" s="585">
        <v>256.98899999999998</v>
      </c>
      <c r="O22" s="585">
        <v>267.589</v>
      </c>
      <c r="P22" s="588">
        <v>280.06900000000002</v>
      </c>
      <c r="Q22" s="585">
        <v>287.62200000000001</v>
      </c>
      <c r="R22" s="585">
        <v>302.50099999999998</v>
      </c>
      <c r="S22" s="585">
        <v>335.63400000000001</v>
      </c>
      <c r="T22" s="585">
        <v>355.13400000000001</v>
      </c>
      <c r="U22" s="585">
        <v>372.94499999999999</v>
      </c>
      <c r="V22" s="585">
        <v>410.93599999999998</v>
      </c>
      <c r="W22" s="585">
        <v>443.517</v>
      </c>
      <c r="X22" s="585">
        <v>460.50400000000002</v>
      </c>
      <c r="Y22" s="585">
        <v>462.65199999999999</v>
      </c>
      <c r="Z22" s="585">
        <v>470</v>
      </c>
      <c r="AA22" s="585">
        <v>475.46199999999999</v>
      </c>
      <c r="AB22" s="585">
        <v>474.56099999999998</v>
      </c>
      <c r="AC22" s="165">
        <f t="shared" si="6"/>
        <v>-0.18949989694235114</v>
      </c>
      <c r="AD22" s="10" t="s">
        <v>47</v>
      </c>
    </row>
    <row r="23" spans="1:30" ht="12.75" customHeight="1" x14ac:dyDescent="0.2">
      <c r="A23" s="8"/>
      <c r="B23" s="197" t="s">
        <v>51</v>
      </c>
      <c r="C23" s="202">
        <v>40</v>
      </c>
      <c r="D23" s="202">
        <v>166</v>
      </c>
      <c r="E23" s="586">
        <v>283</v>
      </c>
      <c r="F23" s="586">
        <v>329</v>
      </c>
      <c r="G23" s="586">
        <v>350</v>
      </c>
      <c r="H23" s="587">
        <v>367.47500000000002</v>
      </c>
      <c r="I23" s="586">
        <v>251.59299999999999</v>
      </c>
      <c r="J23" s="586">
        <v>332</v>
      </c>
      <c r="K23" s="586">
        <v>379.89499999999998</v>
      </c>
      <c r="L23" s="586">
        <v>431.81599999999997</v>
      </c>
      <c r="M23" s="586">
        <v>482.67</v>
      </c>
      <c r="N23" s="586">
        <v>525.572</v>
      </c>
      <c r="O23" s="586">
        <v>556.79999999999995</v>
      </c>
      <c r="P23" s="586">
        <v>586.20000000000005</v>
      </c>
      <c r="Q23" s="586">
        <v>619.1</v>
      </c>
      <c r="R23" s="586">
        <v>648.9</v>
      </c>
      <c r="S23" s="586">
        <v>686.12800000000004</v>
      </c>
      <c r="T23" s="586">
        <v>742.447</v>
      </c>
      <c r="U23" s="586">
        <v>822.01099999999997</v>
      </c>
      <c r="V23" s="586">
        <v>904.86900000000003</v>
      </c>
      <c r="W23" s="586">
        <v>932.82799999999997</v>
      </c>
      <c r="X23" s="586">
        <v>904.30799999999999</v>
      </c>
      <c r="Y23" s="590">
        <v>636.66399999999999</v>
      </c>
      <c r="Z23" s="586">
        <v>612.32000000000005</v>
      </c>
      <c r="AA23" s="586">
        <v>618.274</v>
      </c>
      <c r="AB23" s="586">
        <v>634.60299999999995</v>
      </c>
      <c r="AC23" s="224">
        <f t="shared" si="6"/>
        <v>2.6410620533938101</v>
      </c>
      <c r="AD23" s="197" t="s">
        <v>51</v>
      </c>
    </row>
    <row r="24" spans="1:30" s="25" customFormat="1" ht="12.75" customHeight="1" x14ac:dyDescent="0.2">
      <c r="A24" s="460"/>
      <c r="B24" s="10" t="s">
        <v>52</v>
      </c>
      <c r="C24" s="201">
        <v>43.7</v>
      </c>
      <c r="D24" s="201">
        <v>247</v>
      </c>
      <c r="E24" s="585">
        <v>493</v>
      </c>
      <c r="F24" s="585">
        <v>531</v>
      </c>
      <c r="G24" s="585">
        <v>565</v>
      </c>
      <c r="H24" s="585">
        <v>597.73500000000001</v>
      </c>
      <c r="I24" s="585">
        <v>652.80999999999995</v>
      </c>
      <c r="J24" s="585">
        <v>718.46900000000005</v>
      </c>
      <c r="K24" s="585">
        <v>785.08799999999997</v>
      </c>
      <c r="L24" s="585">
        <v>882.101</v>
      </c>
      <c r="M24" s="585">
        <v>980.91</v>
      </c>
      <c r="N24" s="585">
        <v>1089.3340000000001</v>
      </c>
      <c r="O24" s="585">
        <v>1172.394</v>
      </c>
      <c r="P24" s="585">
        <v>1133.4770000000001</v>
      </c>
      <c r="Q24" s="585">
        <v>1180.9449999999999</v>
      </c>
      <c r="R24" s="585">
        <v>1256.8530000000001</v>
      </c>
      <c r="S24" s="585">
        <v>1315.914</v>
      </c>
      <c r="T24" s="585">
        <v>1455.2760000000001</v>
      </c>
      <c r="U24" s="585">
        <v>1592.2380000000001</v>
      </c>
      <c r="V24" s="585">
        <v>1587.903</v>
      </c>
      <c r="W24" s="585">
        <v>1671.0650000000001</v>
      </c>
      <c r="X24" s="585">
        <v>1695.2860000000001</v>
      </c>
      <c r="Y24" s="585">
        <v>1691.855</v>
      </c>
      <c r="Z24" s="585">
        <v>1713.3</v>
      </c>
      <c r="AA24" s="585">
        <v>1753.4069999999999</v>
      </c>
      <c r="AB24" s="585">
        <f>1808.982</f>
        <v>1808.982</v>
      </c>
      <c r="AC24" s="165">
        <f t="shared" si="6"/>
        <v>3.1695436370449102</v>
      </c>
      <c r="AD24" s="10" t="s">
        <v>52</v>
      </c>
    </row>
    <row r="25" spans="1:30" ht="12.75" customHeight="1" x14ac:dyDescent="0.2">
      <c r="A25" s="8"/>
      <c r="B25" s="197" t="s">
        <v>69</v>
      </c>
      <c r="C25" s="202">
        <v>72</v>
      </c>
      <c r="D25" s="202">
        <v>128.6</v>
      </c>
      <c r="E25" s="586">
        <v>183.404</v>
      </c>
      <c r="F25" s="586">
        <v>192</v>
      </c>
      <c r="G25" s="586">
        <v>201</v>
      </c>
      <c r="H25" s="586">
        <v>208</v>
      </c>
      <c r="I25" s="586">
        <v>217.75399999999999</v>
      </c>
      <c r="J25" s="586">
        <v>229.03700000000001</v>
      </c>
      <c r="K25" s="586">
        <v>231.666</v>
      </c>
      <c r="L25" s="586">
        <v>236.834</v>
      </c>
      <c r="M25" s="586">
        <v>253.40600000000001</v>
      </c>
      <c r="N25" s="586">
        <v>263.47500000000002</v>
      </c>
      <c r="O25" s="586">
        <v>273.08600000000001</v>
      </c>
      <c r="P25" s="586">
        <v>280.709</v>
      </c>
      <c r="Q25" s="586">
        <v>287.245</v>
      </c>
      <c r="R25" s="586">
        <v>293.39800000000002</v>
      </c>
      <c r="S25" s="586">
        <v>299.75900000000001</v>
      </c>
      <c r="T25" s="586">
        <f>211.567+92.927+2.771</f>
        <v>307.26500000000004</v>
      </c>
      <c r="U25" s="586">
        <f>208.15+104.392+2.162</f>
        <v>314.70400000000001</v>
      </c>
      <c r="V25" s="586">
        <f>204.895+114.963+1.662</f>
        <v>321.52</v>
      </c>
      <c r="W25" s="586">
        <f>200.038+127.697+1.303</f>
        <v>329.03800000000001</v>
      </c>
      <c r="X25" s="586">
        <f>191.197+139.28+1.026</f>
        <v>331.50299999999999</v>
      </c>
      <c r="Y25" s="586">
        <f>184.633+151.812+0.794</f>
        <v>337.23900000000003</v>
      </c>
      <c r="Z25" s="586">
        <f>207.642+137.309+0.624</f>
        <v>345.57500000000005</v>
      </c>
      <c r="AA25" s="586">
        <f>207.902+147.456+0.492</f>
        <v>355.84999999999997</v>
      </c>
      <c r="AB25" s="586">
        <f>205.132+157.747+0.368</f>
        <v>363.24700000000001</v>
      </c>
      <c r="AC25" s="224">
        <f t="shared" si="6"/>
        <v>2.0786848391176136</v>
      </c>
      <c r="AD25" s="197" t="s">
        <v>69</v>
      </c>
    </row>
    <row r="26" spans="1:30" s="25" customFormat="1" ht="12.75" customHeight="1" x14ac:dyDescent="0.2">
      <c r="A26" s="460"/>
      <c r="B26" s="10" t="s">
        <v>50</v>
      </c>
      <c r="C26" s="201">
        <v>240</v>
      </c>
      <c r="D26" s="201">
        <v>1010</v>
      </c>
      <c r="E26" s="585">
        <v>1944</v>
      </c>
      <c r="F26" s="585">
        <v>2020</v>
      </c>
      <c r="G26" s="585">
        <v>2058</v>
      </c>
      <c r="H26" s="585">
        <v>2093.529</v>
      </c>
      <c r="I26" s="585">
        <v>2178.8910000000001</v>
      </c>
      <c r="J26" s="585">
        <v>2244.9459999999999</v>
      </c>
      <c r="K26" s="585">
        <v>2265.1799999999998</v>
      </c>
      <c r="L26" s="585">
        <v>2297.9639999999999</v>
      </c>
      <c r="M26" s="585">
        <v>2218.1239999999998</v>
      </c>
      <c r="N26" s="585">
        <v>2255.5259999999998</v>
      </c>
      <c r="O26" s="585">
        <v>2364.7060000000001</v>
      </c>
      <c r="P26" s="585">
        <v>2482.8270000000002</v>
      </c>
      <c r="Q26" s="585">
        <v>2629.5259999999998</v>
      </c>
      <c r="R26" s="585">
        <v>2777.2190000000001</v>
      </c>
      <c r="S26" s="585">
        <v>2828.433</v>
      </c>
      <c r="T26" s="585">
        <v>2888.7350000000001</v>
      </c>
      <c r="U26" s="585">
        <v>2953.7370000000001</v>
      </c>
      <c r="V26" s="585">
        <v>3012.165</v>
      </c>
      <c r="W26" s="585">
        <v>3055.4270000000001</v>
      </c>
      <c r="X26" s="585">
        <v>3013.7190000000001</v>
      </c>
      <c r="Y26" s="585">
        <v>2984.0630000000001</v>
      </c>
      <c r="Z26" s="585">
        <v>2967.808</v>
      </c>
      <c r="AA26" s="585">
        <v>2986.0279999999998</v>
      </c>
      <c r="AB26" s="585">
        <f>3040.732</f>
        <v>3040.732</v>
      </c>
      <c r="AC26" s="165">
        <f t="shared" si="6"/>
        <v>1.8319988961925446</v>
      </c>
      <c r="AD26" s="10" t="s">
        <v>50</v>
      </c>
    </row>
    <row r="27" spans="1:30" ht="12.75" customHeight="1" x14ac:dyDescent="0.2">
      <c r="A27" s="8"/>
      <c r="B27" s="197" t="s">
        <v>53</v>
      </c>
      <c r="C27" s="202" t="s">
        <v>75</v>
      </c>
      <c r="D27" s="202" t="s">
        <v>75</v>
      </c>
      <c r="E27" s="591">
        <v>120</v>
      </c>
      <c r="F27" s="586">
        <v>122</v>
      </c>
      <c r="G27" s="586">
        <v>125</v>
      </c>
      <c r="H27" s="586">
        <v>152.613</v>
      </c>
      <c r="I27" s="586">
        <v>170.63499999999999</v>
      </c>
      <c r="J27" s="586">
        <v>180.851</v>
      </c>
      <c r="K27" s="586">
        <v>182</v>
      </c>
      <c r="L27" s="587">
        <f>177.651+6.123</f>
        <v>183.774</v>
      </c>
      <c r="M27" s="586">
        <f>0.863+169.542+4.136+0.245</f>
        <v>174.786</v>
      </c>
      <c r="N27" s="586">
        <f>0.966+176.264+4.777+0.245</f>
        <v>182.25200000000001</v>
      </c>
      <c r="O27" s="586">
        <f>1.034+182.105+5.738+0.246</f>
        <v>189.12299999999999</v>
      </c>
      <c r="P27" s="586">
        <f>1.116+188.495+5.521+0.247</f>
        <v>195.37900000000002</v>
      </c>
      <c r="Q27" s="586">
        <f>1.165+195.055+5.454+0.247</f>
        <v>201.92100000000002</v>
      </c>
      <c r="R27" s="586">
        <f>1.194+201.924+5.447+0.247</f>
        <v>208.81200000000001</v>
      </c>
      <c r="S27" s="586">
        <f>1.19+204.702+5.245+0.246</f>
        <v>211.38300000000001</v>
      </c>
      <c r="T27" s="586">
        <f>1.133+206.148+5.034+0.246</f>
        <v>212.56100000000001</v>
      </c>
      <c r="U27" s="586">
        <f>1.123+211.84+4.943+0.247</f>
        <v>218.15300000000002</v>
      </c>
      <c r="V27" s="586">
        <v>224.89599999999999</v>
      </c>
      <c r="W27" s="586">
        <v>229.38899999999998</v>
      </c>
      <c r="X27" s="586">
        <v>233.48600000000002</v>
      </c>
      <c r="Y27" s="590">
        <v>240.95999999999998</v>
      </c>
      <c r="Z27" s="586">
        <v>247.37499999999997</v>
      </c>
      <c r="AA27" s="586">
        <f>242.149+0.291+3.264+3.029+0.879</f>
        <v>249.61199999999999</v>
      </c>
      <c r="AB27" s="586">
        <f>248.245+0.292+4.1+2.551+0.908</f>
        <v>256.096</v>
      </c>
      <c r="AC27" s="224">
        <f t="shared" si="6"/>
        <v>2.5976315241254468</v>
      </c>
      <c r="AD27" s="197" t="s">
        <v>53</v>
      </c>
    </row>
    <row r="28" spans="1:30" s="25" customFormat="1" ht="12.75" customHeight="1" x14ac:dyDescent="0.2">
      <c r="A28" s="460"/>
      <c r="B28" s="10" t="s">
        <v>61</v>
      </c>
      <c r="C28" s="201">
        <v>2564</v>
      </c>
      <c r="D28" s="201">
        <v>4550</v>
      </c>
      <c r="E28" s="585">
        <v>5509.1729999999998</v>
      </c>
      <c r="F28" s="585">
        <v>5554</v>
      </c>
      <c r="G28" s="585">
        <v>5658</v>
      </c>
      <c r="H28" s="585">
        <v>5755</v>
      </c>
      <c r="I28" s="585">
        <v>5884</v>
      </c>
      <c r="J28" s="585">
        <v>5633</v>
      </c>
      <c r="K28" s="585">
        <v>5740</v>
      </c>
      <c r="L28" s="585">
        <v>5931.3869999999997</v>
      </c>
      <c r="M28" s="585">
        <v>6119.5810000000001</v>
      </c>
      <c r="N28" s="585">
        <v>6343.1949999999997</v>
      </c>
      <c r="O28" s="585">
        <v>6539.2120000000004</v>
      </c>
      <c r="P28" s="585">
        <v>6710.6019999999999</v>
      </c>
      <c r="Q28" s="585">
        <v>6854.7430000000004</v>
      </c>
      <c r="R28" s="585">
        <v>6908.473</v>
      </c>
      <c r="S28" s="585">
        <v>6991.991</v>
      </c>
      <c r="T28" s="585">
        <v>7092.2929999999997</v>
      </c>
      <c r="U28" s="585">
        <v>7230.1779999999999</v>
      </c>
      <c r="V28" s="585">
        <v>7391.9030000000002</v>
      </c>
      <c r="W28" s="585">
        <v>7542.3310000000001</v>
      </c>
      <c r="X28" s="585">
        <v>7622</v>
      </c>
      <c r="Y28" s="585">
        <v>7736</v>
      </c>
      <c r="Z28" s="585">
        <v>7859</v>
      </c>
      <c r="AA28" s="585">
        <v>7915.6130000000003</v>
      </c>
      <c r="AB28" s="585">
        <f>7932.29</f>
        <v>7932.29</v>
      </c>
      <c r="AC28" s="165">
        <f t="shared" si="6"/>
        <v>0.21068488315434308</v>
      </c>
      <c r="AD28" s="10" t="s">
        <v>61</v>
      </c>
    </row>
    <row r="29" spans="1:30" ht="12.75" customHeight="1" x14ac:dyDescent="0.2">
      <c r="A29" s="8"/>
      <c r="B29" s="197" t="s">
        <v>70</v>
      </c>
      <c r="C29" s="202">
        <v>1197</v>
      </c>
      <c r="D29" s="202">
        <v>2247</v>
      </c>
      <c r="E29" s="586">
        <v>2991</v>
      </c>
      <c r="F29" s="586">
        <v>3100</v>
      </c>
      <c r="G29" s="586">
        <v>3245</v>
      </c>
      <c r="H29" s="586">
        <v>3367.6260000000002</v>
      </c>
      <c r="I29" s="586">
        <v>3479.5949999999998</v>
      </c>
      <c r="J29" s="586">
        <v>3593.5880000000002</v>
      </c>
      <c r="K29" s="586">
        <v>3690.692</v>
      </c>
      <c r="L29" s="586">
        <v>3782.5430000000001</v>
      </c>
      <c r="M29" s="586">
        <v>3887.174</v>
      </c>
      <c r="N29" s="586">
        <v>4009.6039999999998</v>
      </c>
      <c r="O29" s="586">
        <v>4097.1450000000004</v>
      </c>
      <c r="P29" s="587">
        <v>4182.027</v>
      </c>
      <c r="Q29" s="586">
        <v>3987.0929999999998</v>
      </c>
      <c r="R29" s="586">
        <v>4054.308</v>
      </c>
      <c r="S29" s="586">
        <v>4109.1289999999999</v>
      </c>
      <c r="T29" s="586">
        <v>4156.7430000000004</v>
      </c>
      <c r="U29" s="586">
        <v>4204.9690000000001</v>
      </c>
      <c r="V29" s="586">
        <v>4245.5829999999996</v>
      </c>
      <c r="W29" s="586">
        <v>4284.9189999999999</v>
      </c>
      <c r="X29" s="586">
        <v>4359.9440000000004</v>
      </c>
      <c r="Y29" s="586">
        <v>4441.027</v>
      </c>
      <c r="Z29" s="586">
        <v>4513.4210000000003</v>
      </c>
      <c r="AA29" s="586">
        <v>4584.2020000000002</v>
      </c>
      <c r="AB29" s="586">
        <v>4641.308</v>
      </c>
      <c r="AC29" s="224">
        <f t="shared" si="6"/>
        <v>1.2457129943226732</v>
      </c>
      <c r="AD29" s="197" t="s">
        <v>70</v>
      </c>
    </row>
    <row r="30" spans="1:30" s="25" customFormat="1" ht="12.75" customHeight="1" x14ac:dyDescent="0.2">
      <c r="A30" s="460"/>
      <c r="B30" s="10" t="s">
        <v>54</v>
      </c>
      <c r="C30" s="201">
        <v>479</v>
      </c>
      <c r="D30" s="201">
        <v>2380</v>
      </c>
      <c r="E30" s="585">
        <v>5261</v>
      </c>
      <c r="F30" s="585">
        <v>6110</v>
      </c>
      <c r="G30" s="585">
        <v>6505</v>
      </c>
      <c r="H30" s="585">
        <v>6770.5569999999998</v>
      </c>
      <c r="I30" s="585">
        <v>7153.1409999999996</v>
      </c>
      <c r="J30" s="585">
        <v>7517.2659999999996</v>
      </c>
      <c r="K30" s="585">
        <v>8054.4480000000003</v>
      </c>
      <c r="L30" s="585">
        <v>8533.4490000000005</v>
      </c>
      <c r="M30" s="585">
        <v>8890.7630000000008</v>
      </c>
      <c r="N30" s="585">
        <v>9282.9</v>
      </c>
      <c r="O30" s="585">
        <v>9991.2999999999993</v>
      </c>
      <c r="P30" s="585">
        <v>10503.1</v>
      </c>
      <c r="Q30" s="585">
        <v>11028.9</v>
      </c>
      <c r="R30" s="585">
        <v>11243.8</v>
      </c>
      <c r="S30" s="585">
        <v>11975.191000000001</v>
      </c>
      <c r="T30" s="585">
        <v>12339.352999999999</v>
      </c>
      <c r="U30" s="585">
        <v>13384.228999999999</v>
      </c>
      <c r="V30" s="585">
        <v>14588.739</v>
      </c>
      <c r="W30" s="585">
        <v>16079.532999999999</v>
      </c>
      <c r="X30" s="585">
        <v>16495</v>
      </c>
      <c r="Y30" s="585">
        <v>17239.8</v>
      </c>
      <c r="Z30" s="585">
        <v>18125</v>
      </c>
      <c r="AA30" s="585">
        <v>18744</v>
      </c>
      <c r="AB30" s="585">
        <v>19389.446</v>
      </c>
      <c r="AC30" s="165">
        <f t="shared" si="6"/>
        <v>3.4434805804524018</v>
      </c>
      <c r="AD30" s="10" t="s">
        <v>54</v>
      </c>
    </row>
    <row r="31" spans="1:30" ht="12.75" customHeight="1" x14ac:dyDescent="0.2">
      <c r="A31" s="8"/>
      <c r="B31" s="197" t="s">
        <v>71</v>
      </c>
      <c r="C31" s="202">
        <v>421</v>
      </c>
      <c r="D31" s="202">
        <v>1269</v>
      </c>
      <c r="E31" s="586">
        <v>1849</v>
      </c>
      <c r="F31" s="591">
        <v>1950</v>
      </c>
      <c r="G31" s="591">
        <v>2100</v>
      </c>
      <c r="H31" s="591">
        <v>2250</v>
      </c>
      <c r="I31" s="591">
        <v>2410</v>
      </c>
      <c r="J31" s="586">
        <v>2560</v>
      </c>
      <c r="K31" s="586">
        <v>2750</v>
      </c>
      <c r="L31" s="586">
        <v>2950</v>
      </c>
      <c r="M31" s="586">
        <v>3150</v>
      </c>
      <c r="N31" s="586">
        <v>3350</v>
      </c>
      <c r="O31" s="586">
        <v>3443</v>
      </c>
      <c r="P31" s="586">
        <v>3589</v>
      </c>
      <c r="Q31" s="586">
        <v>3885</v>
      </c>
      <c r="R31" s="586">
        <v>3966</v>
      </c>
      <c r="S31" s="586">
        <v>4100</v>
      </c>
      <c r="T31" s="586">
        <v>4200</v>
      </c>
      <c r="U31" s="586">
        <v>4290</v>
      </c>
      <c r="V31" s="586">
        <v>4379</v>
      </c>
      <c r="W31" s="586">
        <v>4408</v>
      </c>
      <c r="X31" s="586">
        <v>4457</v>
      </c>
      <c r="Y31" s="586">
        <v>4480</v>
      </c>
      <c r="Z31" s="586">
        <v>4522</v>
      </c>
      <c r="AA31" s="586">
        <v>4497</v>
      </c>
      <c r="AB31" s="592">
        <v>4480</v>
      </c>
      <c r="AC31" s="224">
        <f t="shared" si="6"/>
        <v>-0.37802979764288125</v>
      </c>
      <c r="AD31" s="197" t="s">
        <v>71</v>
      </c>
    </row>
    <row r="32" spans="1:30" s="25" customFormat="1" ht="12.75" customHeight="1" x14ac:dyDescent="0.2">
      <c r="A32" s="460"/>
      <c r="B32" s="10" t="s">
        <v>55</v>
      </c>
      <c r="C32" s="201">
        <v>40</v>
      </c>
      <c r="D32" s="201">
        <v>240</v>
      </c>
      <c r="E32" s="585">
        <v>1292.2829999999999</v>
      </c>
      <c r="F32" s="585">
        <v>1431.566</v>
      </c>
      <c r="G32" s="585">
        <v>1593.029</v>
      </c>
      <c r="H32" s="585">
        <v>1793.0540000000001</v>
      </c>
      <c r="I32" s="585">
        <v>2020.0170000000001</v>
      </c>
      <c r="J32" s="585">
        <v>2197.4769999999999</v>
      </c>
      <c r="K32" s="585">
        <v>2326.1770000000001</v>
      </c>
      <c r="L32" s="585">
        <v>2447.087</v>
      </c>
      <c r="M32" s="585">
        <v>2594.5709999999999</v>
      </c>
      <c r="N32" s="585">
        <v>2702.0210000000002</v>
      </c>
      <c r="O32" s="585">
        <v>2777.5940000000001</v>
      </c>
      <c r="P32" s="585">
        <v>2881.1909999999998</v>
      </c>
      <c r="Q32" s="585">
        <v>2973.39</v>
      </c>
      <c r="R32" s="585">
        <v>3087.6280000000002</v>
      </c>
      <c r="S32" s="585">
        <v>3225.3670000000002</v>
      </c>
      <c r="T32" s="585">
        <v>3363.779</v>
      </c>
      <c r="U32" s="588">
        <v>3603.4369999999999</v>
      </c>
      <c r="V32" s="585">
        <v>3541.2620000000002</v>
      </c>
      <c r="W32" s="585">
        <v>4027.3629999999998</v>
      </c>
      <c r="X32" s="585">
        <v>4244.8999999999996</v>
      </c>
      <c r="Y32" s="585">
        <v>4319.701</v>
      </c>
      <c r="Z32" s="585">
        <v>4334.5469999999996</v>
      </c>
      <c r="AA32" s="585">
        <v>4487.2510000000002</v>
      </c>
      <c r="AB32" s="593">
        <v>4695.66</v>
      </c>
      <c r="AC32" s="165">
        <f t="shared" si="6"/>
        <v>4.6444694089989582</v>
      </c>
      <c r="AD32" s="10" t="s">
        <v>55</v>
      </c>
    </row>
    <row r="33" spans="1:30" s="63" customFormat="1" ht="12.75" customHeight="1" x14ac:dyDescent="0.2">
      <c r="A33" s="8"/>
      <c r="B33" s="197" t="s">
        <v>57</v>
      </c>
      <c r="C33" s="202">
        <v>150.80699999999999</v>
      </c>
      <c r="D33" s="202">
        <v>416.44799999999998</v>
      </c>
      <c r="E33" s="586">
        <v>587.10400000000004</v>
      </c>
      <c r="F33" s="586">
        <v>602.88400000000001</v>
      </c>
      <c r="G33" s="586">
        <v>606.245</v>
      </c>
      <c r="H33" s="586">
        <v>650.34400000000005</v>
      </c>
      <c r="I33" s="586">
        <v>668.30700000000002</v>
      </c>
      <c r="J33" s="586">
        <v>711.36400000000003</v>
      </c>
      <c r="K33" s="586">
        <v>743.05700000000002</v>
      </c>
      <c r="L33" s="586">
        <v>776.798</v>
      </c>
      <c r="M33" s="586">
        <v>811.67100000000005</v>
      </c>
      <c r="N33" s="586">
        <v>846.10900000000004</v>
      </c>
      <c r="O33" s="586">
        <v>866.096</v>
      </c>
      <c r="P33" s="586">
        <v>881.48699999999997</v>
      </c>
      <c r="Q33" s="586">
        <v>894.52099999999996</v>
      </c>
      <c r="R33" s="586">
        <v>910.42899999999997</v>
      </c>
      <c r="S33" s="586">
        <v>933.94100000000003</v>
      </c>
      <c r="T33" s="586">
        <v>960.21299999999997</v>
      </c>
      <c r="U33" s="586">
        <v>980.26099999999997</v>
      </c>
      <c r="V33" s="586">
        <v>1014.122</v>
      </c>
      <c r="W33" s="586">
        <v>1045.183</v>
      </c>
      <c r="X33" s="586">
        <v>1058.8579999999999</v>
      </c>
      <c r="Y33" s="586">
        <v>1061.646</v>
      </c>
      <c r="Z33" s="586">
        <v>1066.49</v>
      </c>
      <c r="AA33" s="586">
        <v>1066.028</v>
      </c>
      <c r="AB33" s="592">
        <f>1063.795</f>
        <v>1063.7950000000001</v>
      </c>
      <c r="AC33" s="224">
        <f t="shared" si="6"/>
        <v>-0.2094691696653399</v>
      </c>
      <c r="AD33" s="197" t="s">
        <v>57</v>
      </c>
    </row>
    <row r="34" spans="1:30" s="25" customFormat="1" ht="12.75" customHeight="1" x14ac:dyDescent="0.2">
      <c r="A34" s="460"/>
      <c r="B34" s="10" t="s">
        <v>56</v>
      </c>
      <c r="C34" s="201">
        <v>164</v>
      </c>
      <c r="D34" s="201">
        <v>552</v>
      </c>
      <c r="E34" s="585">
        <v>880</v>
      </c>
      <c r="F34" s="585">
        <v>929</v>
      </c>
      <c r="G34" s="585">
        <v>971</v>
      </c>
      <c r="H34" s="585">
        <v>994.93299999999999</v>
      </c>
      <c r="I34" s="585">
        <v>994.04600000000005</v>
      </c>
      <c r="J34" s="585">
        <v>1015.794</v>
      </c>
      <c r="K34" s="585">
        <v>1058.425</v>
      </c>
      <c r="L34" s="585">
        <v>1135.914</v>
      </c>
      <c r="M34" s="585">
        <v>1196.1089999999999</v>
      </c>
      <c r="N34" s="585">
        <v>1236.4000000000001</v>
      </c>
      <c r="O34" s="585">
        <v>1274.2</v>
      </c>
      <c r="P34" s="585">
        <v>1292.8</v>
      </c>
      <c r="Q34" s="585">
        <v>1326.9</v>
      </c>
      <c r="R34" s="588">
        <v>1356.2</v>
      </c>
      <c r="S34" s="585">
        <v>1197.03</v>
      </c>
      <c r="T34" s="585">
        <v>1303.704</v>
      </c>
      <c r="U34" s="585">
        <v>1333.749</v>
      </c>
      <c r="V34" s="585">
        <v>1433.9259999999999</v>
      </c>
      <c r="W34" s="585">
        <v>1544.8879999999999</v>
      </c>
      <c r="X34" s="594">
        <v>1589.0440000000001</v>
      </c>
      <c r="Y34" s="594">
        <v>1669.0650000000001</v>
      </c>
      <c r="Z34" s="594">
        <v>1749.3</v>
      </c>
      <c r="AA34" s="594">
        <v>1824.19</v>
      </c>
      <c r="AB34" s="595">
        <f>1879.759</f>
        <v>1879.759</v>
      </c>
      <c r="AC34" s="461">
        <f t="shared" si="6"/>
        <v>3.0462287371381365</v>
      </c>
      <c r="AD34" s="10" t="s">
        <v>56</v>
      </c>
    </row>
    <row r="35" spans="1:30" ht="12.75" customHeight="1" x14ac:dyDescent="0.2">
      <c r="A35" s="8"/>
      <c r="B35" s="197" t="s">
        <v>72</v>
      </c>
      <c r="C35" s="202">
        <v>712</v>
      </c>
      <c r="D35" s="202">
        <v>1226</v>
      </c>
      <c r="E35" s="586">
        <v>1938.856</v>
      </c>
      <c r="F35" s="586">
        <v>1923</v>
      </c>
      <c r="G35" s="586">
        <v>1936</v>
      </c>
      <c r="H35" s="586">
        <v>1872.933</v>
      </c>
      <c r="I35" s="586">
        <v>1872.588</v>
      </c>
      <c r="J35" s="586">
        <v>1900.855</v>
      </c>
      <c r="K35" s="586">
        <v>1942.752</v>
      </c>
      <c r="L35" s="586">
        <v>1948.126</v>
      </c>
      <c r="M35" s="586">
        <v>2021.116</v>
      </c>
      <c r="N35" s="586">
        <v>2082.58</v>
      </c>
      <c r="O35" s="586">
        <v>2134.7280000000001</v>
      </c>
      <c r="P35" s="586">
        <v>2160.6030000000001</v>
      </c>
      <c r="Q35" s="586">
        <v>2194.683</v>
      </c>
      <c r="R35" s="586">
        <v>2274.5770000000002</v>
      </c>
      <c r="S35" s="586">
        <v>2346.7260000000001</v>
      </c>
      <c r="T35" s="586">
        <v>2430.3449999999998</v>
      </c>
      <c r="U35" s="586">
        <v>2505.5430000000001</v>
      </c>
      <c r="V35" s="586">
        <v>2570.3560000000002</v>
      </c>
      <c r="W35" s="586">
        <v>2700.4920000000002</v>
      </c>
      <c r="X35" s="586">
        <v>2776.6640000000002</v>
      </c>
      <c r="Y35" s="586">
        <v>2877.4839999999999</v>
      </c>
      <c r="Z35" s="586">
        <v>2978</v>
      </c>
      <c r="AA35" s="586">
        <v>3057.4839999999999</v>
      </c>
      <c r="AB35" s="592">
        <f>3127.399</f>
        <v>3127.3989999999999</v>
      </c>
      <c r="AC35" s="224">
        <f t="shared" si="6"/>
        <v>2.2866840840377165</v>
      </c>
      <c r="AD35" s="197" t="s">
        <v>72</v>
      </c>
    </row>
    <row r="36" spans="1:30" s="25" customFormat="1" ht="12.75" customHeight="1" x14ac:dyDescent="0.2">
      <c r="A36" s="460"/>
      <c r="B36" s="10" t="s">
        <v>73</v>
      </c>
      <c r="C36" s="201">
        <v>2288</v>
      </c>
      <c r="D36" s="201">
        <v>2883</v>
      </c>
      <c r="E36" s="585">
        <v>3601</v>
      </c>
      <c r="F36" s="585">
        <v>3619</v>
      </c>
      <c r="G36" s="585">
        <v>3589</v>
      </c>
      <c r="H36" s="585">
        <v>3566.1</v>
      </c>
      <c r="I36" s="585">
        <v>3594.2</v>
      </c>
      <c r="J36" s="585">
        <v>3630.76</v>
      </c>
      <c r="K36" s="585">
        <v>3654.92</v>
      </c>
      <c r="L36" s="585">
        <v>3701.17</v>
      </c>
      <c r="M36" s="585">
        <v>3790.6950000000002</v>
      </c>
      <c r="N36" s="585">
        <v>3890.1590000000001</v>
      </c>
      <c r="O36" s="585">
        <v>3998.614</v>
      </c>
      <c r="P36" s="585">
        <v>4018.5329999999999</v>
      </c>
      <c r="Q36" s="585">
        <v>4042.7919999999999</v>
      </c>
      <c r="R36" s="585">
        <v>4075.4140000000002</v>
      </c>
      <c r="S36" s="585">
        <v>4113.424</v>
      </c>
      <c r="T36" s="585">
        <v>4153.674</v>
      </c>
      <c r="U36" s="585">
        <v>4202.4629999999997</v>
      </c>
      <c r="V36" s="585">
        <v>4258.4629999999997</v>
      </c>
      <c r="W36" s="585">
        <v>4278.9949999999999</v>
      </c>
      <c r="X36" s="585">
        <v>4300.7520000000004</v>
      </c>
      <c r="Y36" s="585">
        <v>4335.1819999999998</v>
      </c>
      <c r="Z36" s="585">
        <v>4401.3519999999999</v>
      </c>
      <c r="AA36" s="585">
        <v>4447.165</v>
      </c>
      <c r="AB36" s="593">
        <v>4495.473</v>
      </c>
      <c r="AC36" s="165">
        <f t="shared" si="6"/>
        <v>1.0862650699940275</v>
      </c>
      <c r="AD36" s="10" t="s">
        <v>73</v>
      </c>
    </row>
    <row r="37" spans="1:30" ht="12.75" customHeight="1" x14ac:dyDescent="0.2">
      <c r="A37" s="8"/>
      <c r="B37" s="199" t="s">
        <v>62</v>
      </c>
      <c r="C37" s="204">
        <v>11900</v>
      </c>
      <c r="D37" s="204">
        <v>15619</v>
      </c>
      <c r="E37" s="596">
        <v>20722</v>
      </c>
      <c r="F37" s="596">
        <v>20760</v>
      </c>
      <c r="G37" s="596">
        <v>20970</v>
      </c>
      <c r="H37" s="596">
        <v>21290.696</v>
      </c>
      <c r="I37" s="596">
        <v>21740.708999999999</v>
      </c>
      <c r="J37" s="596">
        <v>21950.81</v>
      </c>
      <c r="K37" s="596">
        <v>22818.718000000001</v>
      </c>
      <c r="L37" s="596">
        <v>23450</v>
      </c>
      <c r="M37" s="596">
        <f>23293+36+592.836+0.393</f>
        <v>23922.228999999999</v>
      </c>
      <c r="N37" s="596">
        <f>23975+37+615.567+0.375</f>
        <v>24627.941999999999</v>
      </c>
      <c r="O37" s="596">
        <f>24406+38+622.488+0.376</f>
        <v>25066.864000000001</v>
      </c>
      <c r="P37" s="596">
        <f>25126+39+650.323+0.379</f>
        <v>25815.702000000001</v>
      </c>
      <c r="Q37" s="596">
        <f>25782+39+671.18+0.413</f>
        <v>26492.593000000001</v>
      </c>
      <c r="R37" s="596">
        <f>26240+39+712.835+0.513</f>
        <v>26992.347999999998</v>
      </c>
      <c r="S37" s="596">
        <f>27028+41+736.706+0.538</f>
        <v>27806.243999999999</v>
      </c>
      <c r="T37" s="596">
        <f>27520+42+763.664+0.633</f>
        <v>28326.297000000002</v>
      </c>
      <c r="U37" s="596">
        <f>27609.2+43+793.763+0.698</f>
        <v>28446.661</v>
      </c>
      <c r="V37" s="596">
        <v>28873.319</v>
      </c>
      <c r="W37" s="596">
        <v>29049.914000000001</v>
      </c>
      <c r="X37" s="596">
        <v>29152.304000000004</v>
      </c>
      <c r="Y37" s="596">
        <v>29333.576000000001</v>
      </c>
      <c r="Z37" s="596">
        <v>29382.213999999996</v>
      </c>
      <c r="AA37" s="596">
        <v>29644.178</v>
      </c>
      <c r="AB37" s="597">
        <f>29140.9+43.473+890.484</f>
        <v>30074.857000000004</v>
      </c>
      <c r="AC37" s="226">
        <f t="shared" si="6"/>
        <v>1.4528282754205719</v>
      </c>
      <c r="AD37" s="199" t="s">
        <v>62</v>
      </c>
    </row>
    <row r="38" spans="1:30" ht="12.75" customHeight="1" x14ac:dyDescent="0.2">
      <c r="A38" s="8"/>
      <c r="B38" s="530" t="s">
        <v>234</v>
      </c>
      <c r="C38" s="201"/>
      <c r="D38" s="201"/>
      <c r="E38" s="585"/>
      <c r="F38" s="585"/>
      <c r="G38" s="585"/>
      <c r="H38" s="585">
        <v>56.728000000000002</v>
      </c>
      <c r="I38" s="585">
        <v>67.959999999999994</v>
      </c>
      <c r="J38" s="585">
        <v>58.682000000000002</v>
      </c>
      <c r="K38" s="585">
        <v>67.278000000000006</v>
      </c>
      <c r="L38" s="585">
        <v>76.822000000000003</v>
      </c>
      <c r="M38" s="585">
        <v>90.766000000000005</v>
      </c>
      <c r="N38" s="585">
        <v>92.251999999999995</v>
      </c>
      <c r="O38" s="585">
        <v>114.532</v>
      </c>
      <c r="P38" s="585">
        <v>133.53299999999999</v>
      </c>
      <c r="Q38" s="585">
        <v>148.53100000000001</v>
      </c>
      <c r="R38" s="585">
        <v>174.78200000000001</v>
      </c>
      <c r="S38" s="585">
        <v>190.00399999999999</v>
      </c>
      <c r="T38" s="585">
        <v>195.125</v>
      </c>
      <c r="U38" s="585">
        <v>225.114</v>
      </c>
      <c r="V38" s="585">
        <v>237.93199999999999</v>
      </c>
      <c r="W38" s="585">
        <v>264.82799999999997</v>
      </c>
      <c r="X38" s="598">
        <v>281.23599999999999</v>
      </c>
      <c r="Y38" s="585">
        <v>294.72899999999998</v>
      </c>
      <c r="Z38" s="585">
        <v>300.97399999999999</v>
      </c>
      <c r="AA38" s="585">
        <v>297.34100000000001</v>
      </c>
      <c r="AB38" s="593">
        <v>341.69099999999997</v>
      </c>
      <c r="AC38" s="222">
        <f t="shared" si="6"/>
        <v>14.915534689127966</v>
      </c>
      <c r="AD38" s="530" t="s">
        <v>234</v>
      </c>
    </row>
    <row r="39" spans="1:30" ht="12.75" customHeight="1" x14ac:dyDescent="0.2">
      <c r="A39" s="8"/>
      <c r="B39" s="197" t="s">
        <v>223</v>
      </c>
      <c r="C39" s="202"/>
      <c r="D39" s="202"/>
      <c r="E39" s="586"/>
      <c r="F39" s="586"/>
      <c r="G39" s="586"/>
      <c r="H39" s="586"/>
      <c r="I39" s="586"/>
      <c r="J39" s="586"/>
      <c r="K39" s="586"/>
      <c r="L39" s="586"/>
      <c r="M39" s="586"/>
      <c r="N39" s="586"/>
      <c r="O39" s="586"/>
      <c r="P39" s="586"/>
      <c r="Q39" s="586"/>
      <c r="R39" s="586"/>
      <c r="S39" s="586"/>
      <c r="T39" s="586"/>
      <c r="U39" s="586"/>
      <c r="V39" s="586"/>
      <c r="W39" s="586"/>
      <c r="X39" s="586"/>
      <c r="Y39" s="586">
        <v>164.65299999999999</v>
      </c>
      <c r="Z39" s="586">
        <v>171.97300000000001</v>
      </c>
      <c r="AA39" s="586">
        <v>173.86500000000001</v>
      </c>
      <c r="AB39" s="592">
        <v>178.66200000000001</v>
      </c>
      <c r="AC39" s="221">
        <f t="shared" si="6"/>
        <v>2.7590371840220769</v>
      </c>
      <c r="AD39" s="197" t="s">
        <v>223</v>
      </c>
    </row>
    <row r="40" spans="1:30" ht="12.75" customHeight="1" x14ac:dyDescent="0.2">
      <c r="A40" s="8"/>
      <c r="B40" s="530" t="s">
        <v>1</v>
      </c>
      <c r="C40" s="201"/>
      <c r="D40" s="201"/>
      <c r="E40" s="585"/>
      <c r="F40" s="585"/>
      <c r="G40" s="585"/>
      <c r="H40" s="585">
        <v>289.97899999999998</v>
      </c>
      <c r="I40" s="585">
        <v>263.18099999999998</v>
      </c>
      <c r="J40" s="585">
        <v>285.90699999999998</v>
      </c>
      <c r="K40" s="585">
        <v>284.02199999999999</v>
      </c>
      <c r="L40" s="585">
        <v>289.20400000000001</v>
      </c>
      <c r="M40" s="585">
        <v>288.678</v>
      </c>
      <c r="N40" s="585">
        <v>290</v>
      </c>
      <c r="O40" s="585">
        <v>300</v>
      </c>
      <c r="P40" s="585">
        <v>310</v>
      </c>
      <c r="Q40" s="585">
        <v>308</v>
      </c>
      <c r="R40" s="588">
        <v>299.80900000000003</v>
      </c>
      <c r="S40" s="585">
        <v>249.40299999999999</v>
      </c>
      <c r="T40" s="585">
        <v>253.23400000000001</v>
      </c>
      <c r="U40" s="585">
        <v>242.28700000000001</v>
      </c>
      <c r="V40" s="585">
        <f>248.774</f>
        <v>248.774</v>
      </c>
      <c r="W40" s="585">
        <f>263.112</f>
        <v>263.11200000000002</v>
      </c>
      <c r="X40" s="585">
        <f>282.196</f>
        <v>282.19600000000003</v>
      </c>
      <c r="Y40" s="585">
        <v>310.23099999999999</v>
      </c>
      <c r="Z40" s="585">
        <v>313.08</v>
      </c>
      <c r="AA40" s="585">
        <v>301.76100000000002</v>
      </c>
      <c r="AB40" s="593">
        <v>346.798</v>
      </c>
      <c r="AC40" s="222">
        <f t="shared" si="6"/>
        <v>14.924725196430288</v>
      </c>
      <c r="AD40" s="530" t="s">
        <v>1</v>
      </c>
    </row>
    <row r="41" spans="1:30" ht="12.75" customHeight="1" x14ac:dyDescent="0.2">
      <c r="A41" s="8"/>
      <c r="B41" s="197" t="s">
        <v>222</v>
      </c>
      <c r="C41" s="202"/>
      <c r="D41" s="202"/>
      <c r="E41" s="586"/>
      <c r="F41" s="586"/>
      <c r="G41" s="586"/>
      <c r="H41" s="586"/>
      <c r="I41" s="586"/>
      <c r="J41" s="586"/>
      <c r="K41" s="586"/>
      <c r="L41" s="586"/>
      <c r="M41" s="586"/>
      <c r="N41" s="586"/>
      <c r="O41" s="586"/>
      <c r="P41" s="586">
        <v>1382.396</v>
      </c>
      <c r="Q41" s="586">
        <v>1343.6579999999999</v>
      </c>
      <c r="R41" s="586">
        <v>1388.1089999999999</v>
      </c>
      <c r="S41" s="586">
        <v>1449.8430000000001</v>
      </c>
      <c r="T41" s="586">
        <v>1481.498</v>
      </c>
      <c r="U41" s="586">
        <v>1511.837</v>
      </c>
      <c r="V41" s="586">
        <v>1476.6420000000001</v>
      </c>
      <c r="W41" s="586">
        <v>1486.6079999999999</v>
      </c>
      <c r="X41" s="586">
        <v>1637.002</v>
      </c>
      <c r="Y41" s="586">
        <v>1565.55</v>
      </c>
      <c r="Z41" s="586">
        <v>1677.51</v>
      </c>
      <c r="AA41" s="586">
        <v>1726.19</v>
      </c>
      <c r="AB41" s="592">
        <v>1770.162</v>
      </c>
      <c r="AC41" s="221">
        <f t="shared" si="6"/>
        <v>2.547344150991492</v>
      </c>
      <c r="AD41" s="197" t="s">
        <v>222</v>
      </c>
    </row>
    <row r="42" spans="1:30" ht="12.75" customHeight="1" x14ac:dyDescent="0.2">
      <c r="A42" s="8"/>
      <c r="B42" s="531" t="s">
        <v>58</v>
      </c>
      <c r="C42" s="564" t="s">
        <v>75</v>
      </c>
      <c r="D42" s="564" t="s">
        <v>75</v>
      </c>
      <c r="E42" s="599"/>
      <c r="F42" s="599"/>
      <c r="G42" s="599"/>
      <c r="H42" s="599">
        <v>2619.8519999999999</v>
      </c>
      <c r="I42" s="599">
        <v>2861.64</v>
      </c>
      <c r="J42" s="599">
        <v>3058.5110000000004</v>
      </c>
      <c r="K42" s="599">
        <v>3274.1559999999999</v>
      </c>
      <c r="L42" s="599">
        <v>3570.105</v>
      </c>
      <c r="M42" s="599">
        <v>3838.288</v>
      </c>
      <c r="N42" s="599">
        <v>4072.326</v>
      </c>
      <c r="O42" s="599">
        <v>4422.18</v>
      </c>
      <c r="P42" s="599">
        <v>4534.8029999999999</v>
      </c>
      <c r="Q42" s="599">
        <v>4600.1400000000003</v>
      </c>
      <c r="R42" s="599">
        <v>4700.3429999999998</v>
      </c>
      <c r="S42" s="599">
        <v>5400.44</v>
      </c>
      <c r="T42" s="599">
        <v>5772.7449999999999</v>
      </c>
      <c r="U42" s="599">
        <v>6140.9920000000002</v>
      </c>
      <c r="V42" s="599">
        <v>6472.1559999999999</v>
      </c>
      <c r="W42" s="599">
        <v>6796.6289999999999</v>
      </c>
      <c r="X42" s="599">
        <f>7093.964</f>
        <v>7093.9639999999999</v>
      </c>
      <c r="Y42" s="599">
        <f>7544.871</f>
        <v>7544.8710000000001</v>
      </c>
      <c r="Z42" s="599">
        <v>8113.1109999999999</v>
      </c>
      <c r="AA42" s="599">
        <v>8648.875</v>
      </c>
      <c r="AB42" s="600">
        <f>9283.923</f>
        <v>9283.9230000000007</v>
      </c>
      <c r="AC42" s="248">
        <f t="shared" si="6"/>
        <v>7.3425503316905605</v>
      </c>
      <c r="AD42" s="531" t="s">
        <v>58</v>
      </c>
    </row>
    <row r="43" spans="1:30" ht="12.75" customHeight="1" x14ac:dyDescent="0.2">
      <c r="A43" s="8"/>
      <c r="B43" s="195" t="s">
        <v>44</v>
      </c>
      <c r="C43" s="565">
        <v>40.786000000000001</v>
      </c>
      <c r="D43" s="565">
        <v>85.924000000000007</v>
      </c>
      <c r="E43" s="601">
        <v>119.73099999999999</v>
      </c>
      <c r="F43" s="601">
        <v>120.86199999999999</v>
      </c>
      <c r="G43" s="601">
        <v>120.146</v>
      </c>
      <c r="H43" s="601">
        <v>116.19499999999999</v>
      </c>
      <c r="I43" s="601">
        <v>116.24299999999999</v>
      </c>
      <c r="J43" s="601">
        <v>119.232</v>
      </c>
      <c r="K43" s="601">
        <v>124.90900000000001</v>
      </c>
      <c r="L43" s="601">
        <v>132.46799999999999</v>
      </c>
      <c r="M43" s="601">
        <v>140.37200000000001</v>
      </c>
      <c r="N43" s="601">
        <v>151.40899999999999</v>
      </c>
      <c r="O43" s="601">
        <v>158.93600000000001</v>
      </c>
      <c r="P43" s="601">
        <v>159.86500000000001</v>
      </c>
      <c r="Q43" s="601">
        <v>161.721</v>
      </c>
      <c r="R43" s="601">
        <v>166.869</v>
      </c>
      <c r="S43" s="601">
        <v>175.42699999999999</v>
      </c>
      <c r="T43" s="601">
        <v>187.44200000000001</v>
      </c>
      <c r="U43" s="601">
        <v>197.30500000000001</v>
      </c>
      <c r="V43" s="601">
        <v>207.51300000000001</v>
      </c>
      <c r="W43" s="601">
        <v>209.74</v>
      </c>
      <c r="X43" s="601">
        <v>205.33799999999999</v>
      </c>
      <c r="Y43" s="601">
        <v>204.73599999999999</v>
      </c>
      <c r="Z43" s="601">
        <f>206.112</f>
        <v>206.11199999999999</v>
      </c>
      <c r="AA43" s="601">
        <f>210.07</f>
        <v>210.07</v>
      </c>
      <c r="AB43" s="602">
        <v>213.113</v>
      </c>
      <c r="AC43" s="566">
        <f t="shared" si="6"/>
        <v>1.448564764126246</v>
      </c>
      <c r="AD43" s="195" t="s">
        <v>44</v>
      </c>
    </row>
    <row r="44" spans="1:30" ht="12.75" customHeight="1" x14ac:dyDescent="0.2">
      <c r="A44" s="8"/>
      <c r="B44" s="530" t="s">
        <v>74</v>
      </c>
      <c r="C44" s="201">
        <v>690</v>
      </c>
      <c r="D44" s="201">
        <v>1230</v>
      </c>
      <c r="E44" s="585">
        <v>1613.037</v>
      </c>
      <c r="F44" s="585">
        <v>1614.623</v>
      </c>
      <c r="G44" s="585">
        <v>1619.4380000000001</v>
      </c>
      <c r="H44" s="585">
        <v>1633.088</v>
      </c>
      <c r="I44" s="585">
        <v>1653.6780000000001</v>
      </c>
      <c r="J44" s="585">
        <v>1684.664</v>
      </c>
      <c r="K44" s="585">
        <v>1661.2470000000001</v>
      </c>
      <c r="L44" s="585">
        <v>1758.001</v>
      </c>
      <c r="M44" s="585">
        <v>1786.404</v>
      </c>
      <c r="N44" s="585">
        <v>1813.6420000000001</v>
      </c>
      <c r="O44" s="585">
        <v>1851.9290000000001</v>
      </c>
      <c r="P44" s="585">
        <v>1872.8620000000001</v>
      </c>
      <c r="Q44" s="585">
        <v>1899.7670000000001</v>
      </c>
      <c r="R44" s="585">
        <v>1933.66</v>
      </c>
      <c r="S44" s="585">
        <v>1977.922</v>
      </c>
      <c r="T44" s="585">
        <v>2028.9090000000001</v>
      </c>
      <c r="U44" s="585">
        <v>2084.1930000000002</v>
      </c>
      <c r="V44" s="585">
        <v>2154.837</v>
      </c>
      <c r="W44" s="585">
        <v>2197.1930000000002</v>
      </c>
      <c r="X44" s="585">
        <v>2244</v>
      </c>
      <c r="Y44" s="585">
        <v>2308.5479999999998</v>
      </c>
      <c r="Z44" s="585">
        <v>2376</v>
      </c>
      <c r="AA44" s="585">
        <v>2443</v>
      </c>
      <c r="AB44" s="593">
        <f>2500.265</f>
        <v>2500.2649999999999</v>
      </c>
      <c r="AC44" s="222">
        <f t="shared" si="6"/>
        <v>2.3440442079410531</v>
      </c>
      <c r="AD44" s="530" t="s">
        <v>74</v>
      </c>
    </row>
    <row r="45" spans="1:30" ht="12.75" customHeight="1" x14ac:dyDescent="0.2">
      <c r="A45" s="8"/>
      <c r="B45" s="197" t="s">
        <v>45</v>
      </c>
      <c r="C45" s="202">
        <v>1383.204</v>
      </c>
      <c r="D45" s="202">
        <v>2246.752</v>
      </c>
      <c r="E45" s="586">
        <v>2985.3969999999999</v>
      </c>
      <c r="F45" s="586">
        <v>3057.7979999999998</v>
      </c>
      <c r="G45" s="586">
        <v>3091.2280000000001</v>
      </c>
      <c r="H45" s="586">
        <v>3109.5230000000001</v>
      </c>
      <c r="I45" s="586">
        <v>3165.0419999999999</v>
      </c>
      <c r="J45" s="586">
        <v>3229.1759999999999</v>
      </c>
      <c r="K45" s="586">
        <v>3268.0929999999998</v>
      </c>
      <c r="L45" s="586">
        <v>3323.4549999999999</v>
      </c>
      <c r="M45" s="586">
        <v>3383.3069999999998</v>
      </c>
      <c r="N45" s="586">
        <v>3467.3110000000001</v>
      </c>
      <c r="O45" s="586">
        <v>3545.2469999999998</v>
      </c>
      <c r="P45" s="586">
        <v>3629.7130000000002</v>
      </c>
      <c r="Q45" s="586">
        <v>3700.951</v>
      </c>
      <c r="R45" s="586">
        <v>3753.89</v>
      </c>
      <c r="S45" s="586">
        <v>3811.3510000000001</v>
      </c>
      <c r="T45" s="586">
        <v>3861.442</v>
      </c>
      <c r="U45" s="586">
        <v>3900.0140000000001</v>
      </c>
      <c r="V45" s="586">
        <v>3955.7869999999998</v>
      </c>
      <c r="W45" s="586">
        <v>3989.8110000000001</v>
      </c>
      <c r="X45" s="586">
        <f>4009.602</f>
        <v>4009.6019999999999</v>
      </c>
      <c r="Y45" s="586">
        <v>4075.8249999999998</v>
      </c>
      <c r="Z45" s="586">
        <v>4163</v>
      </c>
      <c r="AA45" s="586">
        <v>4255</v>
      </c>
      <c r="AB45" s="592">
        <v>4320.8850000000002</v>
      </c>
      <c r="AC45" s="221">
        <f t="shared" si="6"/>
        <v>1.548413631022342</v>
      </c>
      <c r="AD45" s="197" t="s">
        <v>45</v>
      </c>
    </row>
    <row r="46" spans="1:30" ht="12.75" customHeight="1" x14ac:dyDescent="0.2">
      <c r="A46" s="8"/>
      <c r="B46" s="531" t="s">
        <v>84</v>
      </c>
      <c r="C46" s="564"/>
      <c r="D46" s="564"/>
      <c r="E46" s="599">
        <v>16.890999999999998</v>
      </c>
      <c r="F46" s="599">
        <v>17.327999999999999</v>
      </c>
      <c r="G46" s="599">
        <v>17.678999999999998</v>
      </c>
      <c r="H46" s="599">
        <v>17.766999999999999</v>
      </c>
      <c r="I46" s="599">
        <v>18.256</v>
      </c>
      <c r="J46" s="599">
        <v>18.82</v>
      </c>
      <c r="K46" s="599">
        <v>19.309999999999999</v>
      </c>
      <c r="L46" s="599">
        <v>19.925999999999998</v>
      </c>
      <c r="M46" s="599">
        <v>20.469000000000001</v>
      </c>
      <c r="N46" s="599">
        <v>21.15</v>
      </c>
      <c r="O46" s="599">
        <v>21.783999999999999</v>
      </c>
      <c r="P46" s="599">
        <v>22.626000000000001</v>
      </c>
      <c r="Q46" s="599">
        <v>23.265000000000001</v>
      </c>
      <c r="R46" s="599">
        <v>23.524000000000001</v>
      </c>
      <c r="S46" s="599">
        <v>23.934999999999999</v>
      </c>
      <c r="T46" s="599">
        <v>24.393000000000001</v>
      </c>
      <c r="U46" s="599">
        <v>24.292999999999999</v>
      </c>
      <c r="V46" s="599">
        <v>24.367999999999999</v>
      </c>
      <c r="W46" s="599">
        <v>25.462</v>
      </c>
      <c r="X46" s="599">
        <f>25.909</f>
        <v>25.908999999999999</v>
      </c>
      <c r="Y46" s="599">
        <v>26.89</v>
      </c>
      <c r="Z46" s="599">
        <v>27.327000000000002</v>
      </c>
      <c r="AA46" s="599">
        <v>28.004000000000001</v>
      </c>
      <c r="AB46" s="600">
        <v>28.102</v>
      </c>
      <c r="AC46" s="248">
        <f t="shared" si="6"/>
        <v>0.34995000714184243</v>
      </c>
      <c r="AD46" s="531" t="s">
        <v>84</v>
      </c>
    </row>
    <row r="47" spans="1:30" ht="17.25" customHeight="1" x14ac:dyDescent="0.2">
      <c r="B47" s="970" t="s">
        <v>208</v>
      </c>
      <c r="C47" s="971"/>
      <c r="D47" s="971"/>
      <c r="E47" s="971"/>
      <c r="F47" s="971"/>
      <c r="G47" s="971"/>
      <c r="H47" s="971"/>
      <c r="I47" s="971"/>
      <c r="J47" s="971"/>
      <c r="K47" s="971"/>
      <c r="L47" s="971"/>
      <c r="M47" s="971"/>
      <c r="N47" s="971"/>
      <c r="O47" s="971"/>
      <c r="P47" s="971"/>
      <c r="Q47" s="971"/>
      <c r="R47" s="971"/>
      <c r="S47" s="971"/>
      <c r="T47" s="971"/>
      <c r="U47" s="971"/>
      <c r="V47" s="971"/>
      <c r="W47" s="971"/>
      <c r="X47" s="971"/>
      <c r="Y47" s="971"/>
      <c r="Z47" s="971"/>
      <c r="AA47" s="971"/>
      <c r="AB47" s="971"/>
      <c r="AC47" s="971"/>
      <c r="AD47" s="971"/>
    </row>
    <row r="48" spans="1:30" ht="12.75" customHeight="1" x14ac:dyDescent="0.2">
      <c r="B48" s="972" t="s">
        <v>0</v>
      </c>
      <c r="C48" s="967"/>
      <c r="D48" s="967"/>
      <c r="E48" s="967"/>
      <c r="F48" s="967"/>
      <c r="G48" s="967"/>
      <c r="H48" s="967"/>
      <c r="I48" s="967"/>
      <c r="J48" s="967"/>
      <c r="K48" s="967"/>
      <c r="L48" s="967"/>
      <c r="M48" s="967"/>
      <c r="N48" s="967"/>
      <c r="O48" s="967"/>
      <c r="P48" s="967"/>
      <c r="Q48" s="967"/>
      <c r="R48" s="967"/>
      <c r="S48" s="967"/>
      <c r="T48" s="967"/>
      <c r="U48" s="967"/>
      <c r="V48" s="967"/>
      <c r="W48" s="967"/>
      <c r="X48" s="967"/>
      <c r="Y48" s="967"/>
      <c r="Z48" s="967"/>
      <c r="AA48" s="967"/>
      <c r="AB48" s="967"/>
      <c r="AC48" s="967"/>
      <c r="AD48" s="968"/>
    </row>
    <row r="49" spans="2:30" ht="12.75" customHeight="1" x14ac:dyDescent="0.2">
      <c r="B49" s="967" t="s">
        <v>224</v>
      </c>
      <c r="C49" s="967"/>
      <c r="D49" s="967"/>
      <c r="E49" s="967"/>
      <c r="F49" s="967"/>
      <c r="G49" s="967"/>
      <c r="H49" s="967"/>
      <c r="I49" s="967"/>
      <c r="J49" s="967"/>
      <c r="K49" s="967"/>
      <c r="L49" s="967"/>
      <c r="M49" s="967"/>
      <c r="N49" s="967"/>
      <c r="O49" s="967"/>
      <c r="P49" s="967"/>
      <c r="Q49" s="967"/>
      <c r="R49" s="967"/>
      <c r="S49" s="967"/>
      <c r="T49" s="967"/>
      <c r="U49" s="967"/>
      <c r="V49" s="967"/>
      <c r="W49" s="967"/>
      <c r="X49" s="967"/>
      <c r="Y49" s="967"/>
      <c r="Z49" s="967"/>
      <c r="AA49" s="967"/>
      <c r="AB49" s="967"/>
      <c r="AC49" s="967"/>
      <c r="AD49" s="968"/>
    </row>
    <row r="50" spans="2:30" ht="12.75" customHeight="1" x14ac:dyDescent="0.2">
      <c r="B50" s="967" t="s">
        <v>169</v>
      </c>
      <c r="C50" s="967"/>
      <c r="D50" s="967"/>
      <c r="E50" s="967"/>
      <c r="F50" s="967"/>
      <c r="G50" s="967"/>
      <c r="H50" s="967"/>
      <c r="I50" s="967"/>
      <c r="J50" s="967"/>
      <c r="K50" s="967"/>
      <c r="L50" s="967"/>
      <c r="M50" s="967"/>
      <c r="N50" s="967"/>
      <c r="O50" s="967"/>
      <c r="P50" s="967"/>
      <c r="Q50" s="967"/>
      <c r="R50" s="967"/>
      <c r="S50" s="967"/>
      <c r="T50" s="967"/>
      <c r="U50" s="967"/>
      <c r="V50" s="967"/>
      <c r="W50" s="967"/>
      <c r="X50" s="967"/>
      <c r="Y50" s="967"/>
      <c r="Z50" s="967"/>
      <c r="AA50" s="967"/>
      <c r="AB50" s="967"/>
      <c r="AC50" s="967"/>
      <c r="AD50" s="968"/>
    </row>
    <row r="51" spans="2:30" x14ac:dyDescent="0.2">
      <c r="B51" s="3" t="s">
        <v>197</v>
      </c>
    </row>
  </sheetData>
  <mergeCells count="6">
    <mergeCell ref="B49:AD49"/>
    <mergeCell ref="B50:AD50"/>
    <mergeCell ref="B2:AD2"/>
    <mergeCell ref="B3:AD3"/>
    <mergeCell ref="B47:AD47"/>
    <mergeCell ref="B48:AD48"/>
  </mergeCells>
  <phoneticPr fontId="4" type="noConversion"/>
  <printOptions horizontalCentered="1"/>
  <pageMargins left="0.6692913385826772" right="0.6692913385826772" top="0.51181102362204722" bottom="0.27559055118110237" header="0" footer="0"/>
  <pageSetup paperSize="9" scale="8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>
    <pageSetUpPr fitToPage="1"/>
  </sheetPr>
  <dimension ref="A1:AD50"/>
  <sheetViews>
    <sheetView topLeftCell="I1" workbookViewId="0">
      <selection activeCell="AA11" sqref="AA11"/>
    </sheetView>
  </sheetViews>
  <sheetFormatPr defaultRowHeight="11.25" x14ac:dyDescent="0.2"/>
  <cols>
    <col min="1" max="1" width="3.7109375" style="3" customWidth="1"/>
    <col min="2" max="2" width="4" style="3" customWidth="1"/>
    <col min="3" max="4" width="6.7109375" style="2" hidden="1" customWidth="1"/>
    <col min="5" max="12" width="6.7109375" style="2" customWidth="1"/>
    <col min="13" max="13" width="6.5703125" style="2" customWidth="1"/>
    <col min="14" max="20" width="6.7109375" style="2" customWidth="1"/>
    <col min="21" max="25" width="7.28515625" style="2" customWidth="1"/>
    <col min="26" max="29" width="7" style="3" customWidth="1"/>
    <col min="30" max="30" width="4.7109375" style="3" customWidth="1"/>
    <col min="31" max="16384" width="9.140625" style="3"/>
  </cols>
  <sheetData>
    <row r="1" spans="1:30" ht="14.25" customHeight="1" x14ac:dyDescent="0.2">
      <c r="B1" s="963"/>
      <c r="C1" s="963"/>
      <c r="D1" s="91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T1" s="41"/>
      <c r="AD1" s="41" t="s">
        <v>150</v>
      </c>
    </row>
    <row r="2" spans="1:30" s="63" customFormat="1" ht="30" customHeight="1" x14ac:dyDescent="0.2">
      <c r="B2" s="964" t="s">
        <v>13</v>
      </c>
      <c r="C2" s="964"/>
      <c r="D2" s="964"/>
      <c r="E2" s="964"/>
      <c r="F2" s="964"/>
      <c r="G2" s="964"/>
      <c r="H2" s="964"/>
      <c r="I2" s="964"/>
      <c r="J2" s="964"/>
      <c r="K2" s="964"/>
      <c r="L2" s="964"/>
      <c r="M2" s="964"/>
      <c r="N2" s="964"/>
      <c r="O2" s="964"/>
      <c r="P2" s="964"/>
      <c r="Q2" s="964"/>
      <c r="R2" s="964"/>
      <c r="S2" s="964"/>
      <c r="T2" s="964"/>
      <c r="U2" s="964"/>
      <c r="V2" s="964"/>
      <c r="W2" s="964"/>
      <c r="X2" s="964"/>
      <c r="Y2" s="964"/>
      <c r="Z2" s="964"/>
      <c r="AA2" s="964"/>
      <c r="AB2" s="964"/>
      <c r="AC2" s="964"/>
      <c r="AD2" s="964"/>
    </row>
    <row r="3" spans="1:30" ht="15" customHeight="1" x14ac:dyDescent="0.2">
      <c r="B3" s="973" t="s">
        <v>114</v>
      </c>
      <c r="C3" s="973"/>
      <c r="D3" s="973"/>
      <c r="E3" s="973"/>
      <c r="F3" s="973"/>
      <c r="G3" s="973"/>
      <c r="H3" s="973"/>
      <c r="I3" s="973"/>
      <c r="J3" s="973"/>
      <c r="K3" s="973"/>
      <c r="L3" s="973"/>
      <c r="M3" s="973"/>
      <c r="N3" s="973"/>
      <c r="O3" s="973"/>
      <c r="P3" s="973"/>
      <c r="Q3" s="973"/>
      <c r="R3" s="973"/>
      <c r="S3" s="973"/>
      <c r="T3" s="973"/>
      <c r="U3" s="973"/>
      <c r="V3" s="973"/>
      <c r="W3" s="973"/>
      <c r="X3" s="973"/>
      <c r="Y3" s="973"/>
      <c r="Z3" s="973"/>
      <c r="AA3" s="973"/>
      <c r="AB3" s="973"/>
      <c r="AC3" s="973"/>
      <c r="AD3" s="973"/>
    </row>
    <row r="4" spans="1:30" ht="12.75" customHeight="1" x14ac:dyDescent="0.2">
      <c r="B4" s="4"/>
      <c r="C4" s="4"/>
      <c r="E4" s="205"/>
      <c r="F4" s="205"/>
      <c r="G4" s="205"/>
      <c r="H4" s="205"/>
      <c r="I4" s="205"/>
      <c r="J4" s="24"/>
      <c r="K4" s="24"/>
      <c r="L4" s="24"/>
      <c r="M4" s="24"/>
      <c r="N4" s="24"/>
      <c r="O4" s="24"/>
      <c r="W4" s="37"/>
      <c r="X4" s="37" t="s">
        <v>3</v>
      </c>
      <c r="Y4" s="64"/>
      <c r="AD4" s="42"/>
    </row>
    <row r="5" spans="1:30" ht="20.100000000000001" customHeight="1" x14ac:dyDescent="0.2">
      <c r="B5" s="4"/>
      <c r="C5" s="101">
        <v>1970</v>
      </c>
      <c r="D5" s="102">
        <v>1980</v>
      </c>
      <c r="E5" s="101">
        <v>1990</v>
      </c>
      <c r="F5" s="102">
        <v>1991</v>
      </c>
      <c r="G5" s="102">
        <v>1992</v>
      </c>
      <c r="H5" s="102">
        <v>1993</v>
      </c>
      <c r="I5" s="102">
        <v>1994</v>
      </c>
      <c r="J5" s="102">
        <v>1995</v>
      </c>
      <c r="K5" s="102">
        <v>1996</v>
      </c>
      <c r="L5" s="102">
        <v>1997</v>
      </c>
      <c r="M5" s="102">
        <v>1998</v>
      </c>
      <c r="N5" s="102">
        <v>1999</v>
      </c>
      <c r="O5" s="102">
        <v>2000</v>
      </c>
      <c r="P5" s="102">
        <v>2001</v>
      </c>
      <c r="Q5" s="102">
        <v>2002</v>
      </c>
      <c r="R5" s="102">
        <v>2003</v>
      </c>
      <c r="S5" s="102">
        <v>2004</v>
      </c>
      <c r="T5" s="102">
        <v>2005</v>
      </c>
      <c r="U5" s="102">
        <v>2006</v>
      </c>
      <c r="V5" s="102">
        <v>2007</v>
      </c>
      <c r="W5" s="102">
        <v>2008</v>
      </c>
      <c r="X5" s="102">
        <v>2009</v>
      </c>
      <c r="Y5" s="102">
        <v>2010</v>
      </c>
      <c r="Z5" s="102">
        <v>2011</v>
      </c>
      <c r="AA5" s="102">
        <v>2012</v>
      </c>
      <c r="AB5" s="206">
        <v>2013</v>
      </c>
      <c r="AC5" s="193" t="s">
        <v>235</v>
      </c>
      <c r="AD5" s="6"/>
    </row>
    <row r="6" spans="1:30" ht="9.9499999999999993" customHeight="1" x14ac:dyDescent="0.2">
      <c r="B6" s="4"/>
      <c r="C6" s="151"/>
      <c r="D6" s="100"/>
      <c r="E6" s="151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429"/>
      <c r="Z6" s="431"/>
      <c r="AA6" s="431"/>
      <c r="AB6" s="194"/>
      <c r="AC6" s="194" t="s">
        <v>106</v>
      </c>
      <c r="AD6" s="6"/>
    </row>
    <row r="7" spans="1:30" ht="12.75" customHeight="1" x14ac:dyDescent="0.2">
      <c r="B7" s="409" t="s">
        <v>236</v>
      </c>
      <c r="C7" s="207"/>
      <c r="D7" s="207"/>
      <c r="E7" s="208">
        <f t="shared" ref="E7:Y7" si="0">SUM(E10:E37)</f>
        <v>744.00600000000009</v>
      </c>
      <c r="F7" s="208">
        <f t="shared" si="0"/>
        <v>737.14753333333317</v>
      </c>
      <c r="G7" s="208">
        <f t="shared" si="0"/>
        <v>741.82006666666655</v>
      </c>
      <c r="H7" s="208">
        <f t="shared" si="0"/>
        <v>749.70059999999978</v>
      </c>
      <c r="I7" s="208">
        <f t="shared" si="0"/>
        <v>752.88079999999991</v>
      </c>
      <c r="J7" s="196">
        <f t="shared" si="0"/>
        <v>756.81999999999994</v>
      </c>
      <c r="K7" s="196">
        <f t="shared" si="0"/>
        <v>761.22500000000014</v>
      </c>
      <c r="L7" s="196">
        <f t="shared" si="0"/>
        <v>759.50099999999998</v>
      </c>
      <c r="M7" s="196">
        <f t="shared" si="0"/>
        <v>762.21600000000012</v>
      </c>
      <c r="N7" s="196">
        <f t="shared" si="0"/>
        <v>769.93799999999987</v>
      </c>
      <c r="O7" s="196">
        <f t="shared" si="0"/>
        <v>781.50200000000007</v>
      </c>
      <c r="P7" s="196">
        <f t="shared" si="0"/>
        <v>788.79399999999987</v>
      </c>
      <c r="Q7" s="196">
        <f t="shared" si="0"/>
        <v>798.42</v>
      </c>
      <c r="R7" s="196">
        <f t="shared" si="0"/>
        <v>804.88499999999999</v>
      </c>
      <c r="S7" s="208">
        <f t="shared" si="0"/>
        <v>799.8720000000003</v>
      </c>
      <c r="T7" s="208">
        <f t="shared" si="0"/>
        <v>795.1690000000001</v>
      </c>
      <c r="U7" s="196">
        <f t="shared" si="0"/>
        <v>792.6880000000001</v>
      </c>
      <c r="V7" s="196">
        <f t="shared" si="0"/>
        <v>799.91100000000017</v>
      </c>
      <c r="W7" s="196">
        <f t="shared" si="0"/>
        <v>818.69599999999991</v>
      </c>
      <c r="X7" s="196">
        <f t="shared" si="0"/>
        <v>818.56500000000005</v>
      </c>
      <c r="Y7" s="196">
        <f t="shared" si="0"/>
        <v>817.68599999999992</v>
      </c>
      <c r="Z7" s="196">
        <f>SUM(Z10:Z37)</f>
        <v>818.98000000000013</v>
      </c>
      <c r="AA7" s="196">
        <f>SUM(AA10:AA37)</f>
        <v>818.42899999999986</v>
      </c>
      <c r="AB7" s="567">
        <f>SUM(AB10:AB37)</f>
        <v>822.88099999999997</v>
      </c>
      <c r="AC7" s="207">
        <f>AB7/AA7*100-100</f>
        <v>0.54396899425609035</v>
      </c>
      <c r="AD7" s="409" t="s">
        <v>236</v>
      </c>
    </row>
    <row r="8" spans="1:30" ht="12.75" customHeight="1" x14ac:dyDescent="0.2">
      <c r="B8" s="410" t="s">
        <v>241</v>
      </c>
      <c r="C8" s="209">
        <f>SUM(C10,C13:C14,C16,C17:C21,C25,C28:C29,C31,C35:C37)</f>
        <v>331.63799999999998</v>
      </c>
      <c r="D8" s="209">
        <f t="shared" ref="D8" si="1">SUM(D10,D13:D14,D16,D17:D21,D25,D28:D29,D31,D35:D37)</f>
        <v>435.08299999999997</v>
      </c>
      <c r="E8" s="210">
        <f t="shared" ref="E8:Y8" si="2">SUM(E10,E13:E14,E16,E17:E19,E25,E28:E29,E31,E35:E37)+E21</f>
        <v>480.08100000000002</v>
      </c>
      <c r="F8" s="210">
        <f t="shared" si="2"/>
        <v>476.17300000000006</v>
      </c>
      <c r="G8" s="210">
        <f t="shared" si="2"/>
        <v>477.59400000000005</v>
      </c>
      <c r="H8" s="210">
        <f t="shared" si="2"/>
        <v>481.74099999999993</v>
      </c>
      <c r="I8" s="210">
        <f t="shared" si="2"/>
        <v>481.91800000000001</v>
      </c>
      <c r="J8" s="198">
        <f t="shared" si="2"/>
        <v>483.66800000000001</v>
      </c>
      <c r="K8" s="198">
        <f t="shared" si="2"/>
        <v>491.79799999999994</v>
      </c>
      <c r="L8" s="198">
        <f t="shared" si="2"/>
        <v>493.44199999999995</v>
      </c>
      <c r="M8" s="198">
        <f t="shared" si="2"/>
        <v>503.5</v>
      </c>
      <c r="N8" s="198">
        <f t="shared" si="2"/>
        <v>514.24299999999994</v>
      </c>
      <c r="O8" s="198">
        <f t="shared" si="2"/>
        <v>523.29599999999994</v>
      </c>
      <c r="P8" s="198">
        <f t="shared" si="2"/>
        <v>530.80200000000002</v>
      </c>
      <c r="Q8" s="198">
        <f t="shared" si="2"/>
        <v>536.43899999999996</v>
      </c>
      <c r="R8" s="198">
        <f t="shared" si="2"/>
        <v>542.23699999999997</v>
      </c>
      <c r="S8" s="210">
        <f t="shared" si="2"/>
        <v>547.99299999999994</v>
      </c>
      <c r="T8" s="210">
        <f t="shared" si="2"/>
        <v>548.49799999999993</v>
      </c>
      <c r="U8" s="198">
        <f t="shared" si="2"/>
        <v>555.21100000000013</v>
      </c>
      <c r="V8" s="198">
        <f t="shared" si="2"/>
        <v>563.43600000000004</v>
      </c>
      <c r="W8" s="198">
        <f t="shared" si="2"/>
        <v>568.77399999999989</v>
      </c>
      <c r="X8" s="198">
        <f t="shared" si="2"/>
        <v>569.35300000000007</v>
      </c>
      <c r="Y8" s="198">
        <f t="shared" si="2"/>
        <v>572.09899999999993</v>
      </c>
      <c r="Z8" s="198">
        <f>SUM(Z10,Z13:Z14,Z16,Z17:Z19,Z25,Z28:Z29,Z31,Z35:Z37)+Z21</f>
        <v>571.94799999999998</v>
      </c>
      <c r="AA8" s="198">
        <f>SUM(AA10,AA13:AA14,AA16,AA17:AA19,AA25,AA28:AA29,AA31,AA35:AA37)+AA21</f>
        <v>571.58000000000004</v>
      </c>
      <c r="AB8" s="568">
        <f>SUM(AB10,AB13:AB14,AB16,AB17:AB19,AB25,AB28:AB29,AB31,AB35:AB37)+AB21</f>
        <v>572.42900000000009</v>
      </c>
      <c r="AC8" s="209">
        <f t="shared" ref="AC8:AC46" si="3">AB8/AA8*100-100</f>
        <v>0.14853563805591818</v>
      </c>
      <c r="AD8" s="410" t="s">
        <v>241</v>
      </c>
    </row>
    <row r="9" spans="1:30" ht="12.75" customHeight="1" x14ac:dyDescent="0.2">
      <c r="B9" s="411" t="s">
        <v>245</v>
      </c>
      <c r="C9" s="211"/>
      <c r="D9" s="211"/>
      <c r="E9" s="200">
        <f t="shared" ref="E9:Y9" si="4">E7-E8</f>
        <v>263.92500000000007</v>
      </c>
      <c r="F9" s="463">
        <f t="shared" si="4"/>
        <v>260.97453333333311</v>
      </c>
      <c r="G9" s="463">
        <f t="shared" si="4"/>
        <v>264.2260666666665</v>
      </c>
      <c r="H9" s="463">
        <f t="shared" si="4"/>
        <v>267.95959999999985</v>
      </c>
      <c r="I9" s="463">
        <f t="shared" si="4"/>
        <v>270.9627999999999</v>
      </c>
      <c r="J9" s="200">
        <f t="shared" si="4"/>
        <v>273.15199999999993</v>
      </c>
      <c r="K9" s="200">
        <f t="shared" si="4"/>
        <v>269.42700000000019</v>
      </c>
      <c r="L9" s="200">
        <f t="shared" si="4"/>
        <v>266.05900000000003</v>
      </c>
      <c r="M9" s="200">
        <f t="shared" si="4"/>
        <v>258.71600000000012</v>
      </c>
      <c r="N9" s="200">
        <f t="shared" si="4"/>
        <v>255.69499999999994</v>
      </c>
      <c r="O9" s="200">
        <f t="shared" si="4"/>
        <v>258.20600000000013</v>
      </c>
      <c r="P9" s="200">
        <f t="shared" si="4"/>
        <v>257.99199999999985</v>
      </c>
      <c r="Q9" s="200">
        <f t="shared" si="4"/>
        <v>261.98099999999999</v>
      </c>
      <c r="R9" s="200">
        <f t="shared" si="4"/>
        <v>262.64800000000002</v>
      </c>
      <c r="S9" s="200">
        <f t="shared" si="4"/>
        <v>251.87900000000036</v>
      </c>
      <c r="T9" s="200">
        <f t="shared" si="4"/>
        <v>246.67100000000016</v>
      </c>
      <c r="U9" s="200">
        <f t="shared" si="4"/>
        <v>237.47699999999998</v>
      </c>
      <c r="V9" s="200">
        <f t="shared" si="4"/>
        <v>236.47500000000014</v>
      </c>
      <c r="W9" s="200">
        <f t="shared" si="4"/>
        <v>249.92200000000003</v>
      </c>
      <c r="X9" s="200">
        <f t="shared" si="4"/>
        <v>249.21199999999999</v>
      </c>
      <c r="Y9" s="200">
        <f t="shared" si="4"/>
        <v>245.58699999999999</v>
      </c>
      <c r="Z9" s="200">
        <f>Z7-Z8</f>
        <v>247.03200000000015</v>
      </c>
      <c r="AA9" s="200">
        <f>AA7-AA8</f>
        <v>246.84899999999982</v>
      </c>
      <c r="AB9" s="212">
        <f>AB7-AB8</f>
        <v>250.45199999999988</v>
      </c>
      <c r="AC9" s="211">
        <f t="shared" si="3"/>
        <v>1.4595967575319548</v>
      </c>
      <c r="AD9" s="411" t="s">
        <v>245</v>
      </c>
    </row>
    <row r="10" spans="1:30" ht="12.75" customHeight="1" x14ac:dyDescent="0.2">
      <c r="A10" s="8"/>
      <c r="B10" s="10" t="s">
        <v>63</v>
      </c>
      <c r="C10" s="213">
        <v>16.169</v>
      </c>
      <c r="D10" s="214">
        <v>17.175999999999998</v>
      </c>
      <c r="E10" s="149">
        <v>15.644</v>
      </c>
      <c r="F10" s="149">
        <v>15.378</v>
      </c>
      <c r="G10" s="149">
        <v>15.004</v>
      </c>
      <c r="H10" s="149">
        <v>14.981999999999999</v>
      </c>
      <c r="I10" s="149">
        <v>14.85</v>
      </c>
      <c r="J10" s="149">
        <v>14.646000000000001</v>
      </c>
      <c r="K10" s="149">
        <v>14.683999999999999</v>
      </c>
      <c r="L10" s="149">
        <v>14.667</v>
      </c>
      <c r="M10" s="149">
        <v>14.587999999999999</v>
      </c>
      <c r="N10" s="149">
        <v>14.673</v>
      </c>
      <c r="O10" s="149">
        <v>14.722</v>
      </c>
      <c r="P10" s="149">
        <v>14.676</v>
      </c>
      <c r="Q10" s="149">
        <v>14.769</v>
      </c>
      <c r="R10" s="149">
        <v>15.06</v>
      </c>
      <c r="S10" s="149">
        <v>15.327999999999999</v>
      </c>
      <c r="T10" s="149">
        <v>15.391</v>
      </c>
      <c r="U10" s="149">
        <v>15.329000000000001</v>
      </c>
      <c r="V10" s="149">
        <v>15.478999999999999</v>
      </c>
      <c r="W10" s="149">
        <v>15.992000000000001</v>
      </c>
      <c r="X10" s="149">
        <v>16.061</v>
      </c>
      <c r="Y10" s="149">
        <v>16.225999999999999</v>
      </c>
      <c r="Z10" s="149">
        <v>16.100000000000001</v>
      </c>
      <c r="AA10" s="149">
        <v>16.050999999999998</v>
      </c>
      <c r="AB10" s="222">
        <v>16.260999999999999</v>
      </c>
      <c r="AC10" s="163">
        <f t="shared" si="3"/>
        <v>1.3083296990841689</v>
      </c>
      <c r="AD10" s="412" t="s">
        <v>63</v>
      </c>
    </row>
    <row r="11" spans="1:30" ht="12.75" customHeight="1" x14ac:dyDescent="0.2">
      <c r="A11" s="8"/>
      <c r="B11" s="197" t="s">
        <v>46</v>
      </c>
      <c r="C11" s="215"/>
      <c r="D11" s="215">
        <v>21</v>
      </c>
      <c r="E11" s="219">
        <f>33.8+0.8</f>
        <v>34.599999999999994</v>
      </c>
      <c r="F11" s="219">
        <f>35.6+0.8</f>
        <v>36.4</v>
      </c>
      <c r="G11" s="219">
        <f>37.1+0.8</f>
        <v>37.9</v>
      </c>
      <c r="H11" s="219">
        <f>39.3+0.8</f>
        <v>40.099999999999994</v>
      </c>
      <c r="I11" s="219">
        <v>41.432000000000002</v>
      </c>
      <c r="J11" s="219">
        <v>41.838999999999999</v>
      </c>
      <c r="K11" s="219">
        <v>41.642000000000003</v>
      </c>
      <c r="L11" s="219">
        <v>41.201999999999998</v>
      </c>
      <c r="M11" s="219">
        <v>42.264000000000003</v>
      </c>
      <c r="N11" s="219">
        <v>42.720999999999997</v>
      </c>
      <c r="O11" s="219">
        <v>43.005000000000003</v>
      </c>
      <c r="P11" s="219">
        <v>43.566000000000003</v>
      </c>
      <c r="Q11" s="219">
        <v>43.86</v>
      </c>
      <c r="R11" s="413">
        <v>44.3</v>
      </c>
      <c r="S11" s="219">
        <v>36.6</v>
      </c>
      <c r="T11" s="413">
        <v>37.799999999999997</v>
      </c>
      <c r="U11" s="219">
        <v>22.8</v>
      </c>
      <c r="V11" s="219">
        <v>23.9</v>
      </c>
      <c r="W11" s="219">
        <v>25.2</v>
      </c>
      <c r="X11" s="219">
        <v>25.1</v>
      </c>
      <c r="Y11" s="219">
        <v>24.5</v>
      </c>
      <c r="Z11" s="219">
        <v>23.651</v>
      </c>
      <c r="AA11" s="219">
        <v>23.289000000000001</v>
      </c>
      <c r="AB11" s="221">
        <v>23.3</v>
      </c>
      <c r="AC11" s="224">
        <f t="shared" si="3"/>
        <v>4.723259908109867E-2</v>
      </c>
      <c r="AD11" s="410" t="s">
        <v>46</v>
      </c>
    </row>
    <row r="12" spans="1:30" ht="12.75" customHeight="1" x14ac:dyDescent="0.2">
      <c r="A12" s="8"/>
      <c r="B12" s="10" t="s">
        <v>48</v>
      </c>
      <c r="C12" s="213"/>
      <c r="D12" s="213">
        <v>20.3</v>
      </c>
      <c r="E12" s="149">
        <v>20.474</v>
      </c>
      <c r="F12" s="462">
        <f>$E$12+($H$12-$E$12)/3</f>
        <v>20.050333333333334</v>
      </c>
      <c r="G12" s="462">
        <f>$E$12+($H$12-$E$12)/3*2</f>
        <v>19.626666666666665</v>
      </c>
      <c r="H12" s="149">
        <v>19.202999999999999</v>
      </c>
      <c r="I12" s="149">
        <f>19.071+0.685</f>
        <v>19.756</v>
      </c>
      <c r="J12" s="149">
        <f>19.756+0.718</f>
        <v>20.474</v>
      </c>
      <c r="K12" s="149">
        <f>20.489+0.711</f>
        <v>21.2</v>
      </c>
      <c r="L12" s="149">
        <f>20.755+0.721</f>
        <v>21.475999999999999</v>
      </c>
      <c r="M12" s="149">
        <f>19.96+0.708</f>
        <v>20.667999999999999</v>
      </c>
      <c r="N12" s="149">
        <f>18.981+0.721</f>
        <v>19.702000000000002</v>
      </c>
      <c r="O12" s="149">
        <f>18.259+0.727</f>
        <v>18.986000000000001</v>
      </c>
      <c r="P12" s="149">
        <f>18.384+0.739</f>
        <v>19.123000000000001</v>
      </c>
      <c r="Q12" s="149">
        <f>21.34+0.726</f>
        <v>22.065999999999999</v>
      </c>
      <c r="R12" s="149">
        <f>20.627+0.723</f>
        <v>21.349999999999998</v>
      </c>
      <c r="S12" s="149">
        <f>19.948+0.726</f>
        <v>20.673999999999999</v>
      </c>
      <c r="T12" s="149">
        <f>20.134+0.719</f>
        <v>20.853000000000002</v>
      </c>
      <c r="U12" s="149">
        <f>20.331+0.744</f>
        <v>21.074999999999999</v>
      </c>
      <c r="V12" s="149">
        <f>20.416+0.74</f>
        <v>21.155999999999999</v>
      </c>
      <c r="W12" s="149">
        <f>20.375+0.738</f>
        <v>21.113</v>
      </c>
      <c r="X12" s="149">
        <f>19.943+0.733</f>
        <v>20.676000000000002</v>
      </c>
      <c r="Y12" s="149">
        <f>19.653+0.735</f>
        <v>20.387999999999998</v>
      </c>
      <c r="Z12" s="149">
        <v>20.402000000000001</v>
      </c>
      <c r="AA12" s="149">
        <f>19.882+0.728</f>
        <v>20.610000000000003</v>
      </c>
      <c r="AB12" s="222">
        <f>19.619+0.699</f>
        <v>20.318000000000001</v>
      </c>
      <c r="AC12" s="165">
        <f t="shared" si="3"/>
        <v>-1.4167879670063144</v>
      </c>
      <c r="AD12" s="412" t="s">
        <v>48</v>
      </c>
    </row>
    <row r="13" spans="1:30" ht="12.75" customHeight="1" x14ac:dyDescent="0.2">
      <c r="A13" s="8"/>
      <c r="B13" s="197" t="s">
        <v>59</v>
      </c>
      <c r="C13" s="215">
        <v>5.0389999999999997</v>
      </c>
      <c r="D13" s="215">
        <v>7.351</v>
      </c>
      <c r="E13" s="219">
        <v>8.109</v>
      </c>
      <c r="F13" s="219">
        <v>9.9890000000000008</v>
      </c>
      <c r="G13" s="219">
        <v>11.259</v>
      </c>
      <c r="H13" s="219">
        <v>12.976000000000001</v>
      </c>
      <c r="I13" s="219">
        <v>13.614000000000001</v>
      </c>
      <c r="J13" s="219">
        <v>13.669</v>
      </c>
      <c r="K13" s="219">
        <v>13.786</v>
      </c>
      <c r="L13" s="219">
        <v>13.779</v>
      </c>
      <c r="M13" s="219">
        <v>13.911</v>
      </c>
      <c r="N13" s="219">
        <v>13.909000000000001</v>
      </c>
      <c r="O13" s="219">
        <v>13.968</v>
      </c>
      <c r="P13" s="219">
        <v>13.954000000000001</v>
      </c>
      <c r="Q13" s="219">
        <v>13.986000000000001</v>
      </c>
      <c r="R13" s="219">
        <v>14.132</v>
      </c>
      <c r="S13" s="219">
        <v>14.191000000000001</v>
      </c>
      <c r="T13" s="219">
        <v>14.401999999999999</v>
      </c>
      <c r="U13" s="219">
        <v>14.552</v>
      </c>
      <c r="V13" s="219">
        <v>14.481999999999999</v>
      </c>
      <c r="W13" s="219">
        <v>14.452</v>
      </c>
      <c r="X13" s="219">
        <f>14.51</f>
        <v>14.51</v>
      </c>
      <c r="Y13" s="219">
        <f>14.496</f>
        <v>14.496</v>
      </c>
      <c r="Z13" s="219">
        <v>14.013999999999999</v>
      </c>
      <c r="AA13" s="219">
        <v>13.484999999999999</v>
      </c>
      <c r="AB13" s="221">
        <v>13.27</v>
      </c>
      <c r="AC13" s="224">
        <f t="shared" si="3"/>
        <v>-1.5943641082684366</v>
      </c>
      <c r="AD13" s="410" t="s">
        <v>59</v>
      </c>
    </row>
    <row r="14" spans="1:30" ht="12.75" customHeight="1" x14ac:dyDescent="0.2">
      <c r="A14" s="8"/>
      <c r="B14" s="10" t="s">
        <v>64</v>
      </c>
      <c r="C14" s="213">
        <v>63.939</v>
      </c>
      <c r="D14" s="213">
        <v>95.757999999999996</v>
      </c>
      <c r="E14" s="149">
        <v>100.37</v>
      </c>
      <c r="F14" s="149">
        <v>89.59</v>
      </c>
      <c r="G14" s="149">
        <v>88.433000000000007</v>
      </c>
      <c r="H14" s="149">
        <v>88.745999999999995</v>
      </c>
      <c r="I14" s="149">
        <v>87.421000000000006</v>
      </c>
      <c r="J14" s="149">
        <v>85.433999999999997</v>
      </c>
      <c r="K14" s="414">
        <v>84.653999999999996</v>
      </c>
      <c r="L14" s="149">
        <v>75.453000000000003</v>
      </c>
      <c r="M14" s="149">
        <v>75.593999999999994</v>
      </c>
      <c r="N14" s="149">
        <v>76.63</v>
      </c>
      <c r="O14" s="149">
        <v>77.183000000000007</v>
      </c>
      <c r="P14" s="149">
        <v>77.088999999999999</v>
      </c>
      <c r="Q14" s="149">
        <v>77.06</v>
      </c>
      <c r="R14" s="149">
        <v>76.664000000000001</v>
      </c>
      <c r="S14" s="149">
        <v>76.028000000000006</v>
      </c>
      <c r="T14" s="149">
        <v>75.203000000000003</v>
      </c>
      <c r="U14" s="149">
        <v>75.084999999999994</v>
      </c>
      <c r="V14" s="149">
        <v>75.067999999999998</v>
      </c>
      <c r="W14" s="149">
        <v>75.27</v>
      </c>
      <c r="X14" s="149">
        <v>76.433000000000007</v>
      </c>
      <c r="Y14" s="149">
        <f>76.463</f>
        <v>76.462999999999994</v>
      </c>
      <c r="Z14" s="149">
        <v>75.988</v>
      </c>
      <c r="AA14" s="149">
        <v>76.022999999999996</v>
      </c>
      <c r="AB14" s="222">
        <v>76.793999999999997</v>
      </c>
      <c r="AC14" s="165">
        <f t="shared" si="3"/>
        <v>1.014166765321022</v>
      </c>
      <c r="AD14" s="412" t="s">
        <v>64</v>
      </c>
    </row>
    <row r="15" spans="1:30" ht="12.75" customHeight="1" x14ac:dyDescent="0.2">
      <c r="A15" s="8"/>
      <c r="B15" s="197" t="s">
        <v>49</v>
      </c>
      <c r="C15" s="215"/>
      <c r="D15" s="215">
        <v>6.4</v>
      </c>
      <c r="E15" s="219">
        <v>7.9</v>
      </c>
      <c r="F15" s="219">
        <v>8.6</v>
      </c>
      <c r="G15" s="219">
        <v>8.4</v>
      </c>
      <c r="H15" s="219">
        <v>8.6999999999999993</v>
      </c>
      <c r="I15" s="219">
        <v>6.3</v>
      </c>
      <c r="J15" s="219">
        <v>7</v>
      </c>
      <c r="K15" s="219">
        <v>6.7</v>
      </c>
      <c r="L15" s="219">
        <v>6.5</v>
      </c>
      <c r="M15" s="219">
        <v>6.3</v>
      </c>
      <c r="N15" s="219">
        <v>6.2</v>
      </c>
      <c r="O15" s="219">
        <v>6.1</v>
      </c>
      <c r="P15" s="219">
        <v>5.5</v>
      </c>
      <c r="Q15" s="219">
        <v>5.3</v>
      </c>
      <c r="R15" s="219">
        <v>5.4</v>
      </c>
      <c r="S15" s="219">
        <v>5.3</v>
      </c>
      <c r="T15" s="219">
        <v>5.194</v>
      </c>
      <c r="U15" s="413">
        <v>5.3780000000000001</v>
      </c>
      <c r="V15" s="219">
        <v>4.3099999999999996</v>
      </c>
      <c r="W15" s="219">
        <v>4.2919999999999998</v>
      </c>
      <c r="X15" s="219">
        <v>4.117</v>
      </c>
      <c r="Y15" s="219">
        <v>4.1669999999999998</v>
      </c>
      <c r="Z15" s="219">
        <v>4.1559999999999997</v>
      </c>
      <c r="AA15" s="219">
        <v>4.3109999999999999</v>
      </c>
      <c r="AB15" s="221">
        <v>4.5</v>
      </c>
      <c r="AC15" s="224">
        <f t="shared" si="3"/>
        <v>4.384133611691027</v>
      </c>
      <c r="AD15" s="410" t="s">
        <v>49</v>
      </c>
    </row>
    <row r="16" spans="1:30" ht="12.75" customHeight="1" x14ac:dyDescent="0.2">
      <c r="A16" s="8"/>
      <c r="B16" s="10" t="s">
        <v>67</v>
      </c>
      <c r="C16" s="213">
        <v>2.012</v>
      </c>
      <c r="D16" s="213">
        <v>2.722</v>
      </c>
      <c r="E16" s="149">
        <v>4.0469999999999997</v>
      </c>
      <c r="F16" s="149">
        <v>4.3879999999999999</v>
      </c>
      <c r="G16" s="149">
        <v>4.5570000000000004</v>
      </c>
      <c r="H16" s="149">
        <v>4.835</v>
      </c>
      <c r="I16" s="149">
        <v>4.9850000000000003</v>
      </c>
      <c r="J16" s="149">
        <v>5.282</v>
      </c>
      <c r="K16" s="149">
        <v>5.5350000000000001</v>
      </c>
      <c r="L16" s="149">
        <v>5.8449999999999998</v>
      </c>
      <c r="M16" s="149">
        <v>6.0960000000000001</v>
      </c>
      <c r="N16" s="149">
        <v>6.5640000000000001</v>
      </c>
      <c r="O16" s="149">
        <v>6.9569999999999999</v>
      </c>
      <c r="P16" s="149">
        <v>7.0839999999999996</v>
      </c>
      <c r="Q16" s="149">
        <v>7.09</v>
      </c>
      <c r="R16" s="149">
        <v>7.3920000000000003</v>
      </c>
      <c r="S16" s="149">
        <v>7.43</v>
      </c>
      <c r="T16" s="149">
        <v>7.625</v>
      </c>
      <c r="U16" s="149">
        <v>7.9969999999999999</v>
      </c>
      <c r="V16" s="149">
        <v>8.4510000000000005</v>
      </c>
      <c r="W16" s="149">
        <v>8.9109999999999996</v>
      </c>
      <c r="X16" s="149">
        <f>8.556</f>
        <v>8.5559999999999992</v>
      </c>
      <c r="Y16" s="149">
        <f>8.245</f>
        <v>8.2449999999999992</v>
      </c>
      <c r="Z16" s="149">
        <v>8.2759999999999998</v>
      </c>
      <c r="AA16" s="149">
        <v>8.266</v>
      </c>
      <c r="AB16" s="222">
        <v>8.4879999999999995</v>
      </c>
      <c r="AC16" s="165">
        <f t="shared" si="3"/>
        <v>2.6857004597144822</v>
      </c>
      <c r="AD16" s="412" t="s">
        <v>67</v>
      </c>
    </row>
    <row r="17" spans="1:30" ht="12.75" customHeight="1" x14ac:dyDescent="0.2">
      <c r="A17" s="8"/>
      <c r="B17" s="197" t="s">
        <v>60</v>
      </c>
      <c r="C17" s="215">
        <v>10.545999999999999</v>
      </c>
      <c r="D17" s="215">
        <v>18.010999999999999</v>
      </c>
      <c r="E17" s="219">
        <v>21.43</v>
      </c>
      <c r="F17" s="219">
        <v>22.08</v>
      </c>
      <c r="G17" s="219">
        <v>22.673999999999999</v>
      </c>
      <c r="H17" s="219">
        <v>23.206</v>
      </c>
      <c r="I17" s="219">
        <v>23.54</v>
      </c>
      <c r="J17" s="219">
        <v>24.6</v>
      </c>
      <c r="K17" s="219">
        <v>25.096</v>
      </c>
      <c r="L17" s="219">
        <v>25.622</v>
      </c>
      <c r="M17" s="219">
        <v>26.32</v>
      </c>
      <c r="N17" s="219">
        <v>26.768999999999998</v>
      </c>
      <c r="O17" s="219">
        <v>27.036999999999999</v>
      </c>
      <c r="P17" s="219">
        <v>27.114999999999998</v>
      </c>
      <c r="Q17" s="219">
        <v>27.247</v>
      </c>
      <c r="R17" s="219">
        <v>27.138999999999999</v>
      </c>
      <c r="S17" s="219">
        <v>26.78</v>
      </c>
      <c r="T17" s="219">
        <v>26.829000000000001</v>
      </c>
      <c r="U17" s="219">
        <v>26.937999999999999</v>
      </c>
      <c r="V17" s="219">
        <v>27.102</v>
      </c>
      <c r="W17" s="219">
        <v>27.186</v>
      </c>
      <c r="X17" s="219">
        <v>27.324000000000002</v>
      </c>
      <c r="Y17" s="219">
        <v>27.311</v>
      </c>
      <c r="Z17" s="219">
        <v>27.120999999999999</v>
      </c>
      <c r="AA17" s="219">
        <v>26.962</v>
      </c>
      <c r="AB17" s="221">
        <v>26.783000000000001</v>
      </c>
      <c r="AC17" s="224">
        <f t="shared" si="3"/>
        <v>-0.66389733699280384</v>
      </c>
      <c r="AD17" s="410" t="s">
        <v>60</v>
      </c>
    </row>
    <row r="18" spans="1:30" ht="12.75" customHeight="1" x14ac:dyDescent="0.2">
      <c r="A18" s="8"/>
      <c r="B18" s="10" t="s">
        <v>65</v>
      </c>
      <c r="C18" s="213">
        <v>30.728000000000002</v>
      </c>
      <c r="D18" s="213">
        <v>42.631</v>
      </c>
      <c r="E18" s="149">
        <v>45.767000000000003</v>
      </c>
      <c r="F18" s="149">
        <v>46.603999999999999</v>
      </c>
      <c r="G18" s="149">
        <v>47.18</v>
      </c>
      <c r="H18" s="149">
        <v>47.027999999999999</v>
      </c>
      <c r="I18" s="149">
        <v>47.088000000000001</v>
      </c>
      <c r="J18" s="149">
        <v>47.375</v>
      </c>
      <c r="K18" s="149">
        <v>48.405000000000001</v>
      </c>
      <c r="L18" s="149">
        <v>50.034999999999997</v>
      </c>
      <c r="M18" s="149">
        <v>51.805</v>
      </c>
      <c r="N18" s="149">
        <v>53.54</v>
      </c>
      <c r="O18" s="149">
        <v>54.731999999999999</v>
      </c>
      <c r="P18" s="149">
        <v>56.146000000000001</v>
      </c>
      <c r="Q18" s="149">
        <v>56.953000000000003</v>
      </c>
      <c r="R18" s="149">
        <v>55.993000000000002</v>
      </c>
      <c r="S18" s="149">
        <v>56.957000000000001</v>
      </c>
      <c r="T18" s="149">
        <v>58.247999999999998</v>
      </c>
      <c r="U18" s="149">
        <v>59.104999999999997</v>
      </c>
      <c r="V18" s="149">
        <v>61.039000000000001</v>
      </c>
      <c r="W18" s="149">
        <v>62.195999999999998</v>
      </c>
      <c r="X18" s="149">
        <v>62.662999999999997</v>
      </c>
      <c r="Y18" s="149">
        <v>62.445</v>
      </c>
      <c r="Z18" s="149">
        <v>62.357999999999997</v>
      </c>
      <c r="AA18" s="149">
        <v>61.127000000000002</v>
      </c>
      <c r="AB18" s="222">
        <v>59.892000000000003</v>
      </c>
      <c r="AC18" s="165">
        <f t="shared" si="3"/>
        <v>-2.0203837911233933</v>
      </c>
      <c r="AD18" s="412" t="s">
        <v>65</v>
      </c>
    </row>
    <row r="19" spans="1:30" ht="12.75" customHeight="1" x14ac:dyDescent="0.2">
      <c r="A19" s="8"/>
      <c r="B19" s="197" t="s">
        <v>66</v>
      </c>
      <c r="C19" s="215">
        <v>41</v>
      </c>
      <c r="D19" s="215">
        <v>59</v>
      </c>
      <c r="E19" s="219">
        <v>73.7</v>
      </c>
      <c r="F19" s="219">
        <v>76.3</v>
      </c>
      <c r="G19" s="219">
        <v>75.900000000000006</v>
      </c>
      <c r="H19" s="219">
        <v>77.7</v>
      </c>
      <c r="I19" s="219">
        <v>78.7</v>
      </c>
      <c r="J19" s="219">
        <v>81.8</v>
      </c>
      <c r="K19" s="219">
        <v>82.1</v>
      </c>
      <c r="L19" s="219">
        <v>82</v>
      </c>
      <c r="M19" s="219">
        <v>84.960999999999999</v>
      </c>
      <c r="N19" s="219">
        <v>85.668000000000006</v>
      </c>
      <c r="O19" s="219">
        <v>85.748999999999995</v>
      </c>
      <c r="P19" s="219">
        <v>86.953999999999994</v>
      </c>
      <c r="Q19" s="219">
        <v>85.876000000000005</v>
      </c>
      <c r="R19" s="219">
        <v>87.100999999999999</v>
      </c>
      <c r="S19" s="219">
        <v>88.417000000000002</v>
      </c>
      <c r="T19" s="219">
        <v>90.055000000000007</v>
      </c>
      <c r="U19" s="219">
        <v>92.152000000000001</v>
      </c>
      <c r="V19" s="219">
        <v>94.391999999999996</v>
      </c>
      <c r="W19" s="219">
        <v>92.873999999999995</v>
      </c>
      <c r="X19" s="442">
        <v>88.813999999999993</v>
      </c>
      <c r="Y19" s="219">
        <v>89.972999999999999</v>
      </c>
      <c r="Z19" s="219">
        <v>91.787000000000006</v>
      </c>
      <c r="AA19" s="219">
        <v>93.063999999999993</v>
      </c>
      <c r="AB19" s="221">
        <v>95.192999999999998</v>
      </c>
      <c r="AC19" s="224">
        <f t="shared" si="3"/>
        <v>2.2876729992263449</v>
      </c>
      <c r="AD19" s="410" t="s">
        <v>66</v>
      </c>
    </row>
    <row r="20" spans="1:30" ht="12.75" customHeight="1" x14ac:dyDescent="0.2">
      <c r="A20" s="8"/>
      <c r="B20" s="10" t="s">
        <v>77</v>
      </c>
      <c r="C20" s="213"/>
      <c r="D20" s="213"/>
      <c r="E20" s="149">
        <v>5.8360000000000003</v>
      </c>
      <c r="F20" s="149">
        <v>4.8760000000000003</v>
      </c>
      <c r="G20" s="149">
        <v>4.1040000000000001</v>
      </c>
      <c r="H20" s="149">
        <v>3.895</v>
      </c>
      <c r="I20" s="149">
        <v>4.0259999999999998</v>
      </c>
      <c r="J20" s="149">
        <v>3.8969999999999998</v>
      </c>
      <c r="K20" s="149">
        <v>4.5960000000000001</v>
      </c>
      <c r="L20" s="149">
        <v>4.7709999999999999</v>
      </c>
      <c r="M20" s="149">
        <v>4.8140000000000001</v>
      </c>
      <c r="N20" s="149">
        <v>4.7430000000000003</v>
      </c>
      <c r="O20" s="149">
        <v>4.66</v>
      </c>
      <c r="P20" s="149">
        <v>4.7699999999999996</v>
      </c>
      <c r="Q20" s="149">
        <v>4.7919999999999998</v>
      </c>
      <c r="R20" s="149">
        <v>4.8330000000000002</v>
      </c>
      <c r="S20" s="149">
        <v>4.8689999999999998</v>
      </c>
      <c r="T20" s="149">
        <v>4.851</v>
      </c>
      <c r="U20" s="149">
        <v>4.9139999999999997</v>
      </c>
      <c r="V20" s="149">
        <v>5.0430000000000001</v>
      </c>
      <c r="W20" s="149">
        <v>5.0990000000000002</v>
      </c>
      <c r="X20" s="149">
        <v>5.0709999999999997</v>
      </c>
      <c r="Y20" s="462">
        <v>4.8769999999999998</v>
      </c>
      <c r="Z20" s="149">
        <v>4.8410000000000002</v>
      </c>
      <c r="AA20" s="149">
        <v>4.6550000000000002</v>
      </c>
      <c r="AB20" s="222">
        <v>4.7889999999999997</v>
      </c>
      <c r="AC20" s="165">
        <f t="shared" si="3"/>
        <v>2.8786251342642259</v>
      </c>
      <c r="AD20" s="412" t="s">
        <v>77</v>
      </c>
    </row>
    <row r="21" spans="1:30" ht="12.75" customHeight="1" x14ac:dyDescent="0.2">
      <c r="A21" s="8"/>
      <c r="B21" s="197" t="s">
        <v>68</v>
      </c>
      <c r="C21" s="215">
        <v>32.899000000000001</v>
      </c>
      <c r="D21" s="215">
        <v>58.149000000000001</v>
      </c>
      <c r="E21" s="219">
        <v>77.730999999999995</v>
      </c>
      <c r="F21" s="219">
        <v>78</v>
      </c>
      <c r="G21" s="219">
        <v>78.179000000000002</v>
      </c>
      <c r="H21" s="219">
        <v>76.974000000000004</v>
      </c>
      <c r="I21" s="219">
        <v>76.075999999999993</v>
      </c>
      <c r="J21" s="219">
        <v>75.022999999999996</v>
      </c>
      <c r="K21" s="219">
        <v>78.183000000000007</v>
      </c>
      <c r="L21" s="219">
        <v>84.177000000000007</v>
      </c>
      <c r="M21" s="219">
        <v>84.822000000000003</v>
      </c>
      <c r="N21" s="219">
        <v>85.762</v>
      </c>
      <c r="O21" s="219">
        <v>87.956000000000003</v>
      </c>
      <c r="P21" s="219">
        <v>89.858000000000004</v>
      </c>
      <c r="Q21" s="219">
        <v>91.715999999999994</v>
      </c>
      <c r="R21" s="219">
        <v>92.700999999999993</v>
      </c>
      <c r="S21" s="219">
        <v>92.873999999999995</v>
      </c>
      <c r="T21" s="219">
        <v>94.436999999999998</v>
      </c>
      <c r="U21" s="219">
        <v>96.099000000000004</v>
      </c>
      <c r="V21" s="219">
        <v>96.418999999999997</v>
      </c>
      <c r="W21" s="219">
        <v>97.596999999999994</v>
      </c>
      <c r="X21" s="219">
        <v>98.724000000000004</v>
      </c>
      <c r="Y21" s="219">
        <v>99.894999999999996</v>
      </c>
      <c r="Z21" s="219">
        <v>100.438</v>
      </c>
      <c r="AA21" s="219">
        <v>99.537000000000006</v>
      </c>
      <c r="AB21" s="221">
        <v>98.551000000000002</v>
      </c>
      <c r="AC21" s="224">
        <f t="shared" si="3"/>
        <v>-0.99058641510193013</v>
      </c>
      <c r="AD21" s="465" t="s">
        <v>68</v>
      </c>
    </row>
    <row r="22" spans="1:30" ht="12.75" customHeight="1" x14ac:dyDescent="0.2">
      <c r="A22" s="8"/>
      <c r="B22" s="10" t="s">
        <v>47</v>
      </c>
      <c r="C22" s="213"/>
      <c r="D22" s="213">
        <v>1.6</v>
      </c>
      <c r="E22" s="149">
        <v>2.3079999999999998</v>
      </c>
      <c r="F22" s="149">
        <v>2.1760000000000002</v>
      </c>
      <c r="G22" s="149">
        <v>2.371</v>
      </c>
      <c r="H22" s="149">
        <v>2.4380000000000002</v>
      </c>
      <c r="I22" s="149">
        <v>2.5459999999999998</v>
      </c>
      <c r="J22" s="149">
        <v>2.67</v>
      </c>
      <c r="K22" s="149">
        <v>2.8010000000000002</v>
      </c>
      <c r="L22" s="149">
        <v>2.8</v>
      </c>
      <c r="M22" s="149">
        <v>2.754</v>
      </c>
      <c r="N22" s="149">
        <v>2.835</v>
      </c>
      <c r="O22" s="149">
        <v>2.9489999999999998</v>
      </c>
      <c r="P22" s="149">
        <v>3.0030000000000001</v>
      </c>
      <c r="Q22" s="149">
        <v>2.9969999999999999</v>
      </c>
      <c r="R22" s="149">
        <v>3.2749999999999999</v>
      </c>
      <c r="S22" s="149">
        <v>3.1989999999999998</v>
      </c>
      <c r="T22" s="149">
        <v>3.2170000000000001</v>
      </c>
      <c r="U22" s="149">
        <v>3.2210000000000001</v>
      </c>
      <c r="V22" s="149">
        <v>3.2919999999999998</v>
      </c>
      <c r="W22" s="149">
        <v>3.4020000000000001</v>
      </c>
      <c r="X22" s="149">
        <f>3.449</f>
        <v>3.4489999999999998</v>
      </c>
      <c r="Y22" s="149">
        <v>3.403</v>
      </c>
      <c r="Z22" s="149">
        <v>3.4609999999999999</v>
      </c>
      <c r="AA22" s="149">
        <v>3.5569999999999999</v>
      </c>
      <c r="AB22" s="222">
        <v>3.4950000000000001</v>
      </c>
      <c r="AC22" s="165">
        <f t="shared" si="3"/>
        <v>-1.7430418892325008</v>
      </c>
      <c r="AD22" s="412" t="s">
        <v>47</v>
      </c>
    </row>
    <row r="23" spans="1:30" ht="12.75" customHeight="1" x14ac:dyDescent="0.2">
      <c r="A23" s="8"/>
      <c r="B23" s="197" t="s">
        <v>51</v>
      </c>
      <c r="C23" s="215"/>
      <c r="D23" s="215"/>
      <c r="E23" s="219">
        <v>12.138</v>
      </c>
      <c r="F23" s="220">
        <f>$E$23+($J$23-$E$23)/5</f>
        <v>13.003399999999999</v>
      </c>
      <c r="G23" s="220">
        <f>$E$23+($J$23-$E$23)/5*2</f>
        <v>13.8688</v>
      </c>
      <c r="H23" s="220">
        <f>$E$23+($J$23-$E$23)/5*3</f>
        <v>14.7342</v>
      </c>
      <c r="I23" s="220">
        <f>$E$23+($J$23-$E$23)/5*4</f>
        <v>15.599599999999999</v>
      </c>
      <c r="J23" s="219">
        <v>16.465</v>
      </c>
      <c r="K23" s="219">
        <v>17.274999999999999</v>
      </c>
      <c r="L23" s="413">
        <v>18.558</v>
      </c>
      <c r="M23" s="219">
        <v>11.505000000000001</v>
      </c>
      <c r="N23" s="219">
        <v>11.555999999999999</v>
      </c>
      <c r="O23" s="219">
        <v>11.500999999999999</v>
      </c>
      <c r="P23" s="219">
        <v>11.294</v>
      </c>
      <c r="Q23" s="219">
        <v>11.164</v>
      </c>
      <c r="R23" s="219">
        <v>10.983000000000001</v>
      </c>
      <c r="S23" s="219">
        <v>10.74</v>
      </c>
      <c r="T23" s="219">
        <v>10.644</v>
      </c>
      <c r="U23" s="219">
        <v>10.628</v>
      </c>
      <c r="V23" s="219">
        <v>10.624000000000001</v>
      </c>
      <c r="W23" s="219">
        <v>10.542999999999999</v>
      </c>
      <c r="X23" s="219">
        <v>9.6869999999999994</v>
      </c>
      <c r="Y23" s="442">
        <v>5.3769999999999998</v>
      </c>
      <c r="Z23" s="219">
        <v>5.1859999999999999</v>
      </c>
      <c r="AA23" s="219">
        <v>5.0439999999999996</v>
      </c>
      <c r="AB23" s="221">
        <v>4.9889999999999999</v>
      </c>
      <c r="AC23" s="224">
        <f t="shared" si="3"/>
        <v>-1.0904044409198974</v>
      </c>
      <c r="AD23" s="465" t="s">
        <v>51</v>
      </c>
    </row>
    <row r="24" spans="1:30" ht="12.75" customHeight="1" x14ac:dyDescent="0.2">
      <c r="A24" s="8"/>
      <c r="B24" s="10" t="s">
        <v>52</v>
      </c>
      <c r="C24" s="213"/>
      <c r="D24" s="213">
        <v>10.5</v>
      </c>
      <c r="E24" s="149">
        <v>15.2</v>
      </c>
      <c r="F24" s="462">
        <f>$E$24+($J$24-$E$24)/5</f>
        <v>15.6768</v>
      </c>
      <c r="G24" s="462">
        <f>$E$24+($J$24-$E$24)/5*2</f>
        <v>16.153600000000001</v>
      </c>
      <c r="H24" s="462">
        <f>$E$24+($J$24-$E$24)/5*3</f>
        <v>16.630399999999998</v>
      </c>
      <c r="I24" s="462">
        <f>$E$24+($J$24-$E$24)/5*4</f>
        <v>17.107199999999999</v>
      </c>
      <c r="J24" s="149">
        <f>17.052+0.532</f>
        <v>17.584</v>
      </c>
      <c r="K24" s="149">
        <f>15.482+0.544</f>
        <v>16.026</v>
      </c>
      <c r="L24" s="149">
        <f>14.888+0.547</f>
        <v>15.435</v>
      </c>
      <c r="M24" s="149">
        <f>15.156+0.523</f>
        <v>15.679</v>
      </c>
      <c r="N24" s="149">
        <f>15.59+0.5</f>
        <v>16.09</v>
      </c>
      <c r="O24" s="149">
        <f>15.069+0.474</f>
        <v>15.543000000000001</v>
      </c>
      <c r="P24" s="149">
        <f>15.171+0.47</f>
        <v>15.641</v>
      </c>
      <c r="Q24" s="149">
        <f>15.376+0.466</f>
        <v>15.841999999999999</v>
      </c>
      <c r="R24" s="149">
        <f>15.543+0.463</f>
        <v>16.006</v>
      </c>
      <c r="S24" s="149">
        <f>14.377+0.476</f>
        <v>14.853000000000002</v>
      </c>
      <c r="T24" s="149">
        <f>14.839+0.472</f>
        <v>15.311</v>
      </c>
      <c r="U24" s="149">
        <f>15.134+0.485</f>
        <v>15.619</v>
      </c>
      <c r="V24" s="149">
        <f>13.997+0.491</f>
        <v>14.488</v>
      </c>
      <c r="W24" s="149">
        <f>13.824+0.488</f>
        <v>14.311999999999999</v>
      </c>
      <c r="X24" s="149">
        <f>13.36+0.477</f>
        <v>13.837</v>
      </c>
      <c r="Y24" s="149">
        <f>13.261+0.467</f>
        <v>13.728</v>
      </c>
      <c r="Z24" s="149">
        <v>13.545</v>
      </c>
      <c r="AA24" s="149">
        <f>12.649+0.458</f>
        <v>13.106999999999999</v>
      </c>
      <c r="AB24" s="222">
        <f>12.606+0.457</f>
        <v>13.063000000000001</v>
      </c>
      <c r="AC24" s="165">
        <f t="shared" si="3"/>
        <v>-0.33569848172730588</v>
      </c>
      <c r="AD24" s="412" t="s">
        <v>52</v>
      </c>
    </row>
    <row r="25" spans="1:30" ht="12.75" customHeight="1" x14ac:dyDescent="0.2">
      <c r="A25" s="8"/>
      <c r="B25" s="197" t="s">
        <v>69</v>
      </c>
      <c r="C25" s="215">
        <v>0.56000000000000005</v>
      </c>
      <c r="D25" s="215">
        <v>0.64700000000000002</v>
      </c>
      <c r="E25" s="219">
        <v>0.76</v>
      </c>
      <c r="F25" s="219">
        <v>0.77700000000000002</v>
      </c>
      <c r="G25" s="219">
        <v>0.81399999999999995</v>
      </c>
      <c r="H25" s="219">
        <v>0.85</v>
      </c>
      <c r="I25" s="219">
        <v>0.84599999999999997</v>
      </c>
      <c r="J25" s="219">
        <v>0.871</v>
      </c>
      <c r="K25" s="219">
        <v>0.91400000000000003</v>
      </c>
      <c r="L25" s="219">
        <v>0.94399999999999995</v>
      </c>
      <c r="M25" s="219">
        <v>0.94499999999999995</v>
      </c>
      <c r="N25" s="219">
        <v>0.98399999999999999</v>
      </c>
      <c r="O25" s="219">
        <v>1.0509999999999999</v>
      </c>
      <c r="P25" s="219">
        <v>1.123</v>
      </c>
      <c r="Q25" s="219">
        <v>1.1759999999999999</v>
      </c>
      <c r="R25" s="219">
        <v>1.2270000000000001</v>
      </c>
      <c r="S25" s="219">
        <v>1.27</v>
      </c>
      <c r="T25" s="219">
        <v>1.34</v>
      </c>
      <c r="U25" s="219">
        <v>1.38</v>
      </c>
      <c r="V25" s="219">
        <v>1.456</v>
      </c>
      <c r="W25" s="219">
        <v>1.546</v>
      </c>
      <c r="X25" s="219">
        <f>1.624</f>
        <v>1.6240000000000001</v>
      </c>
      <c r="Y25" s="219">
        <v>1.637</v>
      </c>
      <c r="Z25" s="219">
        <v>1.7030000000000001</v>
      </c>
      <c r="AA25" s="219">
        <v>1.728</v>
      </c>
      <c r="AB25" s="221">
        <v>1.7589999999999999</v>
      </c>
      <c r="AC25" s="224">
        <f t="shared" si="3"/>
        <v>1.7939814814814667</v>
      </c>
      <c r="AD25" s="465" t="s">
        <v>69</v>
      </c>
    </row>
    <row r="26" spans="1:30" ht="12.75" customHeight="1" x14ac:dyDescent="0.2">
      <c r="A26" s="8"/>
      <c r="B26" s="10" t="s">
        <v>50</v>
      </c>
      <c r="C26" s="213"/>
      <c r="D26" s="213">
        <v>22.2</v>
      </c>
      <c r="E26" s="149">
        <v>26.437999999999999</v>
      </c>
      <c r="F26" s="149">
        <v>24.497</v>
      </c>
      <c r="G26" s="149">
        <v>23.187000000000001</v>
      </c>
      <c r="H26" s="149">
        <v>22.186</v>
      </c>
      <c r="I26" s="149">
        <v>21.785</v>
      </c>
      <c r="J26" s="149">
        <v>20.463999999999999</v>
      </c>
      <c r="K26" s="149">
        <v>19.381</v>
      </c>
      <c r="L26" s="149">
        <v>18.89</v>
      </c>
      <c r="M26" s="149">
        <v>18.795000000000002</v>
      </c>
      <c r="N26" s="149">
        <v>17.733000000000001</v>
      </c>
      <c r="O26" s="149">
        <v>17.855</v>
      </c>
      <c r="P26" s="149">
        <v>17.817</v>
      </c>
      <c r="Q26" s="149">
        <v>17.873000000000001</v>
      </c>
      <c r="R26" s="149">
        <v>17.876999999999999</v>
      </c>
      <c r="S26" s="149">
        <v>17.428000000000001</v>
      </c>
      <c r="T26" s="149">
        <v>17.45</v>
      </c>
      <c r="U26" s="149">
        <v>17.721</v>
      </c>
      <c r="V26" s="149">
        <v>17.899000000000001</v>
      </c>
      <c r="W26" s="149">
        <v>17.954999999999998</v>
      </c>
      <c r="X26" s="149">
        <v>17.72</v>
      </c>
      <c r="Y26" s="149">
        <f>17.641</f>
        <v>17.640999999999998</v>
      </c>
      <c r="Z26" s="149">
        <v>17.366</v>
      </c>
      <c r="AA26" s="149">
        <v>17.300999999999998</v>
      </c>
      <c r="AB26" s="222">
        <v>17.568999999999999</v>
      </c>
      <c r="AC26" s="165">
        <f t="shared" si="3"/>
        <v>1.5490434078954962</v>
      </c>
      <c r="AD26" s="412" t="s">
        <v>50</v>
      </c>
    </row>
    <row r="27" spans="1:30" ht="12.75" customHeight="1" x14ac:dyDescent="0.2">
      <c r="A27" s="8"/>
      <c r="B27" s="197" t="s">
        <v>53</v>
      </c>
      <c r="C27" s="215"/>
      <c r="D27" s="215"/>
      <c r="E27" s="219">
        <v>0.97799999999999998</v>
      </c>
      <c r="F27" s="220">
        <f>$E$27+($H$27-$E$27)/3</f>
        <v>0.96399999999999997</v>
      </c>
      <c r="G27" s="220">
        <f>$E$27+($H$27-$E$27)/3*2</f>
        <v>0.95000000000000007</v>
      </c>
      <c r="H27" s="219">
        <v>0.93600000000000005</v>
      </c>
      <c r="I27" s="219">
        <v>0.96399999999999997</v>
      </c>
      <c r="J27" s="219">
        <v>1.014</v>
      </c>
      <c r="K27" s="219">
        <v>0.96699999999999997</v>
      </c>
      <c r="L27" s="219">
        <v>1.077</v>
      </c>
      <c r="M27" s="219">
        <f>0.162+0.375+0.57</f>
        <v>1.107</v>
      </c>
      <c r="N27" s="219">
        <f>0.157+0.39+0.572</f>
        <v>1.119</v>
      </c>
      <c r="O27" s="219">
        <f>0.156+0.397+0.573</f>
        <v>1.1259999999999999</v>
      </c>
      <c r="P27" s="219">
        <f>0.156+0.398+0.571</f>
        <v>1.125</v>
      </c>
      <c r="Q27" s="219">
        <v>1.133</v>
      </c>
      <c r="R27" s="219">
        <v>1.1499999999999999</v>
      </c>
      <c r="S27" s="219">
        <v>1.1579999999999999</v>
      </c>
      <c r="T27" s="219">
        <f>0.144+0.422+0.577</f>
        <v>1.1429999999999998</v>
      </c>
      <c r="U27" s="219">
        <f>0.144+0.426+0.578</f>
        <v>1.1479999999999999</v>
      </c>
      <c r="V27" s="219">
        <f>0.15+0.433+0.582</f>
        <v>1.165</v>
      </c>
      <c r="W27" s="219">
        <f>0.161+0.433+0.582</f>
        <v>1.1759999999999999</v>
      </c>
      <c r="X27" s="219">
        <f>0.159+0.451+0.576</f>
        <v>1.1859999999999999</v>
      </c>
      <c r="Y27" s="442">
        <f>0.214+0.318+0.737+0.566</f>
        <v>1.835</v>
      </c>
      <c r="Z27" s="219">
        <v>1.7420000000000002</v>
      </c>
      <c r="AA27" s="219">
        <f>0.345+0.27+0.837+0.288</f>
        <v>1.74</v>
      </c>
      <c r="AB27" s="221">
        <f>0.238+0.86+0.263+0.344</f>
        <v>1.7049999999999996</v>
      </c>
      <c r="AC27" s="224">
        <f t="shared" si="3"/>
        <v>-2.0114942528735753</v>
      </c>
      <c r="AD27" s="465" t="s">
        <v>53</v>
      </c>
    </row>
    <row r="28" spans="1:30" ht="12.75" customHeight="1" x14ac:dyDescent="0.2">
      <c r="A28" s="8"/>
      <c r="B28" s="10" t="s">
        <v>61</v>
      </c>
      <c r="C28" s="213">
        <v>9.5</v>
      </c>
      <c r="D28" s="213">
        <v>11.2</v>
      </c>
      <c r="E28" s="149">
        <v>12.1</v>
      </c>
      <c r="F28" s="149">
        <v>12.427</v>
      </c>
      <c r="G28" s="149">
        <v>12.340999999999999</v>
      </c>
      <c r="H28" s="149">
        <v>12.525</v>
      </c>
      <c r="I28" s="149">
        <v>12</v>
      </c>
      <c r="J28" s="149">
        <v>11.635999999999999</v>
      </c>
      <c r="K28" s="149">
        <v>11.334</v>
      </c>
      <c r="L28" s="149">
        <v>10.801</v>
      </c>
      <c r="M28" s="149">
        <v>11.006</v>
      </c>
      <c r="N28" s="149">
        <v>11.21</v>
      </c>
      <c r="O28" s="149">
        <v>11.374000000000001</v>
      </c>
      <c r="P28" s="149">
        <v>11.326000000000001</v>
      </c>
      <c r="Q28" s="149">
        <v>11.382</v>
      </c>
      <c r="R28" s="149">
        <v>11.343999999999999</v>
      </c>
      <c r="S28" s="149">
        <v>11.231</v>
      </c>
      <c r="T28" s="149">
        <v>10.994999999999999</v>
      </c>
      <c r="U28" s="149">
        <v>10.845000000000001</v>
      </c>
      <c r="V28" s="149">
        <v>11.090999999999999</v>
      </c>
      <c r="W28" s="149">
        <v>11.332000000000001</v>
      </c>
      <c r="X28" s="149">
        <v>11.634</v>
      </c>
      <c r="Y28" s="149">
        <f>11.277</f>
        <v>11.276999999999999</v>
      </c>
      <c r="Z28" s="149">
        <v>10.986000000000001</v>
      </c>
      <c r="AA28" s="149">
        <f>10.464</f>
        <v>10.464</v>
      </c>
      <c r="AB28" s="222">
        <f>9.922</f>
        <v>9.9220000000000006</v>
      </c>
      <c r="AC28" s="165">
        <f t="shared" si="3"/>
        <v>-5.1796636085626915</v>
      </c>
      <c r="AD28" s="412" t="s">
        <v>61</v>
      </c>
    </row>
    <row r="29" spans="1:30" ht="12.75" customHeight="1" x14ac:dyDescent="0.2">
      <c r="A29" s="8"/>
      <c r="B29" s="197" t="s">
        <v>70</v>
      </c>
      <c r="C29" s="215">
        <v>6.8040000000000003</v>
      </c>
      <c r="D29" s="466">
        <v>8.89</v>
      </c>
      <c r="E29" s="219">
        <v>9.4019999999999992</v>
      </c>
      <c r="F29" s="219">
        <v>9.2690000000000001</v>
      </c>
      <c r="G29" s="219">
        <v>9.375</v>
      </c>
      <c r="H29" s="219">
        <v>9.4830000000000005</v>
      </c>
      <c r="I29" s="219">
        <v>9.5980000000000008</v>
      </c>
      <c r="J29" s="219">
        <v>9.7520000000000007</v>
      </c>
      <c r="K29" s="219">
        <v>9.74</v>
      </c>
      <c r="L29" s="219">
        <v>9.6999999999999993</v>
      </c>
      <c r="M29" s="219">
        <v>9.6750000000000007</v>
      </c>
      <c r="N29" s="219">
        <v>9.8339999999999996</v>
      </c>
      <c r="O29" s="219">
        <v>9.9179999999999993</v>
      </c>
      <c r="P29" s="413">
        <v>9.9019999999999992</v>
      </c>
      <c r="Q29" s="219">
        <v>9.1790000000000003</v>
      </c>
      <c r="R29" s="219">
        <v>9.2309999999999999</v>
      </c>
      <c r="S29" s="219">
        <v>9.4079999999999995</v>
      </c>
      <c r="T29" s="219">
        <v>9.3010000000000002</v>
      </c>
      <c r="U29" s="219">
        <v>9.2970000000000006</v>
      </c>
      <c r="V29" s="219">
        <v>9.2989999999999995</v>
      </c>
      <c r="W29" s="219">
        <v>9.3680000000000003</v>
      </c>
      <c r="X29" s="219">
        <v>9.5990000000000002</v>
      </c>
      <c r="Y29" s="219">
        <f>9.648</f>
        <v>9.6479999999999997</v>
      </c>
      <c r="Z29" s="219">
        <v>9.6020000000000003</v>
      </c>
      <c r="AA29" s="219">
        <v>9.5459999999999994</v>
      </c>
      <c r="AB29" s="221">
        <v>9.5790000000000006</v>
      </c>
      <c r="AC29" s="224">
        <f t="shared" si="3"/>
        <v>0.34569453174104581</v>
      </c>
      <c r="AD29" s="465" t="s">
        <v>70</v>
      </c>
    </row>
    <row r="30" spans="1:30" ht="12.75" customHeight="1" x14ac:dyDescent="0.2">
      <c r="A30" s="8"/>
      <c r="B30" s="10" t="s">
        <v>54</v>
      </c>
      <c r="C30" s="213"/>
      <c r="D30" s="213">
        <v>66.400000000000006</v>
      </c>
      <c r="E30" s="149">
        <v>92.403000000000006</v>
      </c>
      <c r="F30" s="149">
        <v>86.950999999999993</v>
      </c>
      <c r="G30" s="149">
        <v>86.578000000000003</v>
      </c>
      <c r="H30" s="149">
        <v>86.153999999999996</v>
      </c>
      <c r="I30" s="149">
        <v>86.852000000000004</v>
      </c>
      <c r="J30" s="149">
        <v>85.412999999999997</v>
      </c>
      <c r="K30" s="149">
        <v>85.596000000000004</v>
      </c>
      <c r="L30" s="149">
        <v>81.787999999999997</v>
      </c>
      <c r="M30" s="149">
        <v>80.826999999999998</v>
      </c>
      <c r="N30" s="149">
        <v>78.957999999999998</v>
      </c>
      <c r="O30" s="149">
        <v>82.59</v>
      </c>
      <c r="P30" s="149">
        <v>82.5</v>
      </c>
      <c r="Q30" s="149">
        <v>83.388999999999996</v>
      </c>
      <c r="R30" s="149">
        <v>82.769000000000005</v>
      </c>
      <c r="S30" s="149">
        <v>82.676000000000002</v>
      </c>
      <c r="T30" s="149">
        <v>79.566999999999993</v>
      </c>
      <c r="U30" s="149">
        <v>83.495999999999995</v>
      </c>
      <c r="V30" s="149">
        <v>87.585999999999999</v>
      </c>
      <c r="W30" s="149">
        <v>92.400999999999996</v>
      </c>
      <c r="X30" s="149">
        <v>95.415000000000006</v>
      </c>
      <c r="Y30" s="149">
        <v>97.043999999999997</v>
      </c>
      <c r="Z30" s="149">
        <v>100.29900000000001</v>
      </c>
      <c r="AA30" s="149">
        <v>99.858000000000004</v>
      </c>
      <c r="AB30" s="222">
        <v>102.602</v>
      </c>
      <c r="AC30" s="165">
        <f t="shared" si="3"/>
        <v>2.7479020208696312</v>
      </c>
      <c r="AD30" s="412" t="s">
        <v>54</v>
      </c>
    </row>
    <row r="31" spans="1:30" ht="12.75" customHeight="1" x14ac:dyDescent="0.2">
      <c r="A31" s="8"/>
      <c r="B31" s="197" t="s">
        <v>71</v>
      </c>
      <c r="C31" s="215">
        <v>5.8730000000000002</v>
      </c>
      <c r="D31" s="215">
        <v>8.4890000000000008</v>
      </c>
      <c r="E31" s="219">
        <v>12.099</v>
      </c>
      <c r="F31" s="219">
        <v>12.348000000000001</v>
      </c>
      <c r="G31" s="219">
        <v>12.961</v>
      </c>
      <c r="H31" s="219">
        <v>13.554</v>
      </c>
      <c r="I31" s="219">
        <v>14.353</v>
      </c>
      <c r="J31" s="219">
        <v>15.02</v>
      </c>
      <c r="K31" s="219">
        <v>15.680999999999999</v>
      </c>
      <c r="L31" s="219">
        <v>16.431000000000001</v>
      </c>
      <c r="M31" s="219">
        <v>17.513000000000002</v>
      </c>
      <c r="N31" s="219">
        <v>18.544</v>
      </c>
      <c r="O31" s="413">
        <v>19.78</v>
      </c>
      <c r="P31" s="219">
        <v>20.76</v>
      </c>
      <c r="Q31" s="219">
        <v>21.387</v>
      </c>
      <c r="R31" s="219">
        <v>21.652999999999999</v>
      </c>
      <c r="S31" s="467">
        <v>21.8</v>
      </c>
      <c r="T31" s="219">
        <v>14.673999999999999</v>
      </c>
      <c r="U31" s="219">
        <v>15</v>
      </c>
      <c r="V31" s="219">
        <v>15.1</v>
      </c>
      <c r="W31" s="219">
        <v>15.4</v>
      </c>
      <c r="X31" s="219">
        <f>15.5</f>
        <v>15.5</v>
      </c>
      <c r="Y31" s="442">
        <v>15.425000000000001</v>
      </c>
      <c r="Z31" s="219">
        <v>15.180999999999999</v>
      </c>
      <c r="AA31" s="219">
        <v>15.1</v>
      </c>
      <c r="AB31" s="221">
        <v>14.8</v>
      </c>
      <c r="AC31" s="224">
        <f t="shared" si="3"/>
        <v>-1.9867549668874034</v>
      </c>
      <c r="AD31" s="465" t="s">
        <v>71</v>
      </c>
    </row>
    <row r="32" spans="1:30" ht="12.75" customHeight="1" x14ac:dyDescent="0.2">
      <c r="A32" s="8"/>
      <c r="B32" s="10" t="s">
        <v>55</v>
      </c>
      <c r="C32" s="213"/>
      <c r="D32" s="213">
        <v>25</v>
      </c>
      <c r="E32" s="149">
        <f>24.297+3.975</f>
        <v>28.272000000000002</v>
      </c>
      <c r="F32" s="149">
        <f>25.199+5.956</f>
        <v>31.155000000000001</v>
      </c>
      <c r="G32" s="149">
        <f>26.847+8.232</f>
        <v>35.079000000000001</v>
      </c>
      <c r="H32" s="149">
        <f>28.085+9.646</f>
        <v>37.731000000000002</v>
      </c>
      <c r="I32" s="149">
        <f>28.862+11.155</f>
        <v>40.016999999999996</v>
      </c>
      <c r="J32" s="149">
        <f>30.365+11.682</f>
        <v>42.046999999999997</v>
      </c>
      <c r="K32" s="149">
        <f>27.372+12.143</f>
        <v>39.515000000000001</v>
      </c>
      <c r="L32" s="149">
        <f>27.426+12.532</f>
        <v>39.957999999999998</v>
      </c>
      <c r="M32" s="149">
        <f>27.399+12.986</f>
        <v>40.385000000000005</v>
      </c>
      <c r="N32" s="149">
        <f>27.317+13.305</f>
        <v>40.622</v>
      </c>
      <c r="O32" s="149">
        <f>27.181+13.535</f>
        <v>40.716000000000001</v>
      </c>
      <c r="P32" s="149">
        <f>26.965+13.826</f>
        <v>40.790999999999997</v>
      </c>
      <c r="Q32" s="149">
        <f>26.672+14.108</f>
        <v>40.78</v>
      </c>
      <c r="R32" s="149">
        <f>25.829+16.118</f>
        <v>41.947000000000003</v>
      </c>
      <c r="S32" s="149">
        <f>25.421+17.771</f>
        <v>43.192</v>
      </c>
      <c r="T32" s="149">
        <f>21.976+17.297</f>
        <v>39.272999999999996</v>
      </c>
      <c r="U32" s="414">
        <f>22.663+17.755</f>
        <v>40.417999999999999</v>
      </c>
      <c r="V32" s="149">
        <f>17.151+17.051</f>
        <v>34.201999999999998</v>
      </c>
      <c r="W32" s="149">
        <v>41.514000000000003</v>
      </c>
      <c r="X32" s="149">
        <f>41.16</f>
        <v>41.16</v>
      </c>
      <c r="Y32" s="149">
        <v>40.877000000000002</v>
      </c>
      <c r="Z32" s="149">
        <v>40.887</v>
      </c>
      <c r="AA32" s="149">
        <v>42.01</v>
      </c>
      <c r="AB32" s="222">
        <v>42.835999999999999</v>
      </c>
      <c r="AC32" s="165">
        <f t="shared" si="3"/>
        <v>1.9661985241609159</v>
      </c>
      <c r="AD32" s="412" t="s">
        <v>55</v>
      </c>
    </row>
    <row r="33" spans="1:30" ht="12.75" customHeight="1" x14ac:dyDescent="0.2">
      <c r="A33" s="8"/>
      <c r="B33" s="197" t="s">
        <v>57</v>
      </c>
      <c r="C33" s="215">
        <v>1.6639999999999999</v>
      </c>
      <c r="D33" s="215">
        <v>2.5049999999999999</v>
      </c>
      <c r="E33" s="219">
        <v>3.077</v>
      </c>
      <c r="F33" s="219">
        <v>2.855</v>
      </c>
      <c r="G33" s="219">
        <v>2.67</v>
      </c>
      <c r="H33" s="219">
        <v>2.597</v>
      </c>
      <c r="I33" s="219">
        <v>2.512</v>
      </c>
      <c r="J33" s="219">
        <v>2.4729999999999999</v>
      </c>
      <c r="K33" s="219">
        <v>2.407</v>
      </c>
      <c r="L33" s="219">
        <v>2.3690000000000002</v>
      </c>
      <c r="M33" s="219">
        <v>2.3250000000000002</v>
      </c>
      <c r="N33" s="219">
        <v>2.3149999999999999</v>
      </c>
      <c r="O33" s="219">
        <v>2.2549999999999999</v>
      </c>
      <c r="P33" s="219">
        <v>2.2130000000000001</v>
      </c>
      <c r="Q33" s="219">
        <v>2.1960000000000002</v>
      </c>
      <c r="R33" s="219">
        <v>2.19</v>
      </c>
      <c r="S33" s="219">
        <v>2.2690000000000001</v>
      </c>
      <c r="T33" s="219">
        <v>2.2549999999999999</v>
      </c>
      <c r="U33" s="219">
        <v>2.2770000000000001</v>
      </c>
      <c r="V33" s="219">
        <v>2.33</v>
      </c>
      <c r="W33" s="219">
        <v>2.3780000000000001</v>
      </c>
      <c r="X33" s="219">
        <v>2.3940000000000001</v>
      </c>
      <c r="Y33" s="219">
        <f>2.4</f>
        <v>2.4</v>
      </c>
      <c r="Z33" s="219">
        <v>2.4220000000000002</v>
      </c>
      <c r="AA33" s="219">
        <v>2.41</v>
      </c>
      <c r="AB33" s="221">
        <f>2.465</f>
        <v>2.4649999999999999</v>
      </c>
      <c r="AC33" s="224">
        <f t="shared" si="3"/>
        <v>2.2821576763485325</v>
      </c>
      <c r="AD33" s="465" t="s">
        <v>57</v>
      </c>
    </row>
    <row r="34" spans="1:30" ht="12.75" customHeight="1" x14ac:dyDescent="0.2">
      <c r="A34" s="8"/>
      <c r="B34" s="10" t="s">
        <v>56</v>
      </c>
      <c r="C34" s="213"/>
      <c r="D34" s="213">
        <v>10</v>
      </c>
      <c r="E34" s="149">
        <v>14.301</v>
      </c>
      <c r="F34" s="149">
        <v>13.77</v>
      </c>
      <c r="G34" s="149">
        <v>13.337999999999999</v>
      </c>
      <c r="H34" s="149">
        <v>12.654999999999999</v>
      </c>
      <c r="I34" s="149">
        <v>12.066000000000001</v>
      </c>
      <c r="J34" s="149">
        <v>11.811999999999999</v>
      </c>
      <c r="K34" s="149">
        <v>11.321</v>
      </c>
      <c r="L34" s="149">
        <v>11.234999999999999</v>
      </c>
      <c r="M34" s="149">
        <v>11.292999999999999</v>
      </c>
      <c r="N34" s="149">
        <v>11.101000000000001</v>
      </c>
      <c r="O34" s="149">
        <v>10.92</v>
      </c>
      <c r="P34" s="149">
        <v>10.648999999999999</v>
      </c>
      <c r="Q34" s="149">
        <v>10.589</v>
      </c>
      <c r="R34" s="149">
        <v>10.568</v>
      </c>
      <c r="S34" s="149">
        <v>8.9209999999999994</v>
      </c>
      <c r="T34" s="149">
        <v>9.1129999999999995</v>
      </c>
      <c r="U34" s="149">
        <v>8.782</v>
      </c>
      <c r="V34" s="149">
        <v>10.48</v>
      </c>
      <c r="W34" s="149">
        <v>10.537000000000001</v>
      </c>
      <c r="X34" s="464">
        <f>9.4</f>
        <v>9.4</v>
      </c>
      <c r="Y34" s="464">
        <f>9.35</f>
        <v>9.35</v>
      </c>
      <c r="Z34" s="464">
        <v>9.0739999999999998</v>
      </c>
      <c r="AA34" s="464">
        <v>8.9570000000000007</v>
      </c>
      <c r="AB34" s="569">
        <f>8.821</f>
        <v>8.8209999999999997</v>
      </c>
      <c r="AC34" s="461">
        <f t="shared" si="3"/>
        <v>-1.5183655241710454</v>
      </c>
      <c r="AD34" s="412" t="s">
        <v>56</v>
      </c>
    </row>
    <row r="35" spans="1:30" ht="12.75" customHeight="1" x14ac:dyDescent="0.2">
      <c r="A35" s="8"/>
      <c r="B35" s="197" t="s">
        <v>72</v>
      </c>
      <c r="C35" s="215">
        <v>8.1159999999999997</v>
      </c>
      <c r="D35" s="215">
        <v>8.9629999999999992</v>
      </c>
      <c r="E35" s="219">
        <v>9.327</v>
      </c>
      <c r="F35" s="219">
        <v>8.968</v>
      </c>
      <c r="G35" s="219">
        <v>8.6649999999999991</v>
      </c>
      <c r="H35" s="219">
        <v>8.2550000000000008</v>
      </c>
      <c r="I35" s="219">
        <v>8.0540000000000003</v>
      </c>
      <c r="J35" s="219">
        <v>8.0830000000000002</v>
      </c>
      <c r="K35" s="219">
        <v>8.2330000000000005</v>
      </c>
      <c r="L35" s="219">
        <v>8.4499999999999993</v>
      </c>
      <c r="M35" s="219">
        <v>9.0399999999999991</v>
      </c>
      <c r="N35" s="219">
        <v>9.4870000000000001</v>
      </c>
      <c r="O35" s="219">
        <v>9.8520000000000003</v>
      </c>
      <c r="P35" s="219">
        <v>9.7690000000000001</v>
      </c>
      <c r="Q35" s="219">
        <v>10.005000000000001</v>
      </c>
      <c r="R35" s="219">
        <v>10.358000000000001</v>
      </c>
      <c r="S35" s="219">
        <v>10.715999999999999</v>
      </c>
      <c r="T35" s="219">
        <v>10.920999999999999</v>
      </c>
      <c r="U35" s="219">
        <v>11.189</v>
      </c>
      <c r="V35" s="219">
        <v>11.542999999999999</v>
      </c>
      <c r="W35" s="219">
        <v>12.276</v>
      </c>
      <c r="X35" s="219">
        <f>13.017</f>
        <v>13.016999999999999</v>
      </c>
      <c r="Y35" s="219">
        <f>13.65</f>
        <v>13.65</v>
      </c>
      <c r="Z35" s="219">
        <v>14.226000000000001</v>
      </c>
      <c r="AA35" s="219">
        <v>14.93</v>
      </c>
      <c r="AB35" s="221">
        <f>15.536</f>
        <v>15.536</v>
      </c>
      <c r="AC35" s="224">
        <f t="shared" si="3"/>
        <v>4.0589417280642976</v>
      </c>
      <c r="AD35" s="465" t="s">
        <v>72</v>
      </c>
    </row>
    <row r="36" spans="1:30" ht="12.75" customHeight="1" x14ac:dyDescent="0.2">
      <c r="A36" s="8"/>
      <c r="B36" s="10" t="s">
        <v>73</v>
      </c>
      <c r="C36" s="213">
        <v>14.253</v>
      </c>
      <c r="D36" s="213">
        <v>12.795999999999999</v>
      </c>
      <c r="E36" s="149">
        <v>14.595000000000001</v>
      </c>
      <c r="F36" s="149">
        <v>14.555</v>
      </c>
      <c r="G36" s="149">
        <v>14.252000000000001</v>
      </c>
      <c r="H36" s="149">
        <v>14.127000000000001</v>
      </c>
      <c r="I36" s="149">
        <v>14.292999999999999</v>
      </c>
      <c r="J36" s="149">
        <v>14.577</v>
      </c>
      <c r="K36" s="149">
        <v>14.753</v>
      </c>
      <c r="L36" s="149">
        <v>14.837999999999999</v>
      </c>
      <c r="M36" s="149">
        <v>14.923999999999999</v>
      </c>
      <c r="N36" s="149">
        <v>14.869</v>
      </c>
      <c r="O36" s="149">
        <v>14.417</v>
      </c>
      <c r="P36" s="149">
        <v>14.246</v>
      </c>
      <c r="Q36" s="149">
        <v>14.013</v>
      </c>
      <c r="R36" s="149">
        <v>13.742000000000001</v>
      </c>
      <c r="S36" s="149">
        <v>13.363</v>
      </c>
      <c r="T36" s="149">
        <v>13.477</v>
      </c>
      <c r="U36" s="149">
        <v>13.643000000000001</v>
      </c>
      <c r="V36" s="149">
        <v>13.315</v>
      </c>
      <c r="W36" s="149">
        <v>13.474</v>
      </c>
      <c r="X36" s="149">
        <f>13.407</f>
        <v>13.407</v>
      </c>
      <c r="Y36" s="149">
        <v>13.872999999999999</v>
      </c>
      <c r="Z36" s="149">
        <v>13.946999999999999</v>
      </c>
      <c r="AA36" s="149">
        <v>14.202999999999999</v>
      </c>
      <c r="AB36" s="222">
        <v>13.986000000000001</v>
      </c>
      <c r="AC36" s="165">
        <f t="shared" si="3"/>
        <v>-1.5278462296697768</v>
      </c>
      <c r="AD36" s="412" t="s">
        <v>73</v>
      </c>
    </row>
    <row r="37" spans="1:30" ht="12.75" customHeight="1" x14ac:dyDescent="0.2">
      <c r="A37" s="8"/>
      <c r="B37" s="199" t="s">
        <v>62</v>
      </c>
      <c r="C37" s="216">
        <v>84.2</v>
      </c>
      <c r="D37" s="216">
        <v>83.3</v>
      </c>
      <c r="E37" s="468">
        <v>75</v>
      </c>
      <c r="F37" s="468">
        <v>75.5</v>
      </c>
      <c r="G37" s="468">
        <v>76</v>
      </c>
      <c r="H37" s="469">
        <v>76.5</v>
      </c>
      <c r="I37" s="416">
        <f>74.5+2</f>
        <v>76.5</v>
      </c>
      <c r="J37" s="416">
        <f>73.8+2.1</f>
        <v>75.899999999999991</v>
      </c>
      <c r="K37" s="416">
        <f>76.6+2.1</f>
        <v>78.699999999999989</v>
      </c>
      <c r="L37" s="416">
        <f>78.6+2.1</f>
        <v>80.699999999999989</v>
      </c>
      <c r="M37" s="416">
        <f>80.1+2.2</f>
        <v>82.3</v>
      </c>
      <c r="N37" s="416">
        <f>83.6+2.2</f>
        <v>85.8</v>
      </c>
      <c r="O37" s="416">
        <f>86.3+2.3</f>
        <v>88.6</v>
      </c>
      <c r="P37" s="416">
        <f>88.5+2.3</f>
        <v>90.8</v>
      </c>
      <c r="Q37" s="416">
        <f>92.3+2.3</f>
        <v>94.6</v>
      </c>
      <c r="R37" s="416">
        <f>96.1+2.4</f>
        <v>98.5</v>
      </c>
      <c r="S37" s="416">
        <f>99.8+2.4</f>
        <v>102.2</v>
      </c>
      <c r="T37" s="416">
        <f>103+2.6</f>
        <v>105.6</v>
      </c>
      <c r="U37" s="416">
        <f>103.9+2.7</f>
        <v>106.60000000000001</v>
      </c>
      <c r="V37" s="416">
        <f>106.3+2.9</f>
        <v>109.2</v>
      </c>
      <c r="W37" s="416">
        <f>107.9+3</f>
        <v>110.9</v>
      </c>
      <c r="X37" s="416">
        <f>108.5+2.987</f>
        <v>111.48699999999999</v>
      </c>
      <c r="Y37" s="416">
        <f>108.5+3.035</f>
        <v>111.535</v>
      </c>
      <c r="Z37" s="416">
        <v>110.221</v>
      </c>
      <c r="AA37" s="416">
        <f>108+3.094</f>
        <v>111.09399999999999</v>
      </c>
      <c r="AB37" s="223">
        <f>108.3+3.315</f>
        <v>111.61499999999999</v>
      </c>
      <c r="AC37" s="226">
        <f t="shared" si="3"/>
        <v>0.46897222172215436</v>
      </c>
      <c r="AD37" s="470" t="s">
        <v>62</v>
      </c>
    </row>
    <row r="38" spans="1:30" ht="12.75" customHeight="1" x14ac:dyDescent="0.2">
      <c r="A38" s="8"/>
      <c r="B38" s="530" t="s">
        <v>234</v>
      </c>
      <c r="C38" s="213"/>
      <c r="D38" s="213"/>
      <c r="E38" s="462"/>
      <c r="F38" s="462"/>
      <c r="G38" s="462"/>
      <c r="H38" s="462">
        <v>7.5819999999999999</v>
      </c>
      <c r="I38" s="149">
        <v>8.1489999999999991</v>
      </c>
      <c r="J38" s="149">
        <v>6.6509999999999998</v>
      </c>
      <c r="K38" s="149">
        <v>7.6120000000000001</v>
      </c>
      <c r="L38" s="149">
        <v>8.7469999999999999</v>
      </c>
      <c r="M38" s="149">
        <v>9.2270000000000003</v>
      </c>
      <c r="N38" s="149">
        <v>12.305999999999999</v>
      </c>
      <c r="O38" s="149">
        <v>16.806000000000001</v>
      </c>
      <c r="P38" s="149">
        <v>20.812999999999999</v>
      </c>
      <c r="Q38" s="149">
        <v>21.026</v>
      </c>
      <c r="R38" s="149">
        <v>21.693000000000001</v>
      </c>
      <c r="S38" s="149">
        <v>25.065999999999999</v>
      </c>
      <c r="T38" s="149">
        <v>29.452999999999999</v>
      </c>
      <c r="U38" s="149">
        <v>35.972999999999999</v>
      </c>
      <c r="V38" s="149">
        <v>29.506</v>
      </c>
      <c r="W38" s="575">
        <v>6.6449999999999996</v>
      </c>
      <c r="X38" s="149">
        <v>6.5940000000000003</v>
      </c>
      <c r="Y38" s="149">
        <v>7.032</v>
      </c>
      <c r="Z38" s="149">
        <v>6.6980000000000004</v>
      </c>
      <c r="AA38" s="149">
        <v>5.25</v>
      </c>
      <c r="AB38" s="222">
        <v>5.6760000000000002</v>
      </c>
      <c r="AC38" s="165">
        <f t="shared" si="3"/>
        <v>8.1142857142857139</v>
      </c>
      <c r="AD38" s="412" t="s">
        <v>234</v>
      </c>
    </row>
    <row r="39" spans="1:30" ht="12.75" customHeight="1" x14ac:dyDescent="0.2">
      <c r="A39" s="8"/>
      <c r="B39" s="197" t="s">
        <v>223</v>
      </c>
      <c r="C39" s="215"/>
      <c r="D39" s="215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>
        <v>1.2170000000000001</v>
      </c>
      <c r="AA39" s="219">
        <v>1.1990000000000001</v>
      </c>
      <c r="AB39" s="221">
        <v>1.246</v>
      </c>
      <c r="AC39" s="224">
        <f t="shared" si="3"/>
        <v>3.9199332777314311</v>
      </c>
      <c r="AD39" s="465" t="s">
        <v>223</v>
      </c>
    </row>
    <row r="40" spans="1:30" ht="12.75" customHeight="1" x14ac:dyDescent="0.2">
      <c r="A40" s="8"/>
      <c r="B40" s="530" t="s">
        <v>1</v>
      </c>
      <c r="C40" s="213"/>
      <c r="D40" s="213"/>
      <c r="E40" s="149">
        <v>2.3199999999999998</v>
      </c>
      <c r="F40" s="149">
        <v>2.5760000000000001</v>
      </c>
      <c r="G40" s="149">
        <v>2.8279999999999998</v>
      </c>
      <c r="H40" s="149">
        <v>2.9209999999999998</v>
      </c>
      <c r="I40" s="149">
        <v>2.4529999999999998</v>
      </c>
      <c r="J40" s="149">
        <v>2.5409999999999999</v>
      </c>
      <c r="K40" s="149">
        <v>2.4420000000000002</v>
      </c>
      <c r="L40" s="149">
        <v>2.4300000000000002</v>
      </c>
      <c r="M40" s="149">
        <v>2.4780000000000002</v>
      </c>
      <c r="N40" s="149">
        <v>2.4790000000000001</v>
      </c>
      <c r="O40" s="149">
        <v>2.4980000000000002</v>
      </c>
      <c r="P40" s="149">
        <v>2.62</v>
      </c>
      <c r="Q40" s="149">
        <v>2.4969999999999999</v>
      </c>
      <c r="R40" s="149">
        <v>2.4780000000000002</v>
      </c>
      <c r="S40" s="149">
        <v>2.1760000000000002</v>
      </c>
      <c r="T40" s="149">
        <v>2.2690000000000001</v>
      </c>
      <c r="U40" s="149">
        <v>2.2200000000000002</v>
      </c>
      <c r="V40" s="149">
        <f>2.284</f>
        <v>2.2839999999999998</v>
      </c>
      <c r="W40" s="149">
        <f>2.27</f>
        <v>2.27</v>
      </c>
      <c r="X40" s="149">
        <f>2.454</f>
        <v>2.4540000000000002</v>
      </c>
      <c r="Y40" s="149">
        <f>2.695</f>
        <v>2.6949999999999998</v>
      </c>
      <c r="Z40" s="149">
        <v>2.6360000000000001</v>
      </c>
      <c r="AA40" s="149">
        <v>2.7189999999999999</v>
      </c>
      <c r="AB40" s="222">
        <v>3.0219999999999998</v>
      </c>
      <c r="AC40" s="165">
        <f t="shared" si="3"/>
        <v>11.143802868701741</v>
      </c>
      <c r="AD40" s="412" t="s">
        <v>1</v>
      </c>
    </row>
    <row r="41" spans="1:30" ht="12.75" customHeight="1" x14ac:dyDescent="0.2">
      <c r="A41" s="8"/>
      <c r="B41" s="197" t="s">
        <v>222</v>
      </c>
      <c r="C41" s="215"/>
      <c r="D41" s="215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>
        <v>9.2870000000000008</v>
      </c>
      <c r="Q41" s="219">
        <v>8.9109999999999996</v>
      </c>
      <c r="R41" s="219">
        <v>9.1440000000000001</v>
      </c>
      <c r="S41" s="219">
        <v>9.125</v>
      </c>
      <c r="T41" s="219">
        <v>9.6959999999999997</v>
      </c>
      <c r="U41" s="219">
        <v>9.3119999999999994</v>
      </c>
      <c r="V41" s="219">
        <v>8.8870000000000005</v>
      </c>
      <c r="W41" s="219">
        <v>8.5570000000000004</v>
      </c>
      <c r="X41" s="219">
        <v>8.8529999999999998</v>
      </c>
      <c r="Y41" s="219">
        <v>8.0340000000000007</v>
      </c>
      <c r="Z41" s="219">
        <v>8.8049999999999997</v>
      </c>
      <c r="AA41" s="219">
        <v>8.8339999999999996</v>
      </c>
      <c r="AB41" s="221">
        <v>9.0180000000000007</v>
      </c>
      <c r="AC41" s="224">
        <f t="shared" si="3"/>
        <v>2.0828616708173087</v>
      </c>
      <c r="AD41" s="465" t="s">
        <v>222</v>
      </c>
    </row>
    <row r="42" spans="1:30" ht="12.75" customHeight="1" x14ac:dyDescent="0.2">
      <c r="A42" s="8"/>
      <c r="B42" s="531" t="s">
        <v>58</v>
      </c>
      <c r="C42" s="217"/>
      <c r="D42" s="217"/>
      <c r="E42" s="150">
        <v>188.09899999999999</v>
      </c>
      <c r="F42" s="150">
        <v>202.60499999999999</v>
      </c>
      <c r="G42" s="150">
        <v>220.904</v>
      </c>
      <c r="H42" s="150">
        <v>244.154</v>
      </c>
      <c r="I42" s="150">
        <v>253.96899999999999</v>
      </c>
      <c r="J42" s="150">
        <v>263.24799999999999</v>
      </c>
      <c r="K42" s="150">
        <v>277.67200000000003</v>
      </c>
      <c r="L42" s="150">
        <v>298.95299999999997</v>
      </c>
      <c r="M42" s="150">
        <v>319.85599999999999</v>
      </c>
      <c r="N42" s="150">
        <v>333.86900000000003</v>
      </c>
      <c r="O42" s="150">
        <v>354.339</v>
      </c>
      <c r="P42" s="150">
        <v>358.68700000000001</v>
      </c>
      <c r="Q42" s="150">
        <v>361.79700000000003</v>
      </c>
      <c r="R42" s="150">
        <f>245.394+123.5</f>
        <v>368.89400000000001</v>
      </c>
      <c r="S42" s="150">
        <f>318.954+152.712</f>
        <v>471.666</v>
      </c>
      <c r="T42" s="150">
        <f>338.539+163.39</f>
        <v>501.92899999999997</v>
      </c>
      <c r="U42" s="150">
        <f>357.523+175.949</f>
        <v>533.47199999999998</v>
      </c>
      <c r="V42" s="150">
        <f>372.601+189.128</f>
        <v>561.72900000000004</v>
      </c>
      <c r="W42" s="150">
        <f>383.548+199.934</f>
        <v>583.48199999999997</v>
      </c>
      <c r="X42" s="150">
        <f>384.053+201.033</f>
        <v>585.08600000000001</v>
      </c>
      <c r="Y42" s="150">
        <f>386.973+208.51</f>
        <v>595.48299999999995</v>
      </c>
      <c r="Z42" s="150">
        <v>609.34100000000001</v>
      </c>
      <c r="AA42" s="150">
        <f>396.119+235.949</f>
        <v>632.06799999999998</v>
      </c>
      <c r="AB42" s="248">
        <f>421.848+219.885</f>
        <v>641.73299999999995</v>
      </c>
      <c r="AC42" s="166">
        <f t="shared" si="3"/>
        <v>1.5291076276603235</v>
      </c>
      <c r="AD42" s="415" t="s">
        <v>58</v>
      </c>
    </row>
    <row r="43" spans="1:30" ht="12.75" customHeight="1" x14ac:dyDescent="0.2">
      <c r="A43" s="8"/>
      <c r="B43" s="197" t="s">
        <v>44</v>
      </c>
      <c r="C43" s="570"/>
      <c r="D43" s="570"/>
      <c r="E43" s="571">
        <v>1.3280000000000001</v>
      </c>
      <c r="F43" s="571">
        <v>1.389</v>
      </c>
      <c r="G43" s="571">
        <v>1.157</v>
      </c>
      <c r="H43" s="571">
        <v>1.1930000000000001</v>
      </c>
      <c r="I43" s="571">
        <v>1.2490000000000001</v>
      </c>
      <c r="J43" s="571">
        <v>1.2949999999999999</v>
      </c>
      <c r="K43" s="571">
        <v>1.363</v>
      </c>
      <c r="L43" s="571">
        <v>1.4830000000000001</v>
      </c>
      <c r="M43" s="571">
        <v>1.544</v>
      </c>
      <c r="N43" s="571">
        <v>1.621</v>
      </c>
      <c r="O43" s="571">
        <v>1.673</v>
      </c>
      <c r="P43" s="571">
        <v>1.7110000000000001</v>
      </c>
      <c r="Q43" s="571">
        <v>1.6990000000000001</v>
      </c>
      <c r="R43" s="571">
        <v>1.7090000000000001</v>
      </c>
      <c r="S43" s="571">
        <v>1.762</v>
      </c>
      <c r="T43" s="571">
        <v>1.899</v>
      </c>
      <c r="U43" s="571">
        <v>1.929</v>
      </c>
      <c r="V43" s="571">
        <v>1.9430000000000001</v>
      </c>
      <c r="W43" s="571">
        <v>1.9550000000000001</v>
      </c>
      <c r="X43" s="571">
        <v>1.8879999999999999</v>
      </c>
      <c r="Y43" s="571">
        <v>1.9159999999999999</v>
      </c>
      <c r="Z43" s="571">
        <v>1.972</v>
      </c>
      <c r="AA43" s="571">
        <v>2.0840000000000001</v>
      </c>
      <c r="AB43" s="566">
        <v>2.1789999999999998</v>
      </c>
      <c r="AC43" s="572">
        <f t="shared" si="3"/>
        <v>4.5585412667946201</v>
      </c>
      <c r="AD43" s="573" t="s">
        <v>44</v>
      </c>
    </row>
    <row r="44" spans="1:30" ht="12.75" customHeight="1" x14ac:dyDescent="0.2">
      <c r="A44" s="8"/>
      <c r="B44" s="530" t="s">
        <v>74</v>
      </c>
      <c r="C44" s="213"/>
      <c r="D44" s="213"/>
      <c r="E44" s="149">
        <v>21.222000000000001</v>
      </c>
      <c r="F44" s="149">
        <v>23.288</v>
      </c>
      <c r="G44" s="149">
        <v>26.76</v>
      </c>
      <c r="H44" s="149">
        <v>29.134</v>
      </c>
      <c r="I44" s="149">
        <v>30.547000000000001</v>
      </c>
      <c r="J44" s="149">
        <v>32.515000000000001</v>
      </c>
      <c r="K44" s="149">
        <v>33.959000000000003</v>
      </c>
      <c r="L44" s="149">
        <v>35.170999999999999</v>
      </c>
      <c r="M44" s="149">
        <v>36.218000000000004</v>
      </c>
      <c r="N44" s="149">
        <v>37.039000000000001</v>
      </c>
      <c r="O44" s="149">
        <v>36.686</v>
      </c>
      <c r="P44" s="149">
        <v>35.667000000000002</v>
      </c>
      <c r="Q44" s="149">
        <v>34.11</v>
      </c>
      <c r="R44" s="149">
        <v>32.374000000000002</v>
      </c>
      <c r="S44" s="149">
        <v>30.591999999999999</v>
      </c>
      <c r="T44" s="149">
        <v>28.783000000000001</v>
      </c>
      <c r="U44" s="149">
        <v>26.954000000000001</v>
      </c>
      <c r="V44" s="149">
        <v>25.204000000000001</v>
      </c>
      <c r="W44" s="149">
        <v>23.324000000000002</v>
      </c>
      <c r="X44" s="149">
        <v>21.474</v>
      </c>
      <c r="Y44" s="149">
        <v>20.347999999999999</v>
      </c>
      <c r="Z44" s="149">
        <v>19.239999999999998</v>
      </c>
      <c r="AA44" s="149">
        <v>18.22</v>
      </c>
      <c r="AB44" s="222">
        <f>17.584</f>
        <v>17.584</v>
      </c>
      <c r="AC44" s="165">
        <f t="shared" si="3"/>
        <v>-3.4906695938528998</v>
      </c>
      <c r="AD44" s="412" t="s">
        <v>74</v>
      </c>
    </row>
    <row r="45" spans="1:30" ht="12.75" customHeight="1" x14ac:dyDescent="0.2">
      <c r="A45" s="8"/>
      <c r="B45" s="197" t="s">
        <v>45</v>
      </c>
      <c r="C45" s="215"/>
      <c r="D45" s="215"/>
      <c r="E45" s="219">
        <v>31.18</v>
      </c>
      <c r="F45" s="219">
        <v>32.968000000000004</v>
      </c>
      <c r="G45" s="219">
        <v>34.136000000000003</v>
      </c>
      <c r="H45" s="219">
        <v>34.851999999999997</v>
      </c>
      <c r="I45" s="219">
        <v>35.676000000000002</v>
      </c>
      <c r="J45" s="219">
        <v>36.517000000000003</v>
      </c>
      <c r="K45" s="219">
        <v>37.661999999999999</v>
      </c>
      <c r="L45" s="219">
        <v>38.508000000000003</v>
      </c>
      <c r="M45" s="219">
        <v>39.012</v>
      </c>
      <c r="N45" s="219">
        <v>39.692</v>
      </c>
      <c r="O45" s="219">
        <v>40.26</v>
      </c>
      <c r="P45" s="219">
        <v>41.341999999999999</v>
      </c>
      <c r="Q45" s="219">
        <v>42.401000000000003</v>
      </c>
      <c r="R45" s="219">
        <v>43.628999999999998</v>
      </c>
      <c r="S45" s="219">
        <v>44.783999999999999</v>
      </c>
      <c r="T45" s="219">
        <v>45.784999999999997</v>
      </c>
      <c r="U45" s="219">
        <v>46.445</v>
      </c>
      <c r="V45" s="219">
        <v>48.026000000000003</v>
      </c>
      <c r="W45" s="219">
        <v>48.536000000000001</v>
      </c>
      <c r="X45" s="219">
        <f>50.675</f>
        <v>50.674999999999997</v>
      </c>
      <c r="Y45" s="219">
        <v>52.750999999999998</v>
      </c>
      <c r="Z45" s="219">
        <v>55.421999999999997</v>
      </c>
      <c r="AA45" s="219">
        <v>58.3</v>
      </c>
      <c r="AB45" s="221">
        <v>60.151000000000003</v>
      </c>
      <c r="AC45" s="224">
        <f t="shared" si="3"/>
        <v>3.1749571183533618</v>
      </c>
      <c r="AD45" s="465" t="s">
        <v>45</v>
      </c>
    </row>
    <row r="46" spans="1:30" ht="12.75" customHeight="1" x14ac:dyDescent="0.2">
      <c r="A46" s="8"/>
      <c r="B46" s="530" t="s">
        <v>84</v>
      </c>
      <c r="C46" s="217"/>
      <c r="D46" s="217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>
        <f>0.225-0.122</f>
        <v>0.10300000000000001</v>
      </c>
      <c r="P46" s="150">
        <f>0.224-0.111</f>
        <v>0.113</v>
      </c>
      <c r="Q46" s="150">
        <f>0.224-0.121</f>
        <v>0.10300000000000001</v>
      </c>
      <c r="R46" s="150">
        <f>0.226-0.127</f>
        <v>9.9000000000000005E-2</v>
      </c>
      <c r="S46" s="150">
        <f>0.237-0.135</f>
        <v>0.10199999999999998</v>
      </c>
      <c r="T46" s="150">
        <f>0.247-0.142</f>
        <v>0.10500000000000001</v>
      </c>
      <c r="U46" s="150">
        <f>0.239-0.133</f>
        <v>0.10599999999999998</v>
      </c>
      <c r="V46" s="150">
        <f>0.246-0.145</f>
        <v>0.10100000000000001</v>
      </c>
      <c r="W46" s="150">
        <f>0.266-0.167</f>
        <v>9.9000000000000005E-2</v>
      </c>
      <c r="X46" s="150">
        <f>0.27-0.142-0.025</f>
        <v>0.10300000000000004</v>
      </c>
      <c r="Y46" s="150">
        <f>0.277-0.147-0.025</f>
        <v>0.10500000000000004</v>
      </c>
      <c r="Z46" s="150">
        <v>0.10499999999999998</v>
      </c>
      <c r="AA46" s="150">
        <f>0.057+0.029+0.019</f>
        <v>0.10500000000000001</v>
      </c>
      <c r="AB46" s="248">
        <f>0.059+0.023+0.019</f>
        <v>0.10099999999999999</v>
      </c>
      <c r="AC46" s="166">
        <f t="shared" si="3"/>
        <v>-3.8095238095238244</v>
      </c>
      <c r="AD46" s="415" t="s">
        <v>84</v>
      </c>
    </row>
    <row r="47" spans="1:30" ht="31.5" customHeight="1" x14ac:dyDescent="0.2">
      <c r="B47" s="970" t="s">
        <v>209</v>
      </c>
      <c r="C47" s="970"/>
      <c r="D47" s="970"/>
      <c r="E47" s="970"/>
      <c r="F47" s="970"/>
      <c r="G47" s="970"/>
      <c r="H47" s="970"/>
      <c r="I47" s="970"/>
      <c r="J47" s="970"/>
      <c r="K47" s="970"/>
      <c r="L47" s="970"/>
      <c r="M47" s="970"/>
      <c r="N47" s="970"/>
      <c r="O47" s="970"/>
      <c r="P47" s="970"/>
      <c r="Q47" s="970"/>
      <c r="R47" s="970"/>
      <c r="S47" s="970"/>
      <c r="T47" s="970"/>
      <c r="U47" s="970"/>
      <c r="V47" s="970"/>
      <c r="W47" s="970"/>
      <c r="X47" s="970"/>
      <c r="Y47" s="970"/>
      <c r="Z47" s="970"/>
      <c r="AA47" s="970"/>
      <c r="AB47" s="970"/>
      <c r="AC47" s="970"/>
      <c r="AD47" s="970"/>
    </row>
    <row r="48" spans="1:30" ht="12.75" customHeight="1" x14ac:dyDescent="0.2">
      <c r="B48" s="972" t="s">
        <v>178</v>
      </c>
      <c r="C48" s="967"/>
      <c r="D48" s="967"/>
      <c r="E48" s="967"/>
      <c r="F48" s="967"/>
      <c r="G48" s="967"/>
      <c r="H48" s="967"/>
      <c r="I48" s="967"/>
      <c r="J48" s="967"/>
      <c r="K48" s="967"/>
      <c r="L48" s="967"/>
      <c r="M48" s="967"/>
      <c r="N48" s="967"/>
      <c r="O48" s="967"/>
      <c r="P48" s="967"/>
      <c r="Q48" s="967"/>
      <c r="R48" s="967"/>
      <c r="S48" s="967"/>
      <c r="T48" s="967"/>
      <c r="U48" s="967"/>
      <c r="V48" s="967"/>
      <c r="W48" s="967"/>
      <c r="X48" s="967"/>
      <c r="Y48" s="967"/>
      <c r="Z48" s="967"/>
      <c r="AA48" s="967"/>
      <c r="AB48" s="967"/>
      <c r="AC48" s="967"/>
      <c r="AD48" s="967"/>
    </row>
    <row r="49" spans="2:30" ht="12.75" customHeight="1" x14ac:dyDescent="0.2">
      <c r="B49" s="967" t="s">
        <v>179</v>
      </c>
      <c r="C49" s="967"/>
      <c r="D49" s="967"/>
      <c r="E49" s="967"/>
      <c r="F49" s="967"/>
      <c r="G49" s="967"/>
      <c r="H49" s="967"/>
      <c r="I49" s="967"/>
      <c r="J49" s="967"/>
      <c r="K49" s="967"/>
      <c r="L49" s="967"/>
      <c r="M49" s="967"/>
      <c r="N49" s="967"/>
      <c r="O49" s="967"/>
      <c r="P49" s="967"/>
      <c r="Q49" s="967"/>
      <c r="R49" s="967"/>
      <c r="S49" s="967"/>
      <c r="T49" s="967"/>
      <c r="U49" s="967"/>
      <c r="V49" s="967"/>
      <c r="W49" s="967"/>
      <c r="X49" s="967"/>
      <c r="Y49" s="967"/>
      <c r="Z49" s="967"/>
      <c r="AA49" s="967"/>
      <c r="AB49" s="967"/>
      <c r="AC49" s="967"/>
      <c r="AD49" s="967"/>
    </row>
    <row r="50" spans="2:30" ht="11.25" customHeight="1" x14ac:dyDescent="0.2">
      <c r="B50" s="967" t="s">
        <v>180</v>
      </c>
      <c r="C50" s="967"/>
      <c r="D50" s="967"/>
      <c r="E50" s="967"/>
      <c r="F50" s="967"/>
      <c r="G50" s="967"/>
      <c r="H50" s="967"/>
      <c r="I50" s="967"/>
      <c r="J50" s="967"/>
      <c r="K50" s="967"/>
      <c r="L50" s="967"/>
      <c r="M50" s="967"/>
      <c r="N50" s="967"/>
      <c r="O50" s="967"/>
      <c r="P50" s="967"/>
      <c r="Q50" s="967"/>
      <c r="R50" s="967"/>
      <c r="S50" s="967"/>
      <c r="T50" s="967"/>
      <c r="U50" s="967"/>
      <c r="V50" s="967"/>
      <c r="W50" s="967"/>
      <c r="X50" s="967"/>
      <c r="Y50" s="967"/>
      <c r="Z50" s="967"/>
      <c r="AA50" s="967"/>
      <c r="AB50" s="967"/>
      <c r="AC50" s="967"/>
      <c r="AD50" s="967"/>
    </row>
  </sheetData>
  <mergeCells count="7">
    <mergeCell ref="B48:AD48"/>
    <mergeCell ref="B49:AD49"/>
    <mergeCell ref="B50:AD50"/>
    <mergeCell ref="B1:C1"/>
    <mergeCell ref="B2:AD2"/>
    <mergeCell ref="B3:AD3"/>
    <mergeCell ref="B47:AD47"/>
  </mergeCells>
  <phoneticPr fontId="4" type="noConversion"/>
  <printOptions horizontalCentered="1"/>
  <pageMargins left="0.39" right="0.39" top="0.51181102362204722" bottom="0.27559055118110237" header="0" footer="0"/>
  <pageSetup paperSize="9" scale="8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>
    <pageSetUpPr fitToPage="1"/>
  </sheetPr>
  <dimension ref="A1:AD53"/>
  <sheetViews>
    <sheetView topLeftCell="A10" zoomScaleNormal="100" workbookViewId="0">
      <selection activeCell="AC21" sqref="AC21"/>
    </sheetView>
  </sheetViews>
  <sheetFormatPr defaultRowHeight="11.25" x14ac:dyDescent="0.2"/>
  <cols>
    <col min="1" max="1" width="3.7109375" style="3" customWidth="1"/>
    <col min="2" max="2" width="4" style="3" customWidth="1"/>
    <col min="3" max="3" width="6.7109375" style="2" customWidth="1"/>
    <col min="4" max="5" width="7.5703125" style="2" customWidth="1"/>
    <col min="6" max="18" width="7.5703125" style="3" customWidth="1"/>
    <col min="19" max="19" width="8.7109375" style="3" customWidth="1"/>
    <col min="20" max="20" width="8.5703125" style="3" customWidth="1"/>
    <col min="21" max="28" width="7.7109375" style="3" customWidth="1"/>
    <col min="29" max="29" width="7" style="3" customWidth="1"/>
    <col min="30" max="30" width="4.85546875" style="3" customWidth="1"/>
    <col min="31" max="16384" width="9.140625" style="3"/>
  </cols>
  <sheetData>
    <row r="1" spans="1:30" ht="14.25" customHeight="1" x14ac:dyDescent="0.2">
      <c r="B1" s="963"/>
      <c r="C1" s="963"/>
      <c r="D1" s="91"/>
      <c r="E1" s="155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AD1" s="17" t="s">
        <v>151</v>
      </c>
    </row>
    <row r="2" spans="1:30" s="63" customFormat="1" ht="30" customHeight="1" x14ac:dyDescent="0.2">
      <c r="B2" s="964" t="s">
        <v>14</v>
      </c>
      <c r="C2" s="964"/>
      <c r="D2" s="964"/>
      <c r="E2" s="964"/>
      <c r="F2" s="964"/>
      <c r="G2" s="964"/>
      <c r="H2" s="964"/>
      <c r="I2" s="964"/>
      <c r="J2" s="964"/>
      <c r="K2" s="964"/>
      <c r="L2" s="964"/>
      <c r="M2" s="964"/>
      <c r="N2" s="964"/>
      <c r="O2" s="964"/>
      <c r="P2" s="964"/>
      <c r="Q2" s="964"/>
      <c r="R2" s="964"/>
      <c r="S2" s="964"/>
      <c r="T2" s="964"/>
      <c r="U2" s="964"/>
      <c r="V2" s="964"/>
      <c r="W2" s="964"/>
      <c r="X2" s="964"/>
      <c r="Y2" s="964"/>
      <c r="Z2" s="964"/>
      <c r="AA2" s="964"/>
      <c r="AB2" s="964"/>
      <c r="AC2" s="964"/>
      <c r="AD2" s="964"/>
    </row>
    <row r="3" spans="1:30" s="93" customFormat="1" ht="15" customHeight="1" x14ac:dyDescent="0.2">
      <c r="B3" s="973" t="s">
        <v>114</v>
      </c>
      <c r="C3" s="973"/>
      <c r="D3" s="973"/>
      <c r="E3" s="973"/>
      <c r="F3" s="973"/>
      <c r="G3" s="973"/>
      <c r="H3" s="973"/>
      <c r="I3" s="973"/>
      <c r="J3" s="973"/>
      <c r="K3" s="973"/>
      <c r="L3" s="973"/>
      <c r="M3" s="973"/>
      <c r="N3" s="973"/>
      <c r="O3" s="973"/>
      <c r="P3" s="973"/>
      <c r="Q3" s="973"/>
      <c r="R3" s="973"/>
      <c r="S3" s="973"/>
      <c r="T3" s="973"/>
      <c r="U3" s="973"/>
      <c r="V3" s="973"/>
      <c r="W3" s="973"/>
      <c r="X3" s="973"/>
      <c r="Y3" s="973"/>
      <c r="Z3" s="973"/>
      <c r="AA3" s="973"/>
      <c r="AB3" s="973"/>
      <c r="AC3" s="973"/>
      <c r="AD3" s="973"/>
    </row>
    <row r="4" spans="1:30" ht="12.75" customHeight="1" x14ac:dyDescent="0.2">
      <c r="B4" s="4"/>
      <c r="C4" s="4"/>
      <c r="E4" s="205"/>
      <c r="F4" s="205"/>
      <c r="G4" s="205"/>
      <c r="H4" s="205"/>
      <c r="I4" s="205"/>
      <c r="J4" s="24"/>
      <c r="K4" s="24"/>
      <c r="L4" s="24"/>
      <c r="M4" s="24"/>
      <c r="N4" s="24"/>
      <c r="O4" s="24"/>
      <c r="W4" s="37"/>
      <c r="X4" s="37" t="s">
        <v>3</v>
      </c>
      <c r="Y4" s="64"/>
      <c r="Z4" s="64"/>
      <c r="AA4" s="64"/>
      <c r="AB4" s="64"/>
      <c r="AD4" s="64"/>
    </row>
    <row r="5" spans="1:30" ht="20.100000000000001" customHeight="1" x14ac:dyDescent="0.2">
      <c r="B5" s="115"/>
      <c r="C5" s="101">
        <v>1970</v>
      </c>
      <c r="D5" s="102">
        <v>1980</v>
      </c>
      <c r="E5" s="102">
        <v>1990</v>
      </c>
      <c r="F5" s="102">
        <v>1991</v>
      </c>
      <c r="G5" s="102">
        <v>1992</v>
      </c>
      <c r="H5" s="102">
        <v>1993</v>
      </c>
      <c r="I5" s="102">
        <v>1994</v>
      </c>
      <c r="J5" s="102">
        <v>1995</v>
      </c>
      <c r="K5" s="102">
        <v>1996</v>
      </c>
      <c r="L5" s="102">
        <v>1997</v>
      </c>
      <c r="M5" s="102">
        <v>1998</v>
      </c>
      <c r="N5" s="102">
        <v>1999</v>
      </c>
      <c r="O5" s="102">
        <v>2000</v>
      </c>
      <c r="P5" s="102">
        <v>2001</v>
      </c>
      <c r="Q5" s="102">
        <v>2002</v>
      </c>
      <c r="R5" s="102">
        <v>2003</v>
      </c>
      <c r="S5" s="102">
        <v>2004</v>
      </c>
      <c r="T5" s="102">
        <v>2005</v>
      </c>
      <c r="U5" s="102">
        <v>2006</v>
      </c>
      <c r="V5" s="102">
        <v>2007</v>
      </c>
      <c r="W5" s="102">
        <v>2008</v>
      </c>
      <c r="X5" s="102">
        <v>2009</v>
      </c>
      <c r="Y5" s="102">
        <v>2010</v>
      </c>
      <c r="Z5" s="102">
        <v>2011</v>
      </c>
      <c r="AA5" s="102">
        <v>2012</v>
      </c>
      <c r="AB5" s="102">
        <v>2013</v>
      </c>
      <c r="AC5" s="117" t="s">
        <v>235</v>
      </c>
      <c r="AD5" s="6"/>
    </row>
    <row r="6" spans="1:30" ht="9.9499999999999993" customHeight="1" x14ac:dyDescent="0.2">
      <c r="B6" s="116"/>
      <c r="C6" s="151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218" t="s">
        <v>106</v>
      </c>
      <c r="AD6" s="6"/>
    </row>
    <row r="7" spans="1:30" ht="12.75" customHeight="1" x14ac:dyDescent="0.2">
      <c r="B7" s="59" t="s">
        <v>236</v>
      </c>
      <c r="C7" s="603"/>
      <c r="D7" s="604"/>
      <c r="E7" s="604"/>
      <c r="F7" s="605"/>
      <c r="G7" s="605"/>
      <c r="H7" s="605"/>
      <c r="I7" s="605"/>
      <c r="J7" s="605">
        <f t="shared" ref="J7:AA7" si="0">SUM(J10:J37)</f>
        <v>22672.210999999988</v>
      </c>
      <c r="K7" s="605">
        <f t="shared" si="0"/>
        <v>23399.626</v>
      </c>
      <c r="L7" s="605">
        <f t="shared" si="0"/>
        <v>23981.090000000007</v>
      </c>
      <c r="M7" s="605">
        <f t="shared" si="0"/>
        <v>24732.969999999998</v>
      </c>
      <c r="N7" s="605">
        <f t="shared" si="0"/>
        <v>25831.300999999999</v>
      </c>
      <c r="O7" s="605">
        <f t="shared" si="0"/>
        <v>26957.100999999999</v>
      </c>
      <c r="P7" s="605">
        <f t="shared" si="0"/>
        <v>27907.001999999997</v>
      </c>
      <c r="Q7" s="605">
        <f t="shared" si="0"/>
        <v>28682.799000000003</v>
      </c>
      <c r="R7" s="605">
        <f t="shared" si="0"/>
        <v>29317.591999999993</v>
      </c>
      <c r="S7" s="606">
        <f t="shared" si="0"/>
        <v>30211.679000000004</v>
      </c>
      <c r="T7" s="606">
        <f t="shared" si="0"/>
        <v>30941.732</v>
      </c>
      <c r="U7" s="605">
        <f t="shared" si="0"/>
        <v>31775.967000000001</v>
      </c>
      <c r="V7" s="605">
        <f t="shared" si="0"/>
        <v>32867.662999999993</v>
      </c>
      <c r="W7" s="606">
        <f t="shared" si="0"/>
        <v>33382.784</v>
      </c>
      <c r="X7" s="605">
        <f t="shared" si="0"/>
        <v>34642.843000000008</v>
      </c>
      <c r="Y7" s="605">
        <f t="shared" si="0"/>
        <v>34868.664000000004</v>
      </c>
      <c r="Z7" s="605">
        <f t="shared" si="0"/>
        <v>35262.240999999995</v>
      </c>
      <c r="AA7" s="605">
        <f t="shared" si="0"/>
        <v>35322.270999999993</v>
      </c>
      <c r="AB7" s="605">
        <f t="shared" ref="AB7" si="1">SUM(AB10:AB37)</f>
        <v>35537.687000000005</v>
      </c>
      <c r="AC7" s="607">
        <f>AB7/AA7*100-100</f>
        <v>0.60985886213265417</v>
      </c>
      <c r="AD7" s="59" t="s">
        <v>236</v>
      </c>
    </row>
    <row r="8" spans="1:30" ht="12.75" customHeight="1" x14ac:dyDescent="0.2">
      <c r="B8" s="57" t="s">
        <v>241</v>
      </c>
      <c r="C8" s="608">
        <f t="shared" ref="C8:Y8" si="2">SUM(C10,C13:C13,C14,C16,C17:C19,C25,C28:C29,C31,C35:C37,C21)</f>
        <v>6623.6949999999997</v>
      </c>
      <c r="D8" s="608">
        <f t="shared" si="2"/>
        <v>10656.014999999999</v>
      </c>
      <c r="E8" s="608">
        <f t="shared" si="2"/>
        <v>17395.366999999998</v>
      </c>
      <c r="F8" s="608">
        <f t="shared" si="2"/>
        <v>17845.110999999997</v>
      </c>
      <c r="G8" s="608">
        <f t="shared" si="2"/>
        <v>18414.089</v>
      </c>
      <c r="H8" s="608">
        <f t="shared" si="2"/>
        <v>19005.989000000001</v>
      </c>
      <c r="I8" s="608">
        <f t="shared" si="2"/>
        <v>19233.449999999997</v>
      </c>
      <c r="J8" s="608">
        <f t="shared" si="2"/>
        <v>19650.412</v>
      </c>
      <c r="K8" s="608">
        <f t="shared" si="2"/>
        <v>20222.894</v>
      </c>
      <c r="L8" s="608">
        <f t="shared" si="2"/>
        <v>20649.640000000003</v>
      </c>
      <c r="M8" s="608">
        <f t="shared" si="2"/>
        <v>21221.261999999999</v>
      </c>
      <c r="N8" s="608">
        <f t="shared" si="2"/>
        <v>22139.481000000003</v>
      </c>
      <c r="O8" s="608">
        <f t="shared" si="2"/>
        <v>23005.860999999997</v>
      </c>
      <c r="P8" s="608">
        <f t="shared" si="2"/>
        <v>23779.46</v>
      </c>
      <c r="Q8" s="608">
        <f t="shared" si="2"/>
        <v>24278.185000000001</v>
      </c>
      <c r="R8" s="608">
        <f t="shared" si="2"/>
        <v>24667.868999999999</v>
      </c>
      <c r="S8" s="609">
        <f t="shared" si="2"/>
        <v>25386.639999999999</v>
      </c>
      <c r="T8" s="609">
        <f t="shared" si="2"/>
        <v>26069.378000000001</v>
      </c>
      <c r="U8" s="608">
        <f t="shared" si="2"/>
        <v>26751.715999999997</v>
      </c>
      <c r="V8" s="608">
        <f t="shared" si="2"/>
        <v>27592.720000000001</v>
      </c>
      <c r="W8" s="609">
        <f t="shared" si="2"/>
        <v>27619.159</v>
      </c>
      <c r="X8" s="608">
        <f t="shared" si="2"/>
        <v>28775.057000000004</v>
      </c>
      <c r="Y8" s="608">
        <f t="shared" si="2"/>
        <v>28869.315000000002</v>
      </c>
      <c r="Z8" s="608">
        <f>SUM(Z10,Z13:Z13,Z14,Z16,Z17:Z19,Z25,Z28:Z29,Z31,Z35:Z37,Z21)</f>
        <v>29062.077000000001</v>
      </c>
      <c r="AA8" s="608">
        <f>SUM(AA10,AA13:AA13,AA14,AA16,AA17:AA19,AA25,AA28:AA29,AA31,AA35:AA37,AA21)</f>
        <v>29027.157999999996</v>
      </c>
      <c r="AB8" s="608">
        <f>SUM(AB10,AB13:AB13,AB14,AB16,AB17:AB19,AB25,AB28:AB29,AB31,AB35:AB37,AB21)</f>
        <v>29098.516999999996</v>
      </c>
      <c r="AC8" s="610">
        <f t="shared" ref="AC8:AC46" si="3">AB8/AA8*100-100</f>
        <v>0.24583529672452187</v>
      </c>
      <c r="AD8" s="57" t="s">
        <v>241</v>
      </c>
    </row>
    <row r="9" spans="1:30" ht="12.75" customHeight="1" x14ac:dyDescent="0.2">
      <c r="B9" s="58" t="s">
        <v>245</v>
      </c>
      <c r="C9" s="611"/>
      <c r="D9" s="612"/>
      <c r="E9" s="608"/>
      <c r="F9" s="608"/>
      <c r="G9" s="608"/>
      <c r="H9" s="608"/>
      <c r="I9" s="608"/>
      <c r="J9" s="608">
        <f>J7-J8</f>
        <v>3021.7989999999882</v>
      </c>
      <c r="K9" s="608">
        <f t="shared" ref="K9:X9" si="4">K7-K8</f>
        <v>3176.732</v>
      </c>
      <c r="L9" s="608">
        <f t="shared" si="4"/>
        <v>3331.4500000000044</v>
      </c>
      <c r="M9" s="608">
        <f t="shared" si="4"/>
        <v>3511.7079999999987</v>
      </c>
      <c r="N9" s="608">
        <f t="shared" si="4"/>
        <v>3691.8199999999961</v>
      </c>
      <c r="O9" s="608">
        <f t="shared" si="4"/>
        <v>3951.2400000000016</v>
      </c>
      <c r="P9" s="608">
        <f t="shared" si="4"/>
        <v>4127.5419999999976</v>
      </c>
      <c r="Q9" s="608">
        <f t="shared" si="4"/>
        <v>4404.6140000000014</v>
      </c>
      <c r="R9" s="608">
        <f t="shared" si="4"/>
        <v>4649.7229999999945</v>
      </c>
      <c r="S9" s="608">
        <f t="shared" si="4"/>
        <v>4825.0390000000043</v>
      </c>
      <c r="T9" s="608">
        <f t="shared" si="4"/>
        <v>4872.3539999999994</v>
      </c>
      <c r="U9" s="608">
        <f t="shared" si="4"/>
        <v>5024.2510000000038</v>
      </c>
      <c r="V9" s="608">
        <f t="shared" si="4"/>
        <v>5274.942999999992</v>
      </c>
      <c r="W9" s="608">
        <f t="shared" si="4"/>
        <v>5763.625</v>
      </c>
      <c r="X9" s="608">
        <f t="shared" si="4"/>
        <v>5867.7860000000037</v>
      </c>
      <c r="Y9" s="608">
        <f>Y7-Y8</f>
        <v>5999.349000000002</v>
      </c>
      <c r="Z9" s="608">
        <f>Z7-Z8</f>
        <v>6200.1639999999934</v>
      </c>
      <c r="AA9" s="608">
        <f>AA7-AA8</f>
        <v>6295.1129999999976</v>
      </c>
      <c r="AB9" s="608">
        <f>AB7-AB8</f>
        <v>6439.1700000000092</v>
      </c>
      <c r="AC9" s="610">
        <f t="shared" si="3"/>
        <v>2.2883941876819591</v>
      </c>
      <c r="AD9" s="58" t="s">
        <v>245</v>
      </c>
    </row>
    <row r="10" spans="1:30" ht="12.75" customHeight="1" x14ac:dyDescent="0.2">
      <c r="A10" s="8"/>
      <c r="B10" s="9" t="s">
        <v>63</v>
      </c>
      <c r="C10" s="613">
        <v>251.405</v>
      </c>
      <c r="D10" s="614">
        <v>299.084</v>
      </c>
      <c r="E10" s="614">
        <v>380.37899999999996</v>
      </c>
      <c r="F10" s="615">
        <v>401.452</v>
      </c>
      <c r="G10" s="615">
        <v>404.32499999999999</v>
      </c>
      <c r="H10" s="615">
        <v>426.91500000000002</v>
      </c>
      <c r="I10" s="615">
        <v>442.05500000000001</v>
      </c>
      <c r="J10" s="615">
        <v>442.46300000000002</v>
      </c>
      <c r="K10" s="615">
        <v>457.16</v>
      </c>
      <c r="L10" s="615">
        <v>476.58300000000003</v>
      </c>
      <c r="M10" s="615">
        <v>495.464</v>
      </c>
      <c r="N10" s="615">
        <v>524.08799999999997</v>
      </c>
      <c r="O10" s="616">
        <v>588.84299999999996</v>
      </c>
      <c r="P10" s="615">
        <v>615.03700000000003</v>
      </c>
      <c r="Q10" s="615">
        <v>591.38300000000004</v>
      </c>
      <c r="R10" s="615">
        <v>610.322</v>
      </c>
      <c r="S10" s="615">
        <v>637.25900000000001</v>
      </c>
      <c r="T10" s="615">
        <v>662.346</v>
      </c>
      <c r="U10" s="615">
        <v>678.55100000000004</v>
      </c>
      <c r="V10" s="615">
        <v>699.04700000000003</v>
      </c>
      <c r="W10" s="615">
        <v>716.61400000000003</v>
      </c>
      <c r="X10" s="615">
        <v>729.01099999999997</v>
      </c>
      <c r="Y10" s="615">
        <v>747.25599999999997</v>
      </c>
      <c r="Z10" s="615">
        <v>764.25699999999995</v>
      </c>
      <c r="AA10" s="615">
        <v>778.72799999999995</v>
      </c>
      <c r="AB10" s="615">
        <v>791.45399999999995</v>
      </c>
      <c r="AC10" s="617">
        <f t="shared" si="3"/>
        <v>1.6342034702746133</v>
      </c>
      <c r="AD10" s="9" t="s">
        <v>63</v>
      </c>
    </row>
    <row r="11" spans="1:30" ht="12.75" customHeight="1" x14ac:dyDescent="0.2">
      <c r="A11" s="8"/>
      <c r="B11" s="57" t="s">
        <v>46</v>
      </c>
      <c r="C11" s="618"/>
      <c r="D11" s="619" t="s">
        <v>83</v>
      </c>
      <c r="E11" s="619">
        <v>161.6</v>
      </c>
      <c r="F11" s="619">
        <v>174.2</v>
      </c>
      <c r="G11" s="619">
        <v>187.4</v>
      </c>
      <c r="H11" s="619">
        <v>203.94200000000001</v>
      </c>
      <c r="I11" s="619">
        <v>214.756</v>
      </c>
      <c r="J11" s="619">
        <v>223.17700000000002</v>
      </c>
      <c r="K11" s="619">
        <v>229.84</v>
      </c>
      <c r="L11" s="619">
        <v>232.76600000000002</v>
      </c>
      <c r="M11" s="619">
        <v>242.268</v>
      </c>
      <c r="N11" s="619">
        <v>251.5</v>
      </c>
      <c r="O11" s="619">
        <v>259.39</v>
      </c>
      <c r="P11" s="619">
        <v>269.58600000000001</v>
      </c>
      <c r="Q11" s="619">
        <v>279.858</v>
      </c>
      <c r="R11" s="619">
        <v>293.48700000000002</v>
      </c>
      <c r="S11" s="619">
        <v>317.68099999999998</v>
      </c>
      <c r="T11" s="620">
        <v>333.86599999999999</v>
      </c>
      <c r="U11" s="619">
        <v>226.09199999999998</v>
      </c>
      <c r="V11" s="619">
        <v>261.31600000000003</v>
      </c>
      <c r="W11" s="619">
        <v>299.161</v>
      </c>
      <c r="X11" s="619">
        <v>317.80799999999999</v>
      </c>
      <c r="Y11" s="619">
        <v>333.5</v>
      </c>
      <c r="Z11" s="619">
        <v>347.56099999999998</v>
      </c>
      <c r="AA11" s="619">
        <v>367.029</v>
      </c>
      <c r="AB11" s="619">
        <v>388</v>
      </c>
      <c r="AC11" s="621">
        <f t="shared" si="3"/>
        <v>5.7137174446705927</v>
      </c>
      <c r="AD11" s="57" t="s">
        <v>46</v>
      </c>
    </row>
    <row r="12" spans="1:30" ht="12.75" customHeight="1" x14ac:dyDescent="0.2">
      <c r="A12" s="8"/>
      <c r="B12" s="10" t="s">
        <v>48</v>
      </c>
      <c r="C12" s="622"/>
      <c r="D12" s="623"/>
      <c r="E12" s="623"/>
      <c r="F12" s="624"/>
      <c r="G12" s="624"/>
      <c r="H12" s="624">
        <v>183.964</v>
      </c>
      <c r="I12" s="625">
        <v>199.63499999999999</v>
      </c>
      <c r="J12" s="625">
        <v>219.31100000000001</v>
      </c>
      <c r="K12" s="625">
        <v>242.959</v>
      </c>
      <c r="L12" s="625">
        <v>265.37200000000001</v>
      </c>
      <c r="M12" s="625">
        <v>280.31100000000004</v>
      </c>
      <c r="N12" s="625">
        <v>289.41000000000003</v>
      </c>
      <c r="O12" s="625">
        <v>298.286</v>
      </c>
      <c r="P12" s="625">
        <v>321.23499999999996</v>
      </c>
      <c r="Q12" s="625">
        <v>349.495</v>
      </c>
      <c r="R12" s="625">
        <v>365.74599999999998</v>
      </c>
      <c r="S12" s="625">
        <v>396.20600000000002</v>
      </c>
      <c r="T12" s="625">
        <v>439.161</v>
      </c>
      <c r="U12" s="625">
        <v>490.904</v>
      </c>
      <c r="V12" s="625">
        <v>554.83100000000002</v>
      </c>
      <c r="W12" s="625">
        <v>607.41199999999992</v>
      </c>
      <c r="X12" s="625">
        <v>601.76700000000005</v>
      </c>
      <c r="Y12" s="625">
        <v>597.96600000000001</v>
      </c>
      <c r="Z12" s="625">
        <v>597.23200000000008</v>
      </c>
      <c r="AA12" s="625">
        <v>604.15499999999997</v>
      </c>
      <c r="AB12" s="625">
        <f>593.439+7.626</f>
        <v>601.06499999999994</v>
      </c>
      <c r="AC12" s="626">
        <f t="shared" si="3"/>
        <v>-0.5114581522953614</v>
      </c>
      <c r="AD12" s="10" t="s">
        <v>48</v>
      </c>
    </row>
    <row r="13" spans="1:30" ht="12.75" customHeight="1" x14ac:dyDescent="0.2">
      <c r="A13" s="8"/>
      <c r="B13" s="57" t="s">
        <v>59</v>
      </c>
      <c r="C13" s="618">
        <v>245</v>
      </c>
      <c r="D13" s="619">
        <v>249</v>
      </c>
      <c r="E13" s="619">
        <v>286.613</v>
      </c>
      <c r="F13" s="619">
        <v>298.31200000000001</v>
      </c>
      <c r="G13" s="619">
        <v>304.20499999999998</v>
      </c>
      <c r="H13" s="619">
        <v>312.274</v>
      </c>
      <c r="I13" s="619">
        <v>322.03199999999998</v>
      </c>
      <c r="J13" s="619">
        <v>333.75799999999998</v>
      </c>
      <c r="K13" s="619">
        <v>339.89699999999999</v>
      </c>
      <c r="L13" s="619">
        <v>345.97199999999998</v>
      </c>
      <c r="M13" s="619">
        <v>357.63299999999998</v>
      </c>
      <c r="N13" s="619">
        <v>373.25799999999998</v>
      </c>
      <c r="O13" s="619">
        <v>384.85</v>
      </c>
      <c r="P13" s="619">
        <v>392.26</v>
      </c>
      <c r="Q13" s="619">
        <v>401.762</v>
      </c>
      <c r="R13" s="619">
        <v>412.81299999999999</v>
      </c>
      <c r="S13" s="619">
        <v>436.14699999999999</v>
      </c>
      <c r="T13" s="619">
        <v>469.52299999999997</v>
      </c>
      <c r="U13" s="619">
        <v>508.774</v>
      </c>
      <c r="V13" s="619">
        <v>536.54999999999995</v>
      </c>
      <c r="W13" s="619">
        <v>531.40300000000002</v>
      </c>
      <c r="X13" s="619">
        <v>507.86099999999999</v>
      </c>
      <c r="Y13" s="619">
        <v>485.10899999999998</v>
      </c>
      <c r="Z13" s="619">
        <v>469.24799999999999</v>
      </c>
      <c r="AA13" s="619">
        <v>459.55700000000002</v>
      </c>
      <c r="AB13" s="619">
        <f>402.352+29.215+12.858</f>
        <v>444.42499999999995</v>
      </c>
      <c r="AC13" s="621">
        <f t="shared" si="3"/>
        <v>-3.292736265577517</v>
      </c>
      <c r="AD13" s="57" t="s">
        <v>59</v>
      </c>
    </row>
    <row r="14" spans="1:30" ht="12.75" customHeight="1" x14ac:dyDescent="0.2">
      <c r="A14" s="8"/>
      <c r="B14" s="10" t="s">
        <v>64</v>
      </c>
      <c r="C14" s="627">
        <v>1188</v>
      </c>
      <c r="D14" s="624">
        <v>1511</v>
      </c>
      <c r="E14" s="624">
        <v>1653</v>
      </c>
      <c r="F14" s="624">
        <v>1660</v>
      </c>
      <c r="G14" s="628">
        <v>1849</v>
      </c>
      <c r="H14" s="624">
        <v>2188.9830000000002</v>
      </c>
      <c r="I14" s="624">
        <v>2289.4100000000003</v>
      </c>
      <c r="J14" s="624">
        <v>2378.712</v>
      </c>
      <c r="K14" s="628">
        <v>2428.9589999999998</v>
      </c>
      <c r="L14" s="624">
        <v>2181.9970000000003</v>
      </c>
      <c r="M14" s="624">
        <v>2267.0219999999999</v>
      </c>
      <c r="N14" s="624">
        <v>2361.7220000000002</v>
      </c>
      <c r="O14" s="624">
        <v>2419.107</v>
      </c>
      <c r="P14" s="624">
        <v>2427.6860000000001</v>
      </c>
      <c r="Q14" s="624">
        <v>2397.6219999999998</v>
      </c>
      <c r="R14" s="624">
        <v>2385.0750000000003</v>
      </c>
      <c r="S14" s="624">
        <v>2385.2860000000001</v>
      </c>
      <c r="T14" s="628">
        <v>2404.9049999999997</v>
      </c>
      <c r="U14" s="628">
        <v>2471.221</v>
      </c>
      <c r="V14" s="629">
        <v>2502.9989999999998</v>
      </c>
      <c r="W14" s="624">
        <v>2523.5609999999997</v>
      </c>
      <c r="X14" s="624">
        <v>2556.0100000000002</v>
      </c>
      <c r="Y14" s="624">
        <v>2619.4270000000001</v>
      </c>
      <c r="Z14" s="624">
        <v>2712.9769999999999</v>
      </c>
      <c r="AA14" s="624">
        <v>2761.3960000000002</v>
      </c>
      <c r="AB14" s="630">
        <f>2629.209+184.589</f>
        <v>2813.7979999999998</v>
      </c>
      <c r="AC14" s="631">
        <f t="shared" si="3"/>
        <v>1.8976633557808924</v>
      </c>
      <c r="AD14" s="10" t="s">
        <v>64</v>
      </c>
    </row>
    <row r="15" spans="1:30" ht="12.75" customHeight="1" x14ac:dyDescent="0.2">
      <c r="A15" s="8"/>
      <c r="B15" s="57" t="s">
        <v>49</v>
      </c>
      <c r="C15" s="618"/>
      <c r="D15" s="619">
        <v>51.1</v>
      </c>
      <c r="E15" s="619">
        <v>67.7</v>
      </c>
      <c r="F15" s="619">
        <v>77.099999999999994</v>
      </c>
      <c r="G15" s="619">
        <v>74.599999999999994</v>
      </c>
      <c r="H15" s="619">
        <v>74.099999999999994</v>
      </c>
      <c r="I15" s="619">
        <v>53.7</v>
      </c>
      <c r="J15" s="619">
        <v>65.597999999999999</v>
      </c>
      <c r="K15" s="619">
        <v>71.304000000000002</v>
      </c>
      <c r="L15" s="619">
        <v>76.605000000000004</v>
      </c>
      <c r="M15" s="619">
        <v>80.617000000000004</v>
      </c>
      <c r="N15" s="619">
        <v>81.03</v>
      </c>
      <c r="O15" s="619">
        <v>82.119</v>
      </c>
      <c r="P15" s="619">
        <v>80.534999999999997</v>
      </c>
      <c r="Q15" s="619">
        <v>80.179000000000002</v>
      </c>
      <c r="R15" s="619">
        <v>83.43</v>
      </c>
      <c r="S15" s="619">
        <v>85.731999999999999</v>
      </c>
      <c r="T15" s="620">
        <v>86.200999999999993</v>
      </c>
      <c r="U15" s="620">
        <v>92.86</v>
      </c>
      <c r="V15" s="619">
        <v>80.28</v>
      </c>
      <c r="W15" s="619">
        <v>83.35</v>
      </c>
      <c r="X15" s="619">
        <v>81.099999999999994</v>
      </c>
      <c r="Y15" s="619">
        <v>81.2</v>
      </c>
      <c r="Z15" s="619">
        <v>84.337000000000003</v>
      </c>
      <c r="AA15" s="619">
        <v>88.045000000000002</v>
      </c>
      <c r="AB15" s="619">
        <v>92.2</v>
      </c>
      <c r="AC15" s="621">
        <f t="shared" si="3"/>
        <v>4.7191776932250491</v>
      </c>
      <c r="AD15" s="57" t="s">
        <v>49</v>
      </c>
    </row>
    <row r="16" spans="1:30" ht="12.75" customHeight="1" x14ac:dyDescent="0.2">
      <c r="A16" s="8"/>
      <c r="B16" s="10" t="s">
        <v>67</v>
      </c>
      <c r="C16" s="627">
        <v>49</v>
      </c>
      <c r="D16" s="624">
        <v>65</v>
      </c>
      <c r="E16" s="624">
        <v>143.166</v>
      </c>
      <c r="F16" s="624">
        <v>148.33099999999999</v>
      </c>
      <c r="G16" s="624">
        <v>144.798</v>
      </c>
      <c r="H16" s="624">
        <v>135.22499999999999</v>
      </c>
      <c r="I16" s="624">
        <v>135.809</v>
      </c>
      <c r="J16" s="624">
        <v>141.785</v>
      </c>
      <c r="K16" s="624">
        <v>146.601</v>
      </c>
      <c r="L16" s="624">
        <v>158.15799999999999</v>
      </c>
      <c r="M16" s="624">
        <v>170.86600000000001</v>
      </c>
      <c r="N16" s="624">
        <v>188.81399999999999</v>
      </c>
      <c r="O16" s="624">
        <v>205.57499999999999</v>
      </c>
      <c r="P16" s="624">
        <v>219.51</v>
      </c>
      <c r="Q16" s="624">
        <v>233.06899999999999</v>
      </c>
      <c r="R16" s="624">
        <v>251.13</v>
      </c>
      <c r="S16" s="624">
        <v>268.08199999999999</v>
      </c>
      <c r="T16" s="624">
        <v>286.548</v>
      </c>
      <c r="U16" s="624">
        <v>318.60399999999998</v>
      </c>
      <c r="V16" s="624">
        <v>345.87400000000002</v>
      </c>
      <c r="W16" s="624">
        <v>351.30700000000002</v>
      </c>
      <c r="X16" s="624">
        <v>343.94</v>
      </c>
      <c r="Y16" s="624">
        <v>327.096</v>
      </c>
      <c r="Z16" s="624">
        <v>320.99599999999998</v>
      </c>
      <c r="AA16" s="624">
        <v>309.21899999999999</v>
      </c>
      <c r="AB16" s="624">
        <v>317.84899999999999</v>
      </c>
      <c r="AC16" s="631">
        <f t="shared" si="3"/>
        <v>2.7909022408066733</v>
      </c>
      <c r="AD16" s="10" t="s">
        <v>67</v>
      </c>
    </row>
    <row r="17" spans="1:30" ht="12.75" customHeight="1" x14ac:dyDescent="0.2">
      <c r="A17" s="8"/>
      <c r="B17" s="57" t="s">
        <v>60</v>
      </c>
      <c r="C17" s="618">
        <v>105</v>
      </c>
      <c r="D17" s="619">
        <v>401</v>
      </c>
      <c r="E17" s="619">
        <v>766.42899999999997</v>
      </c>
      <c r="F17" s="619">
        <v>792.77</v>
      </c>
      <c r="G17" s="619">
        <v>797.78800000000001</v>
      </c>
      <c r="H17" s="619">
        <v>825.697</v>
      </c>
      <c r="I17" s="619">
        <v>849.03300000000002</v>
      </c>
      <c r="J17" s="619">
        <v>883.82299999999998</v>
      </c>
      <c r="K17" s="619">
        <v>914.827</v>
      </c>
      <c r="L17" s="619">
        <v>951.78499999999997</v>
      </c>
      <c r="M17" s="619">
        <v>987.35699999999997</v>
      </c>
      <c r="N17" s="619">
        <v>1023.987</v>
      </c>
      <c r="O17" s="619">
        <v>1057.422</v>
      </c>
      <c r="P17" s="619">
        <v>1085.8109999999999</v>
      </c>
      <c r="Q17" s="619">
        <v>1109.1369999999999</v>
      </c>
      <c r="R17" s="619">
        <v>1131.027</v>
      </c>
      <c r="S17" s="619">
        <v>1159.1369999999999</v>
      </c>
      <c r="T17" s="619">
        <v>1186.4829999999999</v>
      </c>
      <c r="U17" s="619">
        <v>1219.8889999999999</v>
      </c>
      <c r="V17" s="619">
        <v>1255.9449999999999</v>
      </c>
      <c r="W17" s="619">
        <v>1289.5250000000001</v>
      </c>
      <c r="X17" s="619">
        <v>1302.43</v>
      </c>
      <c r="Y17" s="619">
        <v>1318.768</v>
      </c>
      <c r="Z17" s="619">
        <v>1321.296</v>
      </c>
      <c r="AA17" s="619">
        <v>1318.9179999999999</v>
      </c>
      <c r="AB17" s="619">
        <v>1315.836</v>
      </c>
      <c r="AC17" s="621">
        <f t="shared" si="3"/>
        <v>-0.23367639231550186</v>
      </c>
      <c r="AD17" s="57" t="s">
        <v>60</v>
      </c>
    </row>
    <row r="18" spans="1:30" ht="12.75" customHeight="1" x14ac:dyDescent="0.2">
      <c r="A18" s="8"/>
      <c r="B18" s="10" t="s">
        <v>65</v>
      </c>
      <c r="C18" s="627">
        <v>710</v>
      </c>
      <c r="D18" s="624">
        <v>1362.424</v>
      </c>
      <c r="E18" s="624">
        <v>2401.085</v>
      </c>
      <c r="F18" s="624">
        <v>2568.4290000000001</v>
      </c>
      <c r="G18" s="624">
        <v>2726.1909999999998</v>
      </c>
      <c r="H18" s="624">
        <v>2812.6099999999997</v>
      </c>
      <c r="I18" s="624">
        <v>2905.75</v>
      </c>
      <c r="J18" s="624">
        <v>3024.2460000000001</v>
      </c>
      <c r="K18" s="624">
        <v>3151.904</v>
      </c>
      <c r="L18" s="624">
        <v>3310.0950000000003</v>
      </c>
      <c r="M18" s="624">
        <v>3509.7509999999997</v>
      </c>
      <c r="N18" s="624">
        <v>3735.1880000000001</v>
      </c>
      <c r="O18" s="624">
        <v>3923.1759999999999</v>
      </c>
      <c r="P18" s="624">
        <v>4104.9580000000005</v>
      </c>
      <c r="Q18" s="628">
        <v>4258.8890000000001</v>
      </c>
      <c r="R18" s="624">
        <v>4363.4169999999995</v>
      </c>
      <c r="S18" s="624">
        <v>4603.4179999999997</v>
      </c>
      <c r="T18" s="624">
        <v>4849.6189999999997</v>
      </c>
      <c r="U18" s="624">
        <v>5087.3109999999997</v>
      </c>
      <c r="V18" s="624">
        <v>5353.2830000000004</v>
      </c>
      <c r="W18" s="624">
        <v>5405.585</v>
      </c>
      <c r="X18" s="624">
        <v>5342.9439999999995</v>
      </c>
      <c r="Y18" s="624">
        <v>5303.4659999999994</v>
      </c>
      <c r="Z18" s="624">
        <v>5256.7510000000002</v>
      </c>
      <c r="AA18" s="624">
        <f>4984.722+186.964</f>
        <v>5171.6859999999997</v>
      </c>
      <c r="AB18" s="624">
        <f>4887.352+182.822</f>
        <v>5070.174</v>
      </c>
      <c r="AC18" s="631">
        <f t="shared" si="3"/>
        <v>-1.962841518220543</v>
      </c>
      <c r="AD18" s="10" t="s">
        <v>65</v>
      </c>
    </row>
    <row r="19" spans="1:30" ht="12.75" customHeight="1" x14ac:dyDescent="0.2">
      <c r="A19" s="8"/>
      <c r="B19" s="57" t="s">
        <v>66</v>
      </c>
      <c r="C19" s="618">
        <v>1504</v>
      </c>
      <c r="D19" s="619">
        <v>2457</v>
      </c>
      <c r="E19" s="619">
        <v>4670</v>
      </c>
      <c r="F19" s="619">
        <v>4763</v>
      </c>
      <c r="G19" s="619">
        <v>4781</v>
      </c>
      <c r="H19" s="619">
        <v>4814</v>
      </c>
      <c r="I19" s="619">
        <v>4881</v>
      </c>
      <c r="J19" s="619">
        <v>4926</v>
      </c>
      <c r="K19" s="619">
        <v>4976</v>
      </c>
      <c r="L19" s="620">
        <v>5100</v>
      </c>
      <c r="M19" s="619">
        <v>4951.165</v>
      </c>
      <c r="N19" s="619">
        <v>5038.2240000000002</v>
      </c>
      <c r="O19" s="619">
        <v>5151.6859999999997</v>
      </c>
      <c r="P19" s="619">
        <v>5252.29</v>
      </c>
      <c r="Q19" s="619">
        <v>5292.5530000000008</v>
      </c>
      <c r="R19" s="619">
        <v>5298.4470000000001</v>
      </c>
      <c r="S19" s="619">
        <v>5314.8419999999996</v>
      </c>
      <c r="T19" s="619">
        <v>5346.6930000000002</v>
      </c>
      <c r="U19" s="619">
        <v>5344.7919999999995</v>
      </c>
      <c r="V19" s="619">
        <v>5476.0450000000001</v>
      </c>
      <c r="W19" s="619">
        <v>5212.01</v>
      </c>
      <c r="X19" s="632">
        <f>6160.805+211.918</f>
        <v>6372.723</v>
      </c>
      <c r="Y19" s="619">
        <f>6161.461+203.848</f>
        <v>6365.3090000000002</v>
      </c>
      <c r="Z19" s="619">
        <f>6191.714+202.034</f>
        <v>6393.7479999999996</v>
      </c>
      <c r="AA19" s="619">
        <f>6241.045+198.847</f>
        <v>6439.8919999999998</v>
      </c>
      <c r="AB19" s="619">
        <f>6351.771+201.954</f>
        <v>6553.7249999999995</v>
      </c>
      <c r="AC19" s="633">
        <f t="shared" si="3"/>
        <v>1.7676228110657775</v>
      </c>
      <c r="AD19" s="57" t="s">
        <v>66</v>
      </c>
    </row>
    <row r="20" spans="1:30" ht="12.75" customHeight="1" x14ac:dyDescent="0.2">
      <c r="A20" s="8"/>
      <c r="B20" s="10" t="s">
        <v>77</v>
      </c>
      <c r="C20" s="627"/>
      <c r="D20" s="624"/>
      <c r="E20" s="624"/>
      <c r="F20" s="624"/>
      <c r="G20" s="624"/>
      <c r="H20" s="624">
        <v>51.117000000000004</v>
      </c>
      <c r="I20" s="624">
        <v>64.438000000000002</v>
      </c>
      <c r="J20" s="624">
        <v>73.497</v>
      </c>
      <c r="K20" s="624">
        <v>94.921000000000006</v>
      </c>
      <c r="L20" s="624">
        <v>109.73400000000001</v>
      </c>
      <c r="M20" s="624">
        <v>115.768</v>
      </c>
      <c r="N20" s="624">
        <v>118.70400000000001</v>
      </c>
      <c r="O20" s="624">
        <v>122.51600000000001</v>
      </c>
      <c r="P20" s="624">
        <v>129.49700000000001</v>
      </c>
      <c r="Q20" s="624">
        <v>138.74300000000002</v>
      </c>
      <c r="R20" s="624">
        <v>148.27499999999998</v>
      </c>
      <c r="S20" s="624">
        <v>154.79</v>
      </c>
      <c r="T20" s="624">
        <v>162.87700000000001</v>
      </c>
      <c r="U20" s="624">
        <v>169.69799999999998</v>
      </c>
      <c r="V20" s="624">
        <v>176.703</v>
      </c>
      <c r="W20" s="624">
        <v>180.30100000000002</v>
      </c>
      <c r="X20" s="624">
        <v>164.761</v>
      </c>
      <c r="Y20" s="624">
        <v>157.73099999999999</v>
      </c>
      <c r="Z20" s="624">
        <v>154.88399999999999</v>
      </c>
      <c r="AA20" s="624">
        <v>141.56700000000001</v>
      </c>
      <c r="AB20" s="624">
        <v>141.49100000000001</v>
      </c>
      <c r="AC20" s="631">
        <f t="shared" si="3"/>
        <v>-5.3684827678750935E-2</v>
      </c>
      <c r="AD20" s="10" t="s">
        <v>77</v>
      </c>
    </row>
    <row r="21" spans="1:30" ht="12.75" customHeight="1" x14ac:dyDescent="0.2">
      <c r="A21" s="8"/>
      <c r="B21" s="197" t="s">
        <v>68</v>
      </c>
      <c r="C21" s="634"/>
      <c r="D21" s="635">
        <v>1290.6869999999999</v>
      </c>
      <c r="E21" s="635">
        <v>2207.9029999999998</v>
      </c>
      <c r="F21" s="635">
        <v>2292.9279999999999</v>
      </c>
      <c r="G21" s="635">
        <v>2359.8470000000002</v>
      </c>
      <c r="H21" s="635">
        <v>2389.17</v>
      </c>
      <c r="I21" s="635">
        <v>2446.3229999999999</v>
      </c>
      <c r="J21" s="635">
        <v>2509.893</v>
      </c>
      <c r="K21" s="635">
        <v>2640.1019999999999</v>
      </c>
      <c r="L21" s="635">
        <v>2719.8040000000001</v>
      </c>
      <c r="M21" s="635">
        <v>2828.0030000000002</v>
      </c>
      <c r="N21" s="635">
        <v>2946.806</v>
      </c>
      <c r="O21" s="635">
        <v>3087.0079999999998</v>
      </c>
      <c r="P21" s="635">
        <v>3234.4659999999999</v>
      </c>
      <c r="Q21" s="635">
        <v>3429.8820000000001</v>
      </c>
      <c r="R21" s="635">
        <v>3590.3049999999998</v>
      </c>
      <c r="S21" s="635">
        <v>3645.0459999999998</v>
      </c>
      <c r="T21" s="635">
        <v>3785.913</v>
      </c>
      <c r="U21" s="635">
        <v>3914.797</v>
      </c>
      <c r="V21" s="635">
        <v>3996.9070000000002</v>
      </c>
      <c r="W21" s="635">
        <v>4072.0050000000001</v>
      </c>
      <c r="X21" s="635">
        <v>4102.5889999999999</v>
      </c>
      <c r="Y21" s="635">
        <v>4141.7910000000002</v>
      </c>
      <c r="Z21" s="635">
        <v>4181.8950000000004</v>
      </c>
      <c r="AA21" s="635">
        <v>4143.7659999999996</v>
      </c>
      <c r="AB21" s="635">
        <f>3938.026+149.563</f>
        <v>4087.5889999999999</v>
      </c>
      <c r="AC21" s="633">
        <f t="shared" si="3"/>
        <v>-1.3556991393818976</v>
      </c>
      <c r="AD21" s="197" t="s">
        <v>68</v>
      </c>
    </row>
    <row r="22" spans="1:30" ht="12.75" customHeight="1" x14ac:dyDescent="0.2">
      <c r="A22" s="8"/>
      <c r="B22" s="10" t="s">
        <v>47</v>
      </c>
      <c r="C22" s="627"/>
      <c r="D22" s="624">
        <v>23.6</v>
      </c>
      <c r="E22" s="624">
        <v>74.325000000000003</v>
      </c>
      <c r="F22" s="624"/>
      <c r="G22" s="624"/>
      <c r="H22" s="624"/>
      <c r="I22" s="624"/>
      <c r="J22" s="624">
        <v>101.184</v>
      </c>
      <c r="K22" s="624">
        <v>104.04</v>
      </c>
      <c r="L22" s="624">
        <v>105.657</v>
      </c>
      <c r="M22" s="624">
        <v>109.294</v>
      </c>
      <c r="N22" s="624">
        <v>111.13500000000001</v>
      </c>
      <c r="O22" s="624">
        <v>114.666</v>
      </c>
      <c r="P22" s="624">
        <v>117.947</v>
      </c>
      <c r="Q22" s="624">
        <v>117.792</v>
      </c>
      <c r="R22" s="624">
        <v>119.646</v>
      </c>
      <c r="S22" s="624">
        <v>117.825</v>
      </c>
      <c r="T22" s="624">
        <v>118.355</v>
      </c>
      <c r="U22" s="624">
        <v>115.723</v>
      </c>
      <c r="V22" s="624">
        <v>117.498</v>
      </c>
      <c r="W22" s="624">
        <v>121.779</v>
      </c>
      <c r="X22" s="624">
        <v>124.09699999999999</v>
      </c>
      <c r="Y22" s="624">
        <v>120.69</v>
      </c>
      <c r="Z22" s="624">
        <v>118.003</v>
      </c>
      <c r="AA22" s="624">
        <v>113.74299999999999</v>
      </c>
      <c r="AB22" s="624">
        <v>109.069</v>
      </c>
      <c r="AC22" s="631">
        <f t="shared" si="3"/>
        <v>-4.1092638667874013</v>
      </c>
      <c r="AD22" s="10" t="s">
        <v>47</v>
      </c>
    </row>
    <row r="23" spans="1:30" ht="12.75" customHeight="1" x14ac:dyDescent="0.2">
      <c r="A23" s="8"/>
      <c r="B23" s="197" t="s">
        <v>51</v>
      </c>
      <c r="C23" s="634"/>
      <c r="D23" s="635"/>
      <c r="E23" s="635"/>
      <c r="F23" s="635"/>
      <c r="G23" s="635"/>
      <c r="H23" s="635"/>
      <c r="I23" s="635">
        <v>66.436000000000007</v>
      </c>
      <c r="J23" s="635">
        <v>68.668000000000006</v>
      </c>
      <c r="K23" s="635">
        <v>72.909000000000006</v>
      </c>
      <c r="L23" s="635">
        <v>76.771000000000001</v>
      </c>
      <c r="M23" s="635">
        <v>84.941999999999993</v>
      </c>
      <c r="N23" s="635">
        <v>90.22</v>
      </c>
      <c r="O23" s="635">
        <v>97.081000000000003</v>
      </c>
      <c r="P23" s="635">
        <v>99.707999999999998</v>
      </c>
      <c r="Q23" s="635">
        <v>102.73399999999999</v>
      </c>
      <c r="R23" s="635">
        <v>104.626</v>
      </c>
      <c r="S23" s="635">
        <v>107.553</v>
      </c>
      <c r="T23" s="635">
        <v>113.113</v>
      </c>
      <c r="U23" s="635">
        <v>121.12</v>
      </c>
      <c r="V23" s="635">
        <v>129.614</v>
      </c>
      <c r="W23" s="635">
        <v>129.80500000000001</v>
      </c>
      <c r="X23" s="635">
        <v>120.571</v>
      </c>
      <c r="Y23" s="636">
        <v>71.575000000000003</v>
      </c>
      <c r="Z23" s="635">
        <v>72.622</v>
      </c>
      <c r="AA23" s="635">
        <v>76.302999999999997</v>
      </c>
      <c r="AB23" s="635">
        <v>79.899000000000001</v>
      </c>
      <c r="AC23" s="633">
        <f t="shared" si="3"/>
        <v>4.7127897985662344</v>
      </c>
      <c r="AD23" s="197" t="s">
        <v>51</v>
      </c>
    </row>
    <row r="24" spans="1:30" ht="12.75" customHeight="1" x14ac:dyDescent="0.2">
      <c r="A24" s="8"/>
      <c r="B24" s="10" t="s">
        <v>52</v>
      </c>
      <c r="C24" s="627"/>
      <c r="D24" s="624">
        <v>65.7</v>
      </c>
      <c r="E24" s="624">
        <v>83</v>
      </c>
      <c r="F24" s="637">
        <f>E24+(H24-E24)*1/3</f>
        <v>88.257000000000005</v>
      </c>
      <c r="G24" s="637">
        <f>E24+(H24-E24)*2/3</f>
        <v>93.513999999999996</v>
      </c>
      <c r="H24" s="624">
        <v>98.771000000000001</v>
      </c>
      <c r="I24" s="624">
        <v>101.06</v>
      </c>
      <c r="J24" s="624">
        <v>108.89099999999999</v>
      </c>
      <c r="K24" s="624">
        <v>89.283000000000001</v>
      </c>
      <c r="L24" s="624">
        <v>93.669999999999987</v>
      </c>
      <c r="M24" s="624">
        <v>99.453999999999994</v>
      </c>
      <c r="N24" s="624">
        <v>96.575999999999993</v>
      </c>
      <c r="O24" s="624">
        <v>98.613</v>
      </c>
      <c r="P24" s="624">
        <v>100.38900000000001</v>
      </c>
      <c r="Q24" s="624">
        <v>105.545</v>
      </c>
      <c r="R24" s="624">
        <v>110.517</v>
      </c>
      <c r="S24" s="624">
        <v>115.67700000000001</v>
      </c>
      <c r="T24" s="624">
        <v>122.486</v>
      </c>
      <c r="U24" s="624">
        <v>135.54599999999999</v>
      </c>
      <c r="V24" s="624">
        <v>147.583</v>
      </c>
      <c r="W24" s="624">
        <v>150.108</v>
      </c>
      <c r="X24" s="624">
        <v>146.32500000000002</v>
      </c>
      <c r="Y24" s="624">
        <v>133.92099999999999</v>
      </c>
      <c r="Z24" s="624">
        <v>136.779</v>
      </c>
      <c r="AA24" s="624">
        <v>138.935</v>
      </c>
      <c r="AB24" s="624">
        <f>115.367+27.671</f>
        <v>143.03800000000001</v>
      </c>
      <c r="AC24" s="631">
        <f t="shared" si="3"/>
        <v>2.9531795443912756</v>
      </c>
      <c r="AD24" s="10" t="s">
        <v>52</v>
      </c>
    </row>
    <row r="25" spans="1:30" ht="12.75" customHeight="1" x14ac:dyDescent="0.2">
      <c r="A25" s="8"/>
      <c r="B25" s="197" t="s">
        <v>69</v>
      </c>
      <c r="C25" s="634">
        <v>9</v>
      </c>
      <c r="D25" s="635">
        <v>9</v>
      </c>
      <c r="E25" s="635">
        <v>11.275</v>
      </c>
      <c r="F25" s="635">
        <v>12</v>
      </c>
      <c r="G25" s="635">
        <v>13</v>
      </c>
      <c r="H25" s="635">
        <v>14.641</v>
      </c>
      <c r="I25" s="635">
        <v>15.398</v>
      </c>
      <c r="J25" s="635">
        <v>15.794</v>
      </c>
      <c r="K25" s="635">
        <v>18.380000000000003</v>
      </c>
      <c r="L25" s="635">
        <v>19.378</v>
      </c>
      <c r="M25" s="635">
        <v>20.795999999999999</v>
      </c>
      <c r="N25" s="635">
        <v>22.562999999999999</v>
      </c>
      <c r="O25" s="635">
        <v>24.667000000000002</v>
      </c>
      <c r="P25" s="635">
        <v>26.304000000000002</v>
      </c>
      <c r="Q25" s="635">
        <v>26.952999999999999</v>
      </c>
      <c r="R25" s="635">
        <v>27.928999999999998</v>
      </c>
      <c r="S25" s="635">
        <v>28.425999999999998</v>
      </c>
      <c r="T25" s="635">
        <v>29.588000000000001</v>
      </c>
      <c r="U25" s="635">
        <v>30.735000000000003</v>
      </c>
      <c r="V25" s="635">
        <v>32.519999999999996</v>
      </c>
      <c r="W25" s="635">
        <v>34.408000000000001</v>
      </c>
      <c r="X25" s="635">
        <v>34.735999999999997</v>
      </c>
      <c r="Y25" s="635">
        <v>35.628</v>
      </c>
      <c r="Z25" s="635">
        <v>36.813000000000002</v>
      </c>
      <c r="AA25" s="635">
        <f>27.046+5.339+4.934</f>
        <v>37.318999999999996</v>
      </c>
      <c r="AB25" s="635">
        <f>27.635+5.298+4.726</f>
        <v>37.658999999999999</v>
      </c>
      <c r="AC25" s="633">
        <f t="shared" si="3"/>
        <v>0.91106406924087935</v>
      </c>
      <c r="AD25" s="197" t="s">
        <v>69</v>
      </c>
    </row>
    <row r="26" spans="1:30" ht="12.75" customHeight="1" x14ac:dyDescent="0.2">
      <c r="A26" s="8"/>
      <c r="B26" s="10" t="s">
        <v>50</v>
      </c>
      <c r="C26" s="627"/>
      <c r="D26" s="624">
        <v>197</v>
      </c>
      <c r="E26" s="624">
        <v>262</v>
      </c>
      <c r="F26" s="624"/>
      <c r="G26" s="624"/>
      <c r="H26" s="624"/>
      <c r="I26" s="624"/>
      <c r="J26" s="638">
        <v>277.97400000000005</v>
      </c>
      <c r="K26" s="639">
        <v>282.20400000000001</v>
      </c>
      <c r="L26" s="639">
        <v>295.38299999999998</v>
      </c>
      <c r="M26" s="639">
        <v>319.779</v>
      </c>
      <c r="N26" s="639">
        <v>332.50299999999999</v>
      </c>
      <c r="O26" s="639">
        <v>352.62799999999999</v>
      </c>
      <c r="P26" s="639">
        <v>366.21300000000002</v>
      </c>
      <c r="Q26" s="639">
        <v>381.43200000000002</v>
      </c>
      <c r="R26" s="639">
        <v>392.029</v>
      </c>
      <c r="S26" s="639">
        <v>395.96200000000005</v>
      </c>
      <c r="T26" s="639">
        <v>412.92100000000005</v>
      </c>
      <c r="U26" s="639">
        <v>429.45699999999999</v>
      </c>
      <c r="V26" s="639">
        <v>444.495</v>
      </c>
      <c r="W26" s="639">
        <v>455.89100000000002</v>
      </c>
      <c r="X26" s="639">
        <v>452.52300000000002</v>
      </c>
      <c r="Y26" s="639">
        <v>451.32100000000003</v>
      </c>
      <c r="Z26" s="639">
        <f>402.501+50.262</f>
        <v>452.76299999999998</v>
      </c>
      <c r="AA26" s="639">
        <f>401.723+52.596</f>
        <v>454.31900000000002</v>
      </c>
      <c r="AB26" s="639">
        <f>406.56+56.089</f>
        <v>462.649</v>
      </c>
      <c r="AC26" s="631">
        <f t="shared" si="3"/>
        <v>1.8335134564039635</v>
      </c>
      <c r="AD26" s="10" t="s">
        <v>50</v>
      </c>
    </row>
    <row r="27" spans="1:30" ht="12.75" customHeight="1" x14ac:dyDescent="0.2">
      <c r="A27" s="8"/>
      <c r="B27" s="197" t="s">
        <v>53</v>
      </c>
      <c r="C27" s="634"/>
      <c r="D27" s="635" t="s">
        <v>83</v>
      </c>
      <c r="E27" s="635" t="s">
        <v>83</v>
      </c>
      <c r="F27" s="635"/>
      <c r="G27" s="635"/>
      <c r="H27" s="635">
        <v>34.024000000000001</v>
      </c>
      <c r="I27" s="635">
        <v>37.600999999999999</v>
      </c>
      <c r="J27" s="635">
        <v>40.835000000000001</v>
      </c>
      <c r="K27" s="635">
        <v>38.430999999999997</v>
      </c>
      <c r="L27" s="635">
        <v>46.311999999999998</v>
      </c>
      <c r="M27" s="635">
        <v>48.402999999999999</v>
      </c>
      <c r="N27" s="635">
        <v>50.046999999999997</v>
      </c>
      <c r="O27" s="635">
        <v>51.463000000000001</v>
      </c>
      <c r="P27" s="635">
        <v>43.662999999999997</v>
      </c>
      <c r="Q27" s="635">
        <v>43.852000000000004</v>
      </c>
      <c r="R27" s="635">
        <v>44.656999999999996</v>
      </c>
      <c r="S27" s="635">
        <v>44.575000000000003</v>
      </c>
      <c r="T27" s="635">
        <v>44.371000000000002</v>
      </c>
      <c r="U27" s="635">
        <v>45.505000000000003</v>
      </c>
      <c r="V27" s="635">
        <v>46.853000000000002</v>
      </c>
      <c r="W27" s="635">
        <v>48.21</v>
      </c>
      <c r="X27" s="635">
        <v>47.212000000000003</v>
      </c>
      <c r="Y27" s="636">
        <f>41.257+1.197</f>
        <v>42.454000000000001</v>
      </c>
      <c r="Z27" s="635">
        <f>41.391+1.148</f>
        <v>42.539000000000001</v>
      </c>
      <c r="AA27" s="635">
        <f>41.642+1.058</f>
        <v>42.7</v>
      </c>
      <c r="AB27" s="635">
        <f>42.286+1.096</f>
        <v>43.382000000000005</v>
      </c>
      <c r="AC27" s="633">
        <f t="shared" si="3"/>
        <v>1.5971896955503553</v>
      </c>
      <c r="AD27" s="197" t="s">
        <v>53</v>
      </c>
    </row>
    <row r="28" spans="1:30" ht="12.75" customHeight="1" x14ac:dyDescent="0.2">
      <c r="A28" s="8"/>
      <c r="B28" s="10" t="s">
        <v>61</v>
      </c>
      <c r="C28" s="627">
        <v>286</v>
      </c>
      <c r="D28" s="624">
        <v>314</v>
      </c>
      <c r="E28" s="624">
        <v>553</v>
      </c>
      <c r="F28" s="624">
        <v>578</v>
      </c>
      <c r="G28" s="624">
        <v>619</v>
      </c>
      <c r="H28" s="624">
        <v>641</v>
      </c>
      <c r="I28" s="624">
        <v>644</v>
      </c>
      <c r="J28" s="624">
        <v>654</v>
      </c>
      <c r="K28" s="624">
        <v>684</v>
      </c>
      <c r="L28" s="624">
        <v>727</v>
      </c>
      <c r="M28" s="624">
        <v>795</v>
      </c>
      <c r="N28" s="624">
        <v>836.04700000000003</v>
      </c>
      <c r="O28" s="624">
        <v>898.99799999999993</v>
      </c>
      <c r="P28" s="624">
        <v>942.3130000000001</v>
      </c>
      <c r="Q28" s="624">
        <v>980.26700000000005</v>
      </c>
      <c r="R28" s="624">
        <v>1009.6420000000001</v>
      </c>
      <c r="S28" s="624">
        <v>1035.5930000000001</v>
      </c>
      <c r="T28" s="624">
        <v>1004.5060000000001</v>
      </c>
      <c r="U28" s="624">
        <v>995.73299999999995</v>
      </c>
      <c r="V28" s="624">
        <v>1010.402</v>
      </c>
      <c r="W28" s="624">
        <v>1025.9059999999999</v>
      </c>
      <c r="X28" s="624">
        <v>1017.2829999999999</v>
      </c>
      <c r="Y28" s="624">
        <v>1003.9649999999999</v>
      </c>
      <c r="Z28" s="624">
        <v>990.69799999999998</v>
      </c>
      <c r="AA28" s="624">
        <v>969.63900000000001</v>
      </c>
      <c r="AB28" s="624">
        <f>815.169+65.046+71.063</f>
        <v>951.27800000000002</v>
      </c>
      <c r="AC28" s="631">
        <f t="shared" si="3"/>
        <v>-1.8935913262564696</v>
      </c>
      <c r="AD28" s="10" t="s">
        <v>61</v>
      </c>
    </row>
    <row r="29" spans="1:30" ht="12.75" customHeight="1" x14ac:dyDescent="0.2">
      <c r="A29" s="8"/>
      <c r="B29" s="197" t="s">
        <v>70</v>
      </c>
      <c r="C29" s="634">
        <v>122.29</v>
      </c>
      <c r="D29" s="635">
        <v>189.25</v>
      </c>
      <c r="E29" s="635">
        <v>261.83999999999997</v>
      </c>
      <c r="F29" s="635">
        <v>269.279</v>
      </c>
      <c r="G29" s="635">
        <v>279.94499999999999</v>
      </c>
      <c r="H29" s="635">
        <v>286.67900000000003</v>
      </c>
      <c r="I29" s="635">
        <v>294.92499999999995</v>
      </c>
      <c r="J29" s="635">
        <v>302.90700000000004</v>
      </c>
      <c r="K29" s="635">
        <v>306.91699999999997</v>
      </c>
      <c r="L29" s="635">
        <v>315.05799999999999</v>
      </c>
      <c r="M29" s="635">
        <v>325.33499999999998</v>
      </c>
      <c r="N29" s="635">
        <v>335.77199999999999</v>
      </c>
      <c r="O29" s="635">
        <v>344.46600000000001</v>
      </c>
      <c r="P29" s="640">
        <v>349.67</v>
      </c>
      <c r="Q29" s="635">
        <v>338.79399999999998</v>
      </c>
      <c r="R29" s="635">
        <v>345.62099999999998</v>
      </c>
      <c r="S29" s="635">
        <v>353.05500000000001</v>
      </c>
      <c r="T29" s="635">
        <v>358.04899999999998</v>
      </c>
      <c r="U29" s="635">
        <v>364.32300000000004</v>
      </c>
      <c r="V29" s="635">
        <v>372.64500000000004</v>
      </c>
      <c r="W29" s="635">
        <v>381.33800000000002</v>
      </c>
      <c r="X29" s="635">
        <v>387.97199999999998</v>
      </c>
      <c r="Y29" s="635">
        <v>396.78799999999995</v>
      </c>
      <c r="Z29" s="635">
        <v>407.452</v>
      </c>
      <c r="AA29" s="635">
        <v>416.53500000000003</v>
      </c>
      <c r="AB29" s="635">
        <f>408.56+16.192</f>
        <v>424.75200000000001</v>
      </c>
      <c r="AC29" s="633">
        <f t="shared" si="3"/>
        <v>1.9727033742662741</v>
      </c>
      <c r="AD29" s="197" t="s">
        <v>70</v>
      </c>
    </row>
    <row r="30" spans="1:30" ht="12.75" customHeight="1" x14ac:dyDescent="0.2">
      <c r="A30" s="8"/>
      <c r="B30" s="10" t="s">
        <v>54</v>
      </c>
      <c r="C30" s="627"/>
      <c r="D30" s="624" t="s">
        <v>83</v>
      </c>
      <c r="E30" s="624" t="s">
        <v>83</v>
      </c>
      <c r="F30" s="624"/>
      <c r="G30" s="624"/>
      <c r="H30" s="624">
        <v>999.84500000000003</v>
      </c>
      <c r="I30" s="624">
        <v>1053.979</v>
      </c>
      <c r="J30" s="624">
        <v>1354.0989999999999</v>
      </c>
      <c r="K30" s="624">
        <v>1431.357</v>
      </c>
      <c r="L30" s="624">
        <v>1487.4389999999999</v>
      </c>
      <c r="M30" s="624">
        <v>1562.8140000000001</v>
      </c>
      <c r="N30" s="624">
        <v>1682.8869999999999</v>
      </c>
      <c r="O30" s="624">
        <v>1879.068</v>
      </c>
      <c r="P30" s="624">
        <v>1979.2929999999999</v>
      </c>
      <c r="Q30" s="624">
        <v>2162.614</v>
      </c>
      <c r="R30" s="624">
        <v>2313.4190000000003</v>
      </c>
      <c r="S30" s="624">
        <v>2391.605</v>
      </c>
      <c r="T30" s="624">
        <v>2304.5050000000001</v>
      </c>
      <c r="U30" s="624">
        <v>2392.6579999999999</v>
      </c>
      <c r="V30" s="624">
        <v>2520.5480000000002</v>
      </c>
      <c r="W30" s="624">
        <v>2709.6970000000001</v>
      </c>
      <c r="X30" s="624">
        <v>2796.7670000000003</v>
      </c>
      <c r="Y30" s="624">
        <v>2981.616</v>
      </c>
      <c r="Z30" s="624">
        <v>3130.7289999999998</v>
      </c>
      <c r="AA30" s="624">
        <v>3178.0050000000001</v>
      </c>
      <c r="AB30" s="624">
        <f>2962.064+280.42</f>
        <v>3242.4839999999999</v>
      </c>
      <c r="AC30" s="631">
        <f t="shared" si="3"/>
        <v>2.0289143660881592</v>
      </c>
      <c r="AD30" s="10" t="s">
        <v>54</v>
      </c>
    </row>
    <row r="31" spans="1:30" ht="12.75" customHeight="1" x14ac:dyDescent="0.2">
      <c r="A31" s="8"/>
      <c r="B31" s="197" t="s">
        <v>71</v>
      </c>
      <c r="C31" s="634">
        <v>157</v>
      </c>
      <c r="D31" s="635">
        <v>350</v>
      </c>
      <c r="E31" s="635">
        <v>781</v>
      </c>
      <c r="F31" s="635">
        <v>847</v>
      </c>
      <c r="G31" s="635">
        <v>928</v>
      </c>
      <c r="H31" s="640">
        <v>1011</v>
      </c>
      <c r="I31" s="635">
        <v>868.24599999999998</v>
      </c>
      <c r="J31" s="635">
        <v>912.29</v>
      </c>
      <c r="K31" s="635">
        <v>969.69899999999996</v>
      </c>
      <c r="L31" s="635">
        <v>1076.556</v>
      </c>
      <c r="M31" s="635">
        <v>1105.287</v>
      </c>
      <c r="N31" s="635">
        <v>1232.3119999999999</v>
      </c>
      <c r="O31" s="635">
        <v>1313.223</v>
      </c>
      <c r="P31" s="635">
        <v>1401.3050000000001</v>
      </c>
      <c r="Q31" s="635">
        <v>1377.335</v>
      </c>
      <c r="R31" s="635">
        <v>1256.8579999999999</v>
      </c>
      <c r="S31" s="641">
        <v>1300</v>
      </c>
      <c r="T31" s="641">
        <v>1308</v>
      </c>
      <c r="U31" s="635">
        <v>1320</v>
      </c>
      <c r="V31" s="635">
        <v>1333</v>
      </c>
      <c r="W31" s="641">
        <v>1335</v>
      </c>
      <c r="X31" s="635">
        <v>1337</v>
      </c>
      <c r="Y31" s="635">
        <v>1337</v>
      </c>
      <c r="Z31" s="635">
        <v>1335.5</v>
      </c>
      <c r="AA31" s="635">
        <f>1170+125</f>
        <v>1295</v>
      </c>
      <c r="AB31" s="635">
        <v>1258.3999999999999</v>
      </c>
      <c r="AC31" s="633">
        <f t="shared" si="3"/>
        <v>-2.8262548262548393</v>
      </c>
      <c r="AD31" s="197" t="s">
        <v>71</v>
      </c>
    </row>
    <row r="32" spans="1:30" ht="12.75" customHeight="1" x14ac:dyDescent="0.2">
      <c r="A32" s="8"/>
      <c r="B32" s="10" t="s">
        <v>55</v>
      </c>
      <c r="C32" s="627"/>
      <c r="D32" s="624">
        <v>250</v>
      </c>
      <c r="E32" s="624">
        <v>258.70100000000002</v>
      </c>
      <c r="F32" s="624">
        <v>259.56599999999997</v>
      </c>
      <c r="G32" s="624">
        <v>275.48700000000002</v>
      </c>
      <c r="H32" s="624">
        <v>298.31799999999998</v>
      </c>
      <c r="I32" s="624">
        <v>322.41699999999997</v>
      </c>
      <c r="J32" s="624">
        <v>343.06400000000002</v>
      </c>
      <c r="K32" s="624">
        <v>376.81700000000001</v>
      </c>
      <c r="L32" s="624">
        <v>390.18099999999998</v>
      </c>
      <c r="M32" s="624">
        <v>405.74299999999999</v>
      </c>
      <c r="N32" s="624">
        <v>417.78</v>
      </c>
      <c r="O32" s="624">
        <v>427.15199999999999</v>
      </c>
      <c r="P32" s="624">
        <v>437.96800000000002</v>
      </c>
      <c r="Q32" s="624">
        <v>447.29899999999998</v>
      </c>
      <c r="R32" s="624">
        <v>463.09899999999999</v>
      </c>
      <c r="S32" s="624">
        <v>482.42500000000001</v>
      </c>
      <c r="T32" s="624">
        <v>493.82100000000003</v>
      </c>
      <c r="U32" s="628">
        <v>545.29999999999995</v>
      </c>
      <c r="V32" s="624">
        <v>501.95699999999999</v>
      </c>
      <c r="W32" s="624">
        <v>645.34</v>
      </c>
      <c r="X32" s="624">
        <v>661.9</v>
      </c>
      <c r="Y32" s="624">
        <v>667.21900000000005</v>
      </c>
      <c r="Z32" s="624">
        <v>696.26</v>
      </c>
      <c r="AA32" s="624">
        <v>719.92600000000004</v>
      </c>
      <c r="AB32" s="624">
        <v>761.55399999999997</v>
      </c>
      <c r="AC32" s="631">
        <f t="shared" si="3"/>
        <v>5.782260954598101</v>
      </c>
      <c r="AD32" s="10" t="s">
        <v>55</v>
      </c>
    </row>
    <row r="33" spans="1:30" ht="12.75" customHeight="1" x14ac:dyDescent="0.2">
      <c r="A33" s="8"/>
      <c r="B33" s="197" t="s">
        <v>57</v>
      </c>
      <c r="C33" s="634">
        <v>15.946</v>
      </c>
      <c r="D33" s="635">
        <v>28.454999999999998</v>
      </c>
      <c r="E33" s="635">
        <v>30.766999999999999</v>
      </c>
      <c r="F33" s="640">
        <v>30.771999999999998</v>
      </c>
      <c r="G33" s="635">
        <v>34.535000000000004</v>
      </c>
      <c r="H33" s="635">
        <v>36.976000000000006</v>
      </c>
      <c r="I33" s="635">
        <v>38.852000000000004</v>
      </c>
      <c r="J33" s="635">
        <v>42.866999999999997</v>
      </c>
      <c r="K33" s="635">
        <v>45.588999999999999</v>
      </c>
      <c r="L33" s="635">
        <v>47.88</v>
      </c>
      <c r="M33" s="635">
        <v>49.513000000000005</v>
      </c>
      <c r="N33" s="635">
        <v>51.741</v>
      </c>
      <c r="O33" s="635">
        <v>54.262999999999998</v>
      </c>
      <c r="P33" s="635">
        <v>56.114999999999995</v>
      </c>
      <c r="Q33" s="635">
        <v>57.9</v>
      </c>
      <c r="R33" s="635">
        <v>59.801000000000002</v>
      </c>
      <c r="S33" s="635">
        <v>63.177999999999997</v>
      </c>
      <c r="T33" s="635">
        <v>66.447000000000003</v>
      </c>
      <c r="U33" s="635">
        <v>70.132000000000005</v>
      </c>
      <c r="V33" s="635">
        <v>77.567999999999998</v>
      </c>
      <c r="W33" s="635">
        <v>83.909000000000006</v>
      </c>
      <c r="X33" s="635">
        <v>83.632999999999996</v>
      </c>
      <c r="Y33" s="635">
        <v>84.106999999999999</v>
      </c>
      <c r="Z33" s="635">
        <v>84.644000000000005</v>
      </c>
      <c r="AA33" s="635">
        <v>84.408000000000001</v>
      </c>
      <c r="AB33" s="635">
        <f>68.264+9.638+7.036</f>
        <v>84.938000000000002</v>
      </c>
      <c r="AC33" s="633">
        <f t="shared" si="3"/>
        <v>0.62790256847691239</v>
      </c>
      <c r="AD33" s="197" t="s">
        <v>57</v>
      </c>
    </row>
    <row r="34" spans="1:30" ht="12.75" customHeight="1" x14ac:dyDescent="0.2">
      <c r="A34" s="8"/>
      <c r="B34" s="10" t="s">
        <v>56</v>
      </c>
      <c r="C34" s="622"/>
      <c r="D34" s="623"/>
      <c r="E34" s="623">
        <v>91.994</v>
      </c>
      <c r="F34" s="624">
        <v>95.335999999999999</v>
      </c>
      <c r="G34" s="624">
        <v>102.295</v>
      </c>
      <c r="H34" s="624">
        <v>101.55200000000001</v>
      </c>
      <c r="I34" s="624">
        <v>102.47</v>
      </c>
      <c r="J34" s="624">
        <v>102.634</v>
      </c>
      <c r="K34" s="624">
        <v>97.078000000000003</v>
      </c>
      <c r="L34" s="624">
        <v>103.68</v>
      </c>
      <c r="M34" s="624">
        <v>112.80200000000001</v>
      </c>
      <c r="N34" s="624">
        <v>118.28699999999999</v>
      </c>
      <c r="O34" s="624">
        <v>113.995</v>
      </c>
      <c r="P34" s="624">
        <v>125.393</v>
      </c>
      <c r="Q34" s="624">
        <v>137.17099999999999</v>
      </c>
      <c r="R34" s="624">
        <v>150.99099999999999</v>
      </c>
      <c r="S34" s="624">
        <v>151.83000000000001</v>
      </c>
      <c r="T34" s="624">
        <v>174.23</v>
      </c>
      <c r="U34" s="624">
        <v>189.256</v>
      </c>
      <c r="V34" s="624">
        <v>215.697</v>
      </c>
      <c r="W34" s="624">
        <v>248.66199999999998</v>
      </c>
      <c r="X34" s="624">
        <v>269.322</v>
      </c>
      <c r="Y34" s="624">
        <v>276.04900000000004</v>
      </c>
      <c r="Z34" s="624">
        <v>281.81100000000004</v>
      </c>
      <c r="AA34" s="624">
        <v>285.97800000000001</v>
      </c>
      <c r="AB34" s="624">
        <f>261.84+27.561</f>
        <v>289.40099999999995</v>
      </c>
      <c r="AC34" s="631">
        <f t="shared" si="3"/>
        <v>1.1969452195623234</v>
      </c>
      <c r="AD34" s="10" t="s">
        <v>56</v>
      </c>
    </row>
    <row r="35" spans="1:30" ht="12.75" customHeight="1" x14ac:dyDescent="0.2">
      <c r="A35" s="8"/>
      <c r="B35" s="197" t="s">
        <v>72</v>
      </c>
      <c r="C35" s="634">
        <v>103</v>
      </c>
      <c r="D35" s="635">
        <v>149</v>
      </c>
      <c r="E35" s="635">
        <v>264.15699999999998</v>
      </c>
      <c r="F35" s="635">
        <v>263.8</v>
      </c>
      <c r="G35" s="635">
        <v>263</v>
      </c>
      <c r="H35" s="635">
        <v>253.10900000000001</v>
      </c>
      <c r="I35" s="635">
        <v>246.553</v>
      </c>
      <c r="J35" s="635">
        <v>252.03200000000001</v>
      </c>
      <c r="K35" s="635">
        <v>258.697</v>
      </c>
      <c r="L35" s="635">
        <v>266.94400000000002</v>
      </c>
      <c r="M35" s="635">
        <v>280.61</v>
      </c>
      <c r="N35" s="635">
        <v>293.70699999999999</v>
      </c>
      <c r="O35" s="635">
        <v>304.31799999999998</v>
      </c>
      <c r="P35" s="635">
        <v>312.55700000000002</v>
      </c>
      <c r="Q35" s="635">
        <v>319.69900000000001</v>
      </c>
      <c r="R35" s="635">
        <v>327.12200000000001</v>
      </c>
      <c r="S35" s="635">
        <v>355.16400000000004</v>
      </c>
      <c r="T35" s="635">
        <v>363.64400000000001</v>
      </c>
      <c r="U35" s="635">
        <v>376.09199999999998</v>
      </c>
      <c r="V35" s="635">
        <v>394.71800000000002</v>
      </c>
      <c r="W35" s="635">
        <v>424.49800000000005</v>
      </c>
      <c r="X35" s="635">
        <v>443.91199999999998</v>
      </c>
      <c r="Y35" s="635">
        <v>464.40800000000002</v>
      </c>
      <c r="Z35" s="635">
        <v>488.93900000000002</v>
      </c>
      <c r="AA35" s="635">
        <v>508.01100000000002</v>
      </c>
      <c r="AB35" s="635">
        <f>391.952+134.146</f>
        <v>526.09799999999996</v>
      </c>
      <c r="AC35" s="633">
        <f t="shared" si="3"/>
        <v>3.5603559765438035</v>
      </c>
      <c r="AD35" s="197" t="s">
        <v>72</v>
      </c>
    </row>
    <row r="36" spans="1:30" ht="12.75" customHeight="1" x14ac:dyDescent="0.2">
      <c r="A36" s="8"/>
      <c r="B36" s="10" t="s">
        <v>73</v>
      </c>
      <c r="C36" s="627">
        <v>145</v>
      </c>
      <c r="D36" s="624">
        <v>181.57</v>
      </c>
      <c r="E36" s="624">
        <v>309.52</v>
      </c>
      <c r="F36" s="624">
        <v>309.81</v>
      </c>
      <c r="G36" s="624">
        <v>304.99</v>
      </c>
      <c r="H36" s="624">
        <v>305.68600000000004</v>
      </c>
      <c r="I36" s="624">
        <v>307.916</v>
      </c>
      <c r="J36" s="624">
        <v>307.709</v>
      </c>
      <c r="K36" s="624">
        <v>311.75099999999998</v>
      </c>
      <c r="L36" s="624">
        <v>321.31</v>
      </c>
      <c r="M36" s="624">
        <v>337.97300000000001</v>
      </c>
      <c r="N36" s="624">
        <v>354.29300000000001</v>
      </c>
      <c r="O36" s="624">
        <v>374.22199999999998</v>
      </c>
      <c r="P36" s="624">
        <v>395.69299999999998</v>
      </c>
      <c r="Q36" s="624">
        <v>408.94</v>
      </c>
      <c r="R36" s="624">
        <v>421.56099999999998</v>
      </c>
      <c r="S36" s="624">
        <v>439.98500000000001</v>
      </c>
      <c r="T36" s="624">
        <v>461.161</v>
      </c>
      <c r="U36" s="624">
        <v>479.79399999999998</v>
      </c>
      <c r="V36" s="624">
        <v>504.08499999999998</v>
      </c>
      <c r="W36" s="624">
        <v>510.19900000000001</v>
      </c>
      <c r="X36" s="624">
        <v>514.57600000000002</v>
      </c>
      <c r="Y36" s="624">
        <v>526.44100000000003</v>
      </c>
      <c r="Z36" s="624">
        <v>548.27200000000005</v>
      </c>
      <c r="AA36" s="624">
        <v>556.82100000000003</v>
      </c>
      <c r="AB36" s="624">
        <v>565.18200000000002</v>
      </c>
      <c r="AC36" s="631">
        <f t="shared" si="3"/>
        <v>1.501559747207807</v>
      </c>
      <c r="AD36" s="10" t="s">
        <v>73</v>
      </c>
    </row>
    <row r="37" spans="1:30" ht="12.75" customHeight="1" x14ac:dyDescent="0.2">
      <c r="A37" s="8"/>
      <c r="B37" s="199" t="s">
        <v>62</v>
      </c>
      <c r="C37" s="642">
        <v>1749</v>
      </c>
      <c r="D37" s="643">
        <v>1828</v>
      </c>
      <c r="E37" s="643">
        <v>2706</v>
      </c>
      <c r="F37" s="643">
        <v>2640</v>
      </c>
      <c r="G37" s="643">
        <v>2639</v>
      </c>
      <c r="H37" s="643">
        <v>2589</v>
      </c>
      <c r="I37" s="643">
        <v>2585</v>
      </c>
      <c r="J37" s="643">
        <v>2565</v>
      </c>
      <c r="K37" s="643">
        <v>2618</v>
      </c>
      <c r="L37" s="644">
        <v>2679</v>
      </c>
      <c r="M37" s="643">
        <v>2789</v>
      </c>
      <c r="N37" s="643">
        <v>2872.7</v>
      </c>
      <c r="O37" s="643">
        <v>2928.3</v>
      </c>
      <c r="P37" s="643">
        <v>3019.6</v>
      </c>
      <c r="Q37" s="643">
        <v>3111.9</v>
      </c>
      <c r="R37" s="643">
        <v>3236.6</v>
      </c>
      <c r="S37" s="643">
        <v>3425.2</v>
      </c>
      <c r="T37" s="643">
        <v>3552.4</v>
      </c>
      <c r="U37" s="643">
        <v>3641.1</v>
      </c>
      <c r="V37" s="643">
        <v>3778.7000000000003</v>
      </c>
      <c r="W37" s="643">
        <v>3805.8</v>
      </c>
      <c r="X37" s="643">
        <v>3782.07</v>
      </c>
      <c r="Y37" s="643">
        <v>3796.8630000000003</v>
      </c>
      <c r="Z37" s="643">
        <v>3833.2350000000001</v>
      </c>
      <c r="AA37" s="643">
        <f>3280.6+460.6+97.087+22.384</f>
        <v>3860.6709999999998</v>
      </c>
      <c r="AB37" s="643">
        <f>3353.9+468.9+117.498</f>
        <v>3940.2980000000002</v>
      </c>
      <c r="AC37" s="645">
        <f t="shared" si="3"/>
        <v>2.0625171116627143</v>
      </c>
      <c r="AD37" s="199" t="s">
        <v>62</v>
      </c>
    </row>
    <row r="38" spans="1:30" ht="12.75" customHeight="1" x14ac:dyDescent="0.2">
      <c r="A38" s="8"/>
      <c r="B38" s="529" t="s">
        <v>234</v>
      </c>
      <c r="C38" s="646"/>
      <c r="D38" s="615"/>
      <c r="E38" s="624"/>
      <c r="F38" s="624"/>
      <c r="G38" s="624"/>
      <c r="H38" s="624">
        <v>39.335000000000001</v>
      </c>
      <c r="I38" s="624">
        <v>51.113</v>
      </c>
      <c r="J38" s="624">
        <v>29.123999999999999</v>
      </c>
      <c r="K38" s="624">
        <v>30.612000000000002</v>
      </c>
      <c r="L38" s="624">
        <v>33.256</v>
      </c>
      <c r="M38" s="624">
        <v>37.109000000000002</v>
      </c>
      <c r="N38" s="624">
        <v>37.125999999999998</v>
      </c>
      <c r="O38" s="624">
        <v>45.575000000000003</v>
      </c>
      <c r="P38" s="624">
        <v>52.320999999999998</v>
      </c>
      <c r="Q38" s="624">
        <v>54.63</v>
      </c>
      <c r="R38" s="624">
        <v>56.856999999999999</v>
      </c>
      <c r="S38" s="624">
        <v>48.774999999999999</v>
      </c>
      <c r="T38" s="624">
        <v>47.332999999999998</v>
      </c>
      <c r="U38" s="624">
        <v>41.318000000000005</v>
      </c>
      <c r="V38" s="624">
        <v>61.621000000000002</v>
      </c>
      <c r="W38" s="624">
        <v>79.054000000000002</v>
      </c>
      <c r="X38" s="624">
        <v>79.900999999999996</v>
      </c>
      <c r="Y38" s="624">
        <v>84.311000000000007</v>
      </c>
      <c r="Z38" s="624">
        <v>71.290999999999997</v>
      </c>
      <c r="AA38" s="624">
        <v>60.164999999999999</v>
      </c>
      <c r="AB38" s="624">
        <v>65.260000000000005</v>
      </c>
      <c r="AC38" s="631">
        <f t="shared" si="3"/>
        <v>8.4683786254466895</v>
      </c>
      <c r="AD38" s="530" t="s">
        <v>234</v>
      </c>
    </row>
    <row r="39" spans="1:30" ht="12.75" customHeight="1" x14ac:dyDescent="0.2">
      <c r="A39" s="8"/>
      <c r="B39" s="197" t="s">
        <v>223</v>
      </c>
      <c r="C39" s="634"/>
      <c r="D39" s="635"/>
      <c r="E39" s="635"/>
      <c r="F39" s="635"/>
      <c r="G39" s="635"/>
      <c r="H39" s="635"/>
      <c r="I39" s="635"/>
      <c r="J39" s="635"/>
      <c r="K39" s="635"/>
      <c r="L39" s="635"/>
      <c r="M39" s="635"/>
      <c r="N39" s="635"/>
      <c r="O39" s="635"/>
      <c r="P39" s="635"/>
      <c r="Q39" s="635"/>
      <c r="R39" s="635"/>
      <c r="S39" s="635"/>
      <c r="T39" s="635"/>
      <c r="U39" s="635"/>
      <c r="V39" s="635"/>
      <c r="W39" s="635"/>
      <c r="X39" s="635"/>
      <c r="Y39" s="635"/>
      <c r="Z39" s="635">
        <f>12.394+1.095</f>
        <v>13.489000000000001</v>
      </c>
      <c r="AA39" s="635">
        <f>1.03+12.638</f>
        <v>13.667999999999999</v>
      </c>
      <c r="AB39" s="635">
        <f>12.848+0.959</f>
        <v>13.807</v>
      </c>
      <c r="AC39" s="633">
        <f t="shared" si="3"/>
        <v>1.0169739537606119</v>
      </c>
      <c r="AD39" s="197" t="s">
        <v>223</v>
      </c>
    </row>
    <row r="40" spans="1:30" ht="12.75" customHeight="1" x14ac:dyDescent="0.2">
      <c r="A40" s="8"/>
      <c r="B40" s="530" t="s">
        <v>1</v>
      </c>
      <c r="C40" s="627"/>
      <c r="D40" s="624"/>
      <c r="E40" s="624"/>
      <c r="F40" s="624"/>
      <c r="G40" s="624"/>
      <c r="H40" s="624">
        <v>20.103999999999999</v>
      </c>
      <c r="I40" s="624">
        <v>20.026</v>
      </c>
      <c r="J40" s="624">
        <v>22.558</v>
      </c>
      <c r="K40" s="624">
        <v>21.937000000000001</v>
      </c>
      <c r="L40" s="624">
        <v>23.286000000000001</v>
      </c>
      <c r="M40" s="624">
        <v>23.44</v>
      </c>
      <c r="N40" s="624">
        <v>23.47</v>
      </c>
      <c r="O40" s="624">
        <v>24.628</v>
      </c>
      <c r="P40" s="624">
        <v>25.896000000000001</v>
      </c>
      <c r="Q40" s="624">
        <v>24.318000000000001</v>
      </c>
      <c r="R40" s="624">
        <f>19.042+3.952</f>
        <v>22.994</v>
      </c>
      <c r="S40" s="624">
        <f>15.196+3.194</f>
        <v>18.39</v>
      </c>
      <c r="T40" s="624">
        <f>14.702+3.339</f>
        <v>18.041</v>
      </c>
      <c r="U40" s="624">
        <f>13.545+3.411</f>
        <v>16.956</v>
      </c>
      <c r="V40" s="624">
        <f>12.981+3.575</f>
        <v>16.556000000000001</v>
      </c>
      <c r="W40" s="624">
        <f>13.325+3.94</f>
        <v>17.265000000000001</v>
      </c>
      <c r="X40" s="629">
        <f>27.771+4.263</f>
        <v>32.033999999999999</v>
      </c>
      <c r="Y40" s="624">
        <f>28.795+4.505</f>
        <v>33.300000000000004</v>
      </c>
      <c r="Z40" s="624">
        <f>27.917+4.636</f>
        <v>32.553000000000004</v>
      </c>
      <c r="AA40" s="624">
        <f>26.542+4.219</f>
        <v>30.761000000000003</v>
      </c>
      <c r="AB40" s="624">
        <f>30.167+4.934</f>
        <v>35.100999999999999</v>
      </c>
      <c r="AC40" s="631">
        <f t="shared" si="3"/>
        <v>14.108774097070963</v>
      </c>
      <c r="AD40" s="530" t="s">
        <v>1</v>
      </c>
    </row>
    <row r="41" spans="1:30" ht="12.75" customHeight="1" x14ac:dyDescent="0.2">
      <c r="A41" s="8"/>
      <c r="B41" s="197" t="s">
        <v>222</v>
      </c>
      <c r="C41" s="634"/>
      <c r="D41" s="635"/>
      <c r="E41" s="635"/>
      <c r="F41" s="635"/>
      <c r="G41" s="635"/>
      <c r="H41" s="635"/>
      <c r="I41" s="635"/>
      <c r="J41" s="635"/>
      <c r="K41" s="635"/>
      <c r="L41" s="635"/>
      <c r="M41" s="635"/>
      <c r="N41" s="635"/>
      <c r="O41" s="635"/>
      <c r="P41" s="635">
        <v>100.724</v>
      </c>
      <c r="Q41" s="635">
        <v>98.242000000000004</v>
      </c>
      <c r="R41" s="635">
        <v>102.916</v>
      </c>
      <c r="S41" s="635">
        <v>110.91200000000001</v>
      </c>
      <c r="T41" s="635">
        <v>118.259</v>
      </c>
      <c r="U41" s="635">
        <v>127.90900000000001</v>
      </c>
      <c r="V41" s="635">
        <v>131.459</v>
      </c>
      <c r="W41" s="635">
        <v>140.92099999999999</v>
      </c>
      <c r="X41" s="635">
        <v>149.68899999999999</v>
      </c>
      <c r="Y41" s="636">
        <v>151.68700000000001</v>
      </c>
      <c r="Z41" s="635">
        <v>159.45500000000001</v>
      </c>
      <c r="AA41" s="635">
        <v>144.07499999999999</v>
      </c>
      <c r="AB41" s="635">
        <v>140.81899999999999</v>
      </c>
      <c r="AC41" s="633">
        <f t="shared" si="3"/>
        <v>-2.259934062120422</v>
      </c>
      <c r="AD41" s="197" t="s">
        <v>222</v>
      </c>
    </row>
    <row r="42" spans="1:30" ht="12.75" customHeight="1" x14ac:dyDescent="0.2">
      <c r="A42" s="8"/>
      <c r="B42" s="531" t="s">
        <v>58</v>
      </c>
      <c r="C42" s="647"/>
      <c r="D42" s="648" t="s">
        <v>83</v>
      </c>
      <c r="E42" s="648" t="s">
        <v>83</v>
      </c>
      <c r="F42" s="648"/>
      <c r="G42" s="648">
        <f>308.18+379.41</f>
        <v>687.59</v>
      </c>
      <c r="H42" s="648">
        <f>354.29+406.398</f>
        <v>760.6880000000001</v>
      </c>
      <c r="I42" s="648">
        <f>374.473+419.374</f>
        <v>793.84699999999998</v>
      </c>
      <c r="J42" s="648">
        <f>397.743+432.216</f>
        <v>829.95900000000006</v>
      </c>
      <c r="K42" s="648">
        <f>442.788+453.796</f>
        <v>896.58400000000006</v>
      </c>
      <c r="L42" s="648">
        <f>529.838+489.071</f>
        <v>1018.909</v>
      </c>
      <c r="M42" s="648">
        <f>626.004+519.749</f>
        <v>1145.7530000000002</v>
      </c>
      <c r="N42" s="648">
        <f>692.935+531.69</f>
        <v>1224.625</v>
      </c>
      <c r="O42" s="648">
        <f>794.459+557.295</f>
        <v>1351.7539999999999</v>
      </c>
      <c r="P42" s="648">
        <f>833.175+562.063</f>
        <v>1395.2379999999998</v>
      </c>
      <c r="Q42" s="648">
        <f>875.381+567.152</f>
        <v>1442.5329999999999</v>
      </c>
      <c r="R42" s="648">
        <f>973.457+579.01</f>
        <v>1552.4670000000001</v>
      </c>
      <c r="S42" s="648">
        <f>1259.867+647.42</f>
        <v>1907.2869999999998</v>
      </c>
      <c r="T42" s="648">
        <f>1475.057+676.929</f>
        <v>2151.9859999999999</v>
      </c>
      <c r="U42" s="648">
        <f>1695.624+709.535</f>
        <v>2405.1590000000001</v>
      </c>
      <c r="V42" s="648">
        <f>1890.459+729.202</f>
        <v>2619.6610000000001</v>
      </c>
      <c r="W42" s="648">
        <f>2066.007+744.217</f>
        <v>2810.2240000000002</v>
      </c>
      <c r="X42" s="648">
        <f>2204.951+727.302</f>
        <v>2932.2530000000002</v>
      </c>
      <c r="Y42" s="648">
        <f>2399.038+726.359</f>
        <v>3125.3969999999999</v>
      </c>
      <c r="Z42" s="648">
        <f>2611.104+728.458</f>
        <v>3339.5619999999999</v>
      </c>
      <c r="AA42" s="648">
        <f>2794.606+751.65</f>
        <v>3546.2560000000003</v>
      </c>
      <c r="AB42" s="648">
        <f>2933.05+755.95</f>
        <v>3689</v>
      </c>
      <c r="AC42" s="649">
        <f t="shared" si="3"/>
        <v>4.0252029182326226</v>
      </c>
      <c r="AD42" s="531" t="s">
        <v>58</v>
      </c>
    </row>
    <row r="43" spans="1:30" ht="12.75" customHeight="1" x14ac:dyDescent="0.2">
      <c r="A43" s="8"/>
      <c r="B43" s="195" t="s">
        <v>44</v>
      </c>
      <c r="C43" s="650"/>
      <c r="D43" s="651" t="s">
        <v>83</v>
      </c>
      <c r="E43" s="651">
        <f>7.707+5.415</f>
        <v>13.122</v>
      </c>
      <c r="F43" s="651">
        <f>7.615+7.008</f>
        <v>14.623000000000001</v>
      </c>
      <c r="G43" s="651">
        <f>6.777+8.068</f>
        <v>14.844999999999999</v>
      </c>
      <c r="H43" s="651">
        <f>6.506+7.945</f>
        <v>14.451000000000001</v>
      </c>
      <c r="I43" s="651">
        <f>6.392+7.956</f>
        <v>14.348000000000001</v>
      </c>
      <c r="J43" s="651">
        <f>6.445+8.312</f>
        <v>14.757</v>
      </c>
      <c r="K43" s="651">
        <f>6.594+8.666</f>
        <v>15.260000000000002</v>
      </c>
      <c r="L43" s="651">
        <f>6.812+9.216</f>
        <v>16.027999999999999</v>
      </c>
      <c r="M43" s="651">
        <f>6.76+9.79</f>
        <v>16.549999999999997</v>
      </c>
      <c r="N43" s="651">
        <f>7.028+10.779</f>
        <v>17.806999999999999</v>
      </c>
      <c r="O43" s="651">
        <f>7.466+11.966</f>
        <v>19.431999999999999</v>
      </c>
      <c r="P43" s="651">
        <f>7.618+12.372</f>
        <v>19.990000000000002</v>
      </c>
      <c r="Q43" s="651">
        <f>7.664+12.614</f>
        <v>20.277999999999999</v>
      </c>
      <c r="R43" s="651">
        <f>8.04+13.195</f>
        <v>21.234999999999999</v>
      </c>
      <c r="S43" s="651">
        <v>23.035</v>
      </c>
      <c r="T43" s="651">
        <f>9.508+16.036</f>
        <v>25.544</v>
      </c>
      <c r="U43" s="651">
        <v>28.087</v>
      </c>
      <c r="V43" s="651">
        <v>31.094999999999999</v>
      </c>
      <c r="W43" s="651">
        <v>31.818999999999999</v>
      </c>
      <c r="X43" s="651">
        <f>10.458+20.465</f>
        <v>30.923000000000002</v>
      </c>
      <c r="Y43" s="651">
        <v>30.437000000000001</v>
      </c>
      <c r="Z43" s="651">
        <v>30.209</v>
      </c>
      <c r="AA43" s="651">
        <v>30.338000000000001</v>
      </c>
      <c r="AB43" s="651">
        <v>30.657</v>
      </c>
      <c r="AC43" s="652">
        <f t="shared" si="3"/>
        <v>1.0514865844815091</v>
      </c>
      <c r="AD43" s="195" t="s">
        <v>44</v>
      </c>
    </row>
    <row r="44" spans="1:30" ht="12.75" customHeight="1" x14ac:dyDescent="0.2">
      <c r="A44" s="8"/>
      <c r="B44" s="530" t="s">
        <v>74</v>
      </c>
      <c r="C44" s="627"/>
      <c r="D44" s="624" t="s">
        <v>83</v>
      </c>
      <c r="E44" s="624">
        <v>308.29899999999998</v>
      </c>
      <c r="F44" s="624">
        <v>311.06299999999999</v>
      </c>
      <c r="G44" s="624">
        <v>314.88200000000001</v>
      </c>
      <c r="H44" s="624">
        <v>323.387</v>
      </c>
      <c r="I44" s="624">
        <v>335.779</v>
      </c>
      <c r="J44" s="624">
        <v>349.50400000000002</v>
      </c>
      <c r="K44" s="624">
        <v>358.12799999999999</v>
      </c>
      <c r="L44" s="624">
        <v>377.01200000000006</v>
      </c>
      <c r="M44" s="624">
        <v>390.82900000000001</v>
      </c>
      <c r="N44" s="624">
        <v>403.03899999999999</v>
      </c>
      <c r="O44" s="624">
        <v>414.34</v>
      </c>
      <c r="P44" s="624">
        <v>426.97699999999998</v>
      </c>
      <c r="Q44" s="624">
        <v>431.02800000000002</v>
      </c>
      <c r="R44" s="624">
        <v>438.28200000000004</v>
      </c>
      <c r="S44" s="624">
        <v>449.80099999999999</v>
      </c>
      <c r="T44" s="624">
        <f>302.956+82.778+79.705</f>
        <v>465.43900000000002</v>
      </c>
      <c r="U44" s="624">
        <f>331.052+73.904+83.609</f>
        <v>488.565</v>
      </c>
      <c r="V44" s="624">
        <f>361.911+84.742+67.02</f>
        <v>513.673</v>
      </c>
      <c r="W44" s="624">
        <f>379.343+84.35+59.657</f>
        <v>523.35</v>
      </c>
      <c r="X44" s="624">
        <f>387.546+53.911+82.694</f>
        <v>524.15099999999995</v>
      </c>
      <c r="Y44" s="624">
        <f>397.279+48.432+81.33</f>
        <v>527.04100000000005</v>
      </c>
      <c r="Z44" s="624">
        <f>410.73+43.371+80.16</f>
        <v>534.26099999999997</v>
      </c>
      <c r="AA44" s="624">
        <v>542.52800000000002</v>
      </c>
      <c r="AB44" s="624">
        <f>434.636+79.437+34.232</f>
        <v>548.30499999999995</v>
      </c>
      <c r="AC44" s="631">
        <f t="shared" si="3"/>
        <v>1.0648298336675595</v>
      </c>
      <c r="AD44" s="530" t="s">
        <v>74</v>
      </c>
    </row>
    <row r="45" spans="1:30" ht="12.75" customHeight="1" x14ac:dyDescent="0.2">
      <c r="A45" s="8"/>
      <c r="B45" s="197" t="s">
        <v>45</v>
      </c>
      <c r="C45" s="634">
        <v>106.997</v>
      </c>
      <c r="D45" s="635">
        <v>169.40199999999999</v>
      </c>
      <c r="E45" s="635">
        <v>252.136</v>
      </c>
      <c r="F45" s="635">
        <v>257.64600000000002</v>
      </c>
      <c r="G45" s="635">
        <v>256.61099999999999</v>
      </c>
      <c r="H45" s="635">
        <v>253.46100000000001</v>
      </c>
      <c r="I45" s="635">
        <v>256.28500000000003</v>
      </c>
      <c r="J45" s="635">
        <v>262.35199999999998</v>
      </c>
      <c r="K45" s="635">
        <v>263.02</v>
      </c>
      <c r="L45" s="635">
        <v>264.2</v>
      </c>
      <c r="M45" s="635">
        <v>267.38</v>
      </c>
      <c r="N45" s="635">
        <v>273.95400000000001</v>
      </c>
      <c r="O45" s="635">
        <v>278.51799999999997</v>
      </c>
      <c r="P45" s="635">
        <v>285.24599999999998</v>
      </c>
      <c r="Q45" s="635">
        <v>290.142</v>
      </c>
      <c r="R45" s="635">
        <v>292.32900000000001</v>
      </c>
      <c r="S45" s="635">
        <v>298.19299999999998</v>
      </c>
      <c r="T45" s="635">
        <v>307.161</v>
      </c>
      <c r="U45" s="635">
        <v>314.04000000000002</v>
      </c>
      <c r="V45" s="635">
        <v>324.15300000000002</v>
      </c>
      <c r="W45" s="635">
        <v>326.23200000000003</v>
      </c>
      <c r="X45" s="635">
        <f>327.808</f>
        <v>327.80799999999999</v>
      </c>
      <c r="Y45" s="635">
        <v>335.2</v>
      </c>
      <c r="Z45" s="635">
        <v>348.553</v>
      </c>
      <c r="AA45" s="635">
        <v>361.92599999999999</v>
      </c>
      <c r="AB45" s="635">
        <v>371.36099999999999</v>
      </c>
      <c r="AC45" s="633">
        <f t="shared" si="3"/>
        <v>2.6068864906085878</v>
      </c>
      <c r="AD45" s="197" t="s">
        <v>45</v>
      </c>
    </row>
    <row r="46" spans="1:30" ht="12.75" customHeight="1" x14ac:dyDescent="0.2">
      <c r="A46" s="8"/>
      <c r="B46" s="531" t="s">
        <v>84</v>
      </c>
      <c r="C46" s="647"/>
      <c r="D46" s="648"/>
      <c r="E46" s="648"/>
      <c r="F46" s="648"/>
      <c r="G46" s="648"/>
      <c r="H46" s="648"/>
      <c r="I46" s="648"/>
      <c r="J46" s="648"/>
      <c r="K46" s="648"/>
      <c r="L46" s="648"/>
      <c r="M46" s="648"/>
      <c r="N46" s="648">
        <v>2.8839999999999999</v>
      </c>
      <c r="O46" s="648">
        <v>2.46</v>
      </c>
      <c r="P46" s="648">
        <v>2.6</v>
      </c>
      <c r="Q46" s="648">
        <v>2.665</v>
      </c>
      <c r="R46" s="648">
        <v>2.56</v>
      </c>
      <c r="S46" s="648">
        <v>2.5910000000000002</v>
      </c>
      <c r="T46" s="648">
        <v>2.5790000000000002</v>
      </c>
      <c r="U46" s="648">
        <v>2.5249999999999999</v>
      </c>
      <c r="V46" s="648">
        <v>2.5659999999999998</v>
      </c>
      <c r="W46" s="648">
        <v>2.6960000000000002</v>
      </c>
      <c r="X46" s="648">
        <f>2.712</f>
        <v>2.7120000000000002</v>
      </c>
      <c r="Y46" s="648">
        <v>2.7909999999999999</v>
      </c>
      <c r="Z46" s="648">
        <v>2.89</v>
      </c>
      <c r="AA46" s="648">
        <v>3.0219999999999998</v>
      </c>
      <c r="AB46" s="648">
        <v>3.0859999999999999</v>
      </c>
      <c r="AC46" s="649">
        <f t="shared" si="3"/>
        <v>2.1178027796161558</v>
      </c>
      <c r="AD46" s="531" t="s">
        <v>84</v>
      </c>
    </row>
    <row r="47" spans="1:30" ht="30" customHeight="1" x14ac:dyDescent="0.2">
      <c r="B47" s="975" t="s">
        <v>210</v>
      </c>
      <c r="C47" s="975"/>
      <c r="D47" s="975"/>
      <c r="E47" s="975"/>
      <c r="F47" s="975"/>
      <c r="G47" s="975"/>
      <c r="H47" s="975"/>
      <c r="I47" s="975"/>
      <c r="J47" s="975"/>
      <c r="K47" s="975"/>
      <c r="L47" s="975"/>
      <c r="M47" s="975"/>
      <c r="N47" s="975"/>
      <c r="O47" s="975"/>
      <c r="P47" s="975"/>
      <c r="Q47" s="975"/>
      <c r="R47" s="975"/>
      <c r="S47" s="975"/>
      <c r="T47" s="975"/>
      <c r="U47" s="976"/>
      <c r="V47" s="976"/>
      <c r="W47" s="976"/>
      <c r="X47" s="976"/>
      <c r="Y47" s="976"/>
      <c r="Z47" s="976"/>
      <c r="AA47" s="976"/>
      <c r="AB47" s="976"/>
      <c r="AC47" s="976"/>
      <c r="AD47" s="976"/>
    </row>
    <row r="48" spans="1:30" ht="12.75" customHeight="1" x14ac:dyDescent="0.2">
      <c r="B48" s="972" t="s">
        <v>181</v>
      </c>
      <c r="C48" s="967"/>
      <c r="D48" s="967"/>
      <c r="E48" s="967"/>
      <c r="F48" s="967"/>
      <c r="G48" s="967"/>
      <c r="H48" s="967"/>
      <c r="I48" s="967"/>
      <c r="J48" s="967"/>
      <c r="K48" s="967"/>
      <c r="L48" s="967"/>
      <c r="M48" s="967"/>
      <c r="N48" s="967"/>
      <c r="O48" s="967"/>
      <c r="P48" s="967"/>
      <c r="Q48" s="967"/>
      <c r="R48" s="967"/>
      <c r="S48" s="967"/>
      <c r="T48" s="967"/>
      <c r="U48" s="967"/>
      <c r="V48" s="967"/>
      <c r="W48" s="967"/>
      <c r="X48" s="967"/>
      <c r="Y48" s="967"/>
      <c r="Z48" s="967"/>
      <c r="AA48" s="967"/>
      <c r="AB48" s="967"/>
      <c r="AC48" s="967"/>
      <c r="AD48" s="967"/>
    </row>
    <row r="49" spans="2:30" ht="12.75" customHeight="1" x14ac:dyDescent="0.2">
      <c r="B49" s="974" t="s">
        <v>226</v>
      </c>
      <c r="C49" s="974"/>
      <c r="D49" s="974"/>
      <c r="E49" s="974"/>
      <c r="F49" s="974"/>
      <c r="G49" s="974"/>
      <c r="H49" s="974"/>
      <c r="I49" s="974"/>
      <c r="J49" s="974"/>
      <c r="K49" s="974"/>
      <c r="L49" s="974"/>
      <c r="M49" s="974"/>
      <c r="N49" s="974"/>
      <c r="O49" s="974"/>
      <c r="P49" s="974"/>
      <c r="Q49" s="974"/>
      <c r="R49" s="974"/>
      <c r="S49" s="974"/>
      <c r="T49" s="974"/>
      <c r="U49" s="974"/>
      <c r="V49" s="974"/>
      <c r="W49" s="974"/>
      <c r="X49" s="974"/>
      <c r="Y49" s="974"/>
      <c r="Z49" s="974"/>
      <c r="AA49" s="974"/>
      <c r="AB49" s="974"/>
      <c r="AC49" s="974"/>
      <c r="AD49" s="974"/>
    </row>
    <row r="50" spans="2:30" ht="12" customHeight="1" x14ac:dyDescent="0.2">
      <c r="B50" s="974" t="s">
        <v>182</v>
      </c>
      <c r="C50" s="974"/>
      <c r="D50" s="974"/>
      <c r="E50" s="974"/>
      <c r="F50" s="974"/>
      <c r="G50" s="974"/>
      <c r="H50" s="974"/>
      <c r="I50" s="974"/>
      <c r="J50" s="974"/>
      <c r="K50" s="974"/>
      <c r="L50" s="974"/>
      <c r="M50" s="974"/>
      <c r="N50" s="974"/>
      <c r="O50" s="974"/>
      <c r="P50" s="974"/>
      <c r="Q50" s="974"/>
      <c r="R50" s="974"/>
      <c r="S50" s="974"/>
      <c r="T50" s="974"/>
      <c r="U50" s="974"/>
      <c r="V50" s="974"/>
      <c r="W50" s="974"/>
      <c r="X50" s="974"/>
      <c r="Y50" s="974"/>
      <c r="Z50" s="974"/>
      <c r="AA50" s="974"/>
      <c r="AB50" s="974"/>
      <c r="AC50" s="974"/>
      <c r="AD50" s="974"/>
    </row>
    <row r="51" spans="2:30" x14ac:dyDescent="0.2">
      <c r="B51" s="3" t="s">
        <v>225</v>
      </c>
      <c r="U51" s="433"/>
      <c r="V51" s="433"/>
      <c r="W51" s="433"/>
      <c r="X51" s="433"/>
      <c r="Y51" s="433"/>
      <c r="Z51" s="433"/>
      <c r="AA51" s="433"/>
      <c r="AB51" s="433"/>
    </row>
    <row r="52" spans="2:30" x14ac:dyDescent="0.2">
      <c r="J52" s="433"/>
      <c r="K52" s="433"/>
      <c r="L52" s="433"/>
      <c r="M52" s="433"/>
      <c r="N52" s="433"/>
      <c r="O52" s="433"/>
      <c r="P52" s="433"/>
      <c r="Q52" s="433"/>
      <c r="R52" s="433"/>
      <c r="S52" s="433"/>
      <c r="T52" s="433"/>
      <c r="U52" s="433"/>
      <c r="V52" s="433"/>
      <c r="W52" s="433"/>
      <c r="X52" s="433"/>
      <c r="Y52" s="433"/>
      <c r="Z52" s="433"/>
      <c r="AA52" s="433"/>
      <c r="AB52" s="433"/>
    </row>
    <row r="53" spans="2:30" x14ac:dyDescent="0.2">
      <c r="E53" s="473"/>
      <c r="X53" s="433"/>
    </row>
  </sheetData>
  <mergeCells count="7">
    <mergeCell ref="B48:AD48"/>
    <mergeCell ref="B49:AD49"/>
    <mergeCell ref="B50:AD50"/>
    <mergeCell ref="B1:C1"/>
    <mergeCell ref="B2:AD2"/>
    <mergeCell ref="B3:AD3"/>
    <mergeCell ref="B47:AD47"/>
  </mergeCells>
  <phoneticPr fontId="4" type="noConversion"/>
  <printOptions horizontalCentered="1"/>
  <pageMargins left="0.6692913385826772" right="0.6692913385826772" top="0.51181102362204722" bottom="0.27559055118110237" header="0" footer="0"/>
  <pageSetup paperSize="9" scale="8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11">
    <pageSetUpPr fitToPage="1"/>
  </sheetPr>
  <dimension ref="A1:AO98"/>
  <sheetViews>
    <sheetView topLeftCell="N1" zoomScaleNormal="100" workbookViewId="0">
      <selection activeCell="AA23" sqref="AA23"/>
    </sheetView>
  </sheetViews>
  <sheetFormatPr defaultRowHeight="12.75" x14ac:dyDescent="0.2"/>
  <cols>
    <col min="1" max="1" width="3.7109375" customWidth="1"/>
    <col min="2" max="2" width="4" customWidth="1"/>
    <col min="3" max="3" width="7.28515625" style="1" customWidth="1"/>
    <col min="4" max="7" width="7.28515625" style="1" hidden="1" customWidth="1"/>
    <col min="8" max="13" width="7.28515625" customWidth="1"/>
    <col min="14" max="20" width="7.7109375" customWidth="1"/>
    <col min="21" max="21" width="7.7109375" style="526" customWidth="1"/>
    <col min="22" max="22" width="6.7109375" customWidth="1"/>
    <col min="23" max="23" width="7.5703125" customWidth="1"/>
    <col min="24" max="41" width="9.140625" style="526"/>
  </cols>
  <sheetData>
    <row r="1" spans="1:41" ht="14.25" customHeight="1" x14ac:dyDescent="0.2">
      <c r="B1" s="32"/>
      <c r="C1" s="91"/>
      <c r="D1" s="91"/>
      <c r="E1" s="91"/>
      <c r="F1" s="91"/>
      <c r="G1" s="91"/>
      <c r="H1" s="26"/>
      <c r="I1" s="26"/>
      <c r="W1" s="17" t="s">
        <v>152</v>
      </c>
    </row>
    <row r="2" spans="1:41" s="46" customFormat="1" ht="30" customHeight="1" x14ac:dyDescent="0.2">
      <c r="B2" s="978" t="s">
        <v>15</v>
      </c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563"/>
      <c r="Y2" s="563"/>
      <c r="Z2" s="563"/>
      <c r="AA2" s="563"/>
      <c r="AB2" s="563"/>
      <c r="AC2" s="563"/>
      <c r="AD2" s="563"/>
      <c r="AE2" s="563"/>
      <c r="AF2" s="563"/>
      <c r="AG2" s="563"/>
      <c r="AH2" s="563"/>
      <c r="AI2" s="563"/>
      <c r="AJ2" s="563"/>
      <c r="AK2" s="563"/>
      <c r="AL2" s="563"/>
      <c r="AM2" s="563"/>
      <c r="AN2" s="563"/>
      <c r="AO2" s="563"/>
    </row>
    <row r="3" spans="1:41" ht="15" customHeight="1" x14ac:dyDescent="0.2">
      <c r="B3" s="979" t="s">
        <v>114</v>
      </c>
      <c r="C3" s="979"/>
      <c r="D3" s="979"/>
      <c r="E3" s="979"/>
      <c r="F3" s="979"/>
      <c r="G3" s="979"/>
      <c r="H3" s="979"/>
      <c r="I3" s="979"/>
      <c r="J3" s="979"/>
      <c r="K3" s="979"/>
      <c r="L3" s="979"/>
      <c r="M3" s="979"/>
      <c r="N3" s="979"/>
      <c r="O3" s="979"/>
      <c r="P3" s="979"/>
      <c r="Q3" s="979"/>
      <c r="R3" s="979"/>
      <c r="S3" s="979"/>
      <c r="T3" s="979"/>
      <c r="U3" s="979"/>
      <c r="V3" s="979"/>
      <c r="W3" s="979"/>
    </row>
    <row r="4" spans="1:41" ht="12.75" customHeight="1" x14ac:dyDescent="0.2">
      <c r="B4" s="4"/>
      <c r="C4" s="4"/>
      <c r="D4" s="4"/>
      <c r="E4" s="4"/>
      <c r="F4" s="4"/>
      <c r="G4" s="4"/>
      <c r="H4" s="24"/>
      <c r="P4" s="37"/>
      <c r="Q4" s="37" t="s">
        <v>3</v>
      </c>
      <c r="R4" s="64"/>
      <c r="S4" s="64"/>
      <c r="T4" s="64"/>
      <c r="U4" s="64"/>
      <c r="W4" s="64"/>
    </row>
    <row r="5" spans="1:41" ht="20.100000000000001" customHeight="1" x14ac:dyDescent="0.2">
      <c r="B5" s="4"/>
      <c r="C5" s="101">
        <v>1995</v>
      </c>
      <c r="D5" s="102">
        <v>1996</v>
      </c>
      <c r="E5" s="102">
        <v>1997</v>
      </c>
      <c r="F5" s="102">
        <v>1998</v>
      </c>
      <c r="G5" s="102">
        <v>1999</v>
      </c>
      <c r="H5" s="102">
        <v>2000</v>
      </c>
      <c r="I5" s="102">
        <v>2001</v>
      </c>
      <c r="J5" s="102">
        <v>2002</v>
      </c>
      <c r="K5" s="102">
        <v>2003</v>
      </c>
      <c r="L5" s="102">
        <v>2004</v>
      </c>
      <c r="M5" s="102">
        <v>2005</v>
      </c>
      <c r="N5" s="102">
        <v>2006</v>
      </c>
      <c r="O5" s="102">
        <v>2007</v>
      </c>
      <c r="P5" s="102">
        <v>2008</v>
      </c>
      <c r="Q5" s="102">
        <v>2009</v>
      </c>
      <c r="R5" s="102">
        <v>2010</v>
      </c>
      <c r="S5" s="102">
        <v>2011</v>
      </c>
      <c r="T5" s="102">
        <v>2012</v>
      </c>
      <c r="U5" s="102">
        <v>2013</v>
      </c>
      <c r="V5" s="117" t="s">
        <v>235</v>
      </c>
      <c r="W5" s="6"/>
    </row>
    <row r="6" spans="1:41" ht="9.9499999999999993" customHeight="1" x14ac:dyDescent="0.2">
      <c r="B6" s="4"/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227" t="s">
        <v>106</v>
      </c>
      <c r="W6" s="6"/>
    </row>
    <row r="7" spans="1:41" ht="12.75" customHeight="1" x14ac:dyDescent="0.2">
      <c r="B7" s="59" t="s">
        <v>236</v>
      </c>
      <c r="C7" s="653"/>
      <c r="D7" s="654"/>
      <c r="E7" s="654"/>
      <c r="F7" s="654"/>
      <c r="G7" s="654"/>
      <c r="H7" s="605">
        <f t="shared" ref="H7:M7" si="0">SUM(H10:H37)</f>
        <v>23389.220999999994</v>
      </c>
      <c r="I7" s="605">
        <f t="shared" si="0"/>
        <v>26129.616000000005</v>
      </c>
      <c r="J7" s="605">
        <f t="shared" si="0"/>
        <v>27147.539000000012</v>
      </c>
      <c r="K7" s="605">
        <f t="shared" si="0"/>
        <v>28044.076999999994</v>
      </c>
      <c r="L7" s="605">
        <f t="shared" si="0"/>
        <v>28563.183000000005</v>
      </c>
      <c r="M7" s="605">
        <f t="shared" si="0"/>
        <v>29831.85</v>
      </c>
      <c r="N7" s="605">
        <f t="shared" ref="N7:R7" si="1">SUM(N10:N37)</f>
        <v>30867.71899999999</v>
      </c>
      <c r="O7" s="605">
        <f t="shared" si="1"/>
        <v>32954.909999999996</v>
      </c>
      <c r="P7" s="605">
        <f t="shared" si="1"/>
        <v>34171.734999999993</v>
      </c>
      <c r="Q7" s="605">
        <f t="shared" si="1"/>
        <v>34223.315000000002</v>
      </c>
      <c r="R7" s="605">
        <f t="shared" si="1"/>
        <v>34395.269099999998</v>
      </c>
      <c r="S7" s="605">
        <f>SUM(S10:S37)</f>
        <v>34919.056000000004</v>
      </c>
      <c r="T7" s="605">
        <f>SUM(T10:T37)</f>
        <v>34497.905999999995</v>
      </c>
      <c r="U7" s="606">
        <f>SUM(U10:U37)</f>
        <v>34581.146200000003</v>
      </c>
      <c r="V7" s="228">
        <f>U7/T7*100-100</f>
        <v>0.24129058731855935</v>
      </c>
      <c r="W7" s="59" t="s">
        <v>236</v>
      </c>
    </row>
    <row r="8" spans="1:41" ht="12.75" customHeight="1" x14ac:dyDescent="0.2">
      <c r="A8" s="3"/>
      <c r="B8" s="57" t="s">
        <v>241</v>
      </c>
      <c r="C8" s="655"/>
      <c r="D8" s="656"/>
      <c r="E8" s="656"/>
      <c r="F8" s="656"/>
      <c r="G8" s="656"/>
      <c r="H8" s="656">
        <f t="shared" ref="H8:M8" si="2">H10+H13+H14+H17+H18+H19+H16+H21+H25+H28+H29+H31+H35+H36+H37</f>
        <v>20805.456999999999</v>
      </c>
      <c r="I8" s="656">
        <f t="shared" si="2"/>
        <v>23530.213</v>
      </c>
      <c r="J8" s="656">
        <f t="shared" si="2"/>
        <v>24366.145000000008</v>
      </c>
      <c r="K8" s="656">
        <f t="shared" si="2"/>
        <v>25275.67</v>
      </c>
      <c r="L8" s="656">
        <f t="shared" si="2"/>
        <v>26163.246000000003</v>
      </c>
      <c r="M8" s="656">
        <f t="shared" si="2"/>
        <v>27127.553999999996</v>
      </c>
      <c r="N8" s="656">
        <f t="shared" ref="N8:R8" si="3">N10+N13+N14+N17+N18+N19+N16+N21+N25+N28+N29+N31+N35+N36+N37</f>
        <v>28072.128999999997</v>
      </c>
      <c r="O8" s="656">
        <f t="shared" si="3"/>
        <v>30014.730000000003</v>
      </c>
      <c r="P8" s="656">
        <f t="shared" si="3"/>
        <v>30843.061999999998</v>
      </c>
      <c r="Q8" s="656">
        <f t="shared" si="3"/>
        <v>30664.346000000001</v>
      </c>
      <c r="R8" s="656">
        <f t="shared" si="3"/>
        <v>30687.584000000003</v>
      </c>
      <c r="S8" s="656">
        <f>S10+S13+S14+S17+S18+S19+S16+S21+S25+S28+S29+S31+S35+S36+S37</f>
        <v>30995.031999999996</v>
      </c>
      <c r="T8" s="656">
        <f>T10+T13+T14+T17+T18+T19+T16+T21+T25+T28+T29+T31+T35+T36+T37</f>
        <v>30411.110000000004</v>
      </c>
      <c r="U8" s="657">
        <f>U10+U13+U14+U17+U18+U19+U16+U21+U25+U28+U29+U31+U35+U36+U37</f>
        <v>30351.490199999997</v>
      </c>
      <c r="V8" s="229">
        <f t="shared" ref="V8:V46" si="4">U8/T8*100-100</f>
        <v>-0.19604611604117395</v>
      </c>
      <c r="W8" s="57" t="s">
        <v>241</v>
      </c>
    </row>
    <row r="9" spans="1:41" ht="12.75" customHeight="1" x14ac:dyDescent="0.2">
      <c r="A9" s="3"/>
      <c r="B9" s="58" t="s">
        <v>245</v>
      </c>
      <c r="C9" s="658"/>
      <c r="D9" s="659"/>
      <c r="E9" s="659"/>
      <c r="F9" s="659"/>
      <c r="G9" s="659"/>
      <c r="H9" s="659">
        <f t="shared" ref="H9:Q9" si="5">H7-H8</f>
        <v>2583.7639999999956</v>
      </c>
      <c r="I9" s="659">
        <f t="shared" si="5"/>
        <v>2599.4030000000057</v>
      </c>
      <c r="J9" s="659">
        <f t="shared" si="5"/>
        <v>2781.3940000000039</v>
      </c>
      <c r="K9" s="659">
        <f t="shared" si="5"/>
        <v>2768.4069999999956</v>
      </c>
      <c r="L9" s="659">
        <f t="shared" si="5"/>
        <v>2399.9370000000017</v>
      </c>
      <c r="M9" s="659">
        <f t="shared" si="5"/>
        <v>2704.2960000000021</v>
      </c>
      <c r="N9" s="659">
        <f>N7-N8</f>
        <v>2795.5899999999929</v>
      </c>
      <c r="O9" s="659">
        <f>O7-O8</f>
        <v>2940.179999999993</v>
      </c>
      <c r="P9" s="659">
        <f>P7-P8</f>
        <v>3328.6729999999952</v>
      </c>
      <c r="Q9" s="659">
        <f t="shared" si="5"/>
        <v>3558.969000000001</v>
      </c>
      <c r="R9" s="659">
        <f t="shared" ref="R9" si="6">R7-R8</f>
        <v>3707.6850999999951</v>
      </c>
      <c r="S9" s="659">
        <f>S7-S8</f>
        <v>3924.0240000000085</v>
      </c>
      <c r="T9" s="659">
        <f>T7-T8</f>
        <v>4086.7959999999912</v>
      </c>
      <c r="U9" s="659">
        <f>U7-U8</f>
        <v>4229.6560000000063</v>
      </c>
      <c r="V9" s="230">
        <f t="shared" si="4"/>
        <v>3.495647935449071</v>
      </c>
      <c r="W9" s="58" t="s">
        <v>245</v>
      </c>
    </row>
    <row r="10" spans="1:41" ht="12.75" customHeight="1" x14ac:dyDescent="0.2">
      <c r="A10" s="8"/>
      <c r="B10" s="9" t="s">
        <v>63</v>
      </c>
      <c r="C10" s="646"/>
      <c r="D10" s="615">
        <v>212.43199999999999</v>
      </c>
      <c r="E10" s="615">
        <v>225.31700000000001</v>
      </c>
      <c r="F10" s="615">
        <v>241.11</v>
      </c>
      <c r="G10" s="615">
        <v>260.56700000000001</v>
      </c>
      <c r="H10" s="615">
        <v>277.83800000000002</v>
      </c>
      <c r="I10" s="615">
        <v>293.63</v>
      </c>
      <c r="J10" s="615">
        <v>305.51</v>
      </c>
      <c r="K10" s="615">
        <v>319.48</v>
      </c>
      <c r="L10" s="615">
        <v>322.762</v>
      </c>
      <c r="M10" s="615">
        <v>346.29300000000001</v>
      </c>
      <c r="N10" s="615">
        <v>359.76400000000001</v>
      </c>
      <c r="O10" s="616">
        <v>369.43</v>
      </c>
      <c r="P10" s="615">
        <v>382.31799999999998</v>
      </c>
      <c r="Q10" s="615">
        <v>398.61200000000002</v>
      </c>
      <c r="R10" s="615">
        <v>413.00299999999999</v>
      </c>
      <c r="S10" s="615">
        <v>424.17399999999998</v>
      </c>
      <c r="T10" s="615">
        <v>438.58199999999999</v>
      </c>
      <c r="U10" s="615">
        <v>444.73599999999999</v>
      </c>
      <c r="V10" s="163">
        <f t="shared" si="4"/>
        <v>1.4031583603522364</v>
      </c>
      <c r="W10" s="74" t="s">
        <v>63</v>
      </c>
    </row>
    <row r="11" spans="1:41" ht="12.75" customHeight="1" x14ac:dyDescent="0.2">
      <c r="A11" s="8"/>
      <c r="B11" s="57" t="s">
        <v>46</v>
      </c>
      <c r="C11" s="618">
        <v>519.29999999999995</v>
      </c>
      <c r="D11" s="619">
        <v>521.70000000000005</v>
      </c>
      <c r="E11" s="619">
        <v>525</v>
      </c>
      <c r="F11" s="619">
        <v>515.70000000000005</v>
      </c>
      <c r="G11" s="619">
        <v>519.20000000000005</v>
      </c>
      <c r="H11" s="619">
        <v>520.5</v>
      </c>
      <c r="I11" s="619">
        <v>524.1</v>
      </c>
      <c r="J11" s="619">
        <v>528.29999999999995</v>
      </c>
      <c r="K11" s="620">
        <v>533.70000000000005</v>
      </c>
      <c r="L11" s="619">
        <v>137.69999999999999</v>
      </c>
      <c r="M11" s="620">
        <v>146.5</v>
      </c>
      <c r="N11" s="619">
        <v>76.254000000000005</v>
      </c>
      <c r="O11" s="619">
        <v>90.317999999999998</v>
      </c>
      <c r="P11" s="619">
        <v>106.911</v>
      </c>
      <c r="Q11" s="619">
        <f>117.595</f>
        <v>117.595</v>
      </c>
      <c r="R11" s="619">
        <v>125.4</v>
      </c>
      <c r="S11" s="619">
        <v>131.80000000000001</v>
      </c>
      <c r="T11" s="619">
        <v>139.80000000000001</v>
      </c>
      <c r="U11" s="619">
        <v>147.9</v>
      </c>
      <c r="V11" s="164">
        <f t="shared" si="4"/>
        <v>5.7939914163090123</v>
      </c>
      <c r="W11" s="72" t="s">
        <v>46</v>
      </c>
    </row>
    <row r="12" spans="1:41" ht="12.75" customHeight="1" x14ac:dyDescent="0.2">
      <c r="A12" s="8"/>
      <c r="B12" s="10" t="s">
        <v>48</v>
      </c>
      <c r="C12" s="627">
        <v>915.22900000000004</v>
      </c>
      <c r="D12" s="624">
        <v>918.15899999999999</v>
      </c>
      <c r="E12" s="624">
        <v>929.62699999999995</v>
      </c>
      <c r="F12" s="628">
        <v>927.08</v>
      </c>
      <c r="G12" s="624">
        <v>799.64700000000005</v>
      </c>
      <c r="H12" s="624">
        <v>748.14</v>
      </c>
      <c r="I12" s="624">
        <v>755.48199999999997</v>
      </c>
      <c r="J12" s="624">
        <v>760.21900000000005</v>
      </c>
      <c r="K12" s="624">
        <v>751.63400000000001</v>
      </c>
      <c r="L12" s="624">
        <v>756.55899999999997</v>
      </c>
      <c r="M12" s="624">
        <v>794</v>
      </c>
      <c r="N12" s="624">
        <v>822.70299999999997</v>
      </c>
      <c r="O12" s="624">
        <v>860.13099999999997</v>
      </c>
      <c r="P12" s="624">
        <v>892.79600000000005</v>
      </c>
      <c r="Q12" s="624">
        <v>903.346</v>
      </c>
      <c r="R12" s="624">
        <v>924.29100000000005</v>
      </c>
      <c r="S12" s="624">
        <v>944.17100000000005</v>
      </c>
      <c r="T12" s="624">
        <v>976.91099999999994</v>
      </c>
      <c r="U12" s="624">
        <v>977.16700000000003</v>
      </c>
      <c r="V12" s="165">
        <f t="shared" si="4"/>
        <v>2.6205048361632066E-2</v>
      </c>
      <c r="W12" s="75" t="s">
        <v>48</v>
      </c>
    </row>
    <row r="13" spans="1:41" ht="12.75" customHeight="1" x14ac:dyDescent="0.2">
      <c r="A13" s="8"/>
      <c r="B13" s="57" t="s">
        <v>59</v>
      </c>
      <c r="C13" s="618">
        <v>58.014000000000003</v>
      </c>
      <c r="D13" s="619">
        <v>73.849999999999994</v>
      </c>
      <c r="E13" s="619">
        <v>93.875</v>
      </c>
      <c r="F13" s="619">
        <v>112.12</v>
      </c>
      <c r="G13" s="619">
        <v>126.938</v>
      </c>
      <c r="H13" s="619">
        <v>138.31</v>
      </c>
      <c r="I13" s="619">
        <v>146.36500000000001</v>
      </c>
      <c r="J13" s="619">
        <v>151.322</v>
      </c>
      <c r="K13" s="619">
        <v>155.74</v>
      </c>
      <c r="L13" s="619">
        <v>162.12799999999999</v>
      </c>
      <c r="M13" s="620">
        <f>105.264+66.653</f>
        <v>171.917</v>
      </c>
      <c r="N13" s="619">
        <f>118.752+65.284</f>
        <v>184.036</v>
      </c>
      <c r="O13" s="619">
        <f>133.914+63.263</f>
        <v>197.17699999999999</v>
      </c>
      <c r="P13" s="619">
        <v>204.76999999999998</v>
      </c>
      <c r="Q13" s="619">
        <f>147.373+57.866</f>
        <v>205.23899999999998</v>
      </c>
      <c r="R13" s="619">
        <f>148.766+54.842</f>
        <v>203.608</v>
      </c>
      <c r="S13" s="619">
        <v>200.59700000000001</v>
      </c>
      <c r="T13" s="619">
        <v>199.24299999999999</v>
      </c>
      <c r="U13" s="619">
        <v>198.07599999999999</v>
      </c>
      <c r="V13" s="164">
        <f t="shared" si="4"/>
        <v>-0.58571693861264862</v>
      </c>
      <c r="W13" s="72" t="s">
        <v>59</v>
      </c>
    </row>
    <row r="14" spans="1:41" ht="12.75" customHeight="1" x14ac:dyDescent="0.2">
      <c r="A14" s="8"/>
      <c r="B14" s="10" t="s">
        <v>64</v>
      </c>
      <c r="C14" s="627">
        <f>1728.057+2267.428</f>
        <v>3995.4849999999997</v>
      </c>
      <c r="D14" s="628">
        <f>1666.995+2470.451</f>
        <v>4137.4459999999999</v>
      </c>
      <c r="E14" s="624">
        <f>1634.083+2096.673</f>
        <v>3730.7559999999999</v>
      </c>
      <c r="F14" s="624">
        <f>1747.139+2427.207</f>
        <v>4174.3459999999995</v>
      </c>
      <c r="G14" s="624">
        <f>1742.704+2646.497</f>
        <v>4389.201</v>
      </c>
      <c r="H14" s="624">
        <f>1594.749+2843.333</f>
        <v>4438.0820000000003</v>
      </c>
      <c r="I14" s="624">
        <f>1682.523+2984.626</f>
        <v>4667.1490000000003</v>
      </c>
      <c r="J14" s="624">
        <f>1583.917+3093.968</f>
        <v>4677.8850000000002</v>
      </c>
      <c r="K14" s="624">
        <f>1662.765+3201.042</f>
        <v>4863.8069999999998</v>
      </c>
      <c r="L14" s="624">
        <f>1785.62+3292.362</f>
        <v>5077.982</v>
      </c>
      <c r="M14" s="624">
        <f>1818.629+3384.272</f>
        <v>5202.9009999999998</v>
      </c>
      <c r="N14" s="624">
        <f>1930.185+3475.715</f>
        <v>5405.9</v>
      </c>
      <c r="O14" s="624">
        <f>1983.845+3566.122</f>
        <v>5549.9669999999996</v>
      </c>
      <c r="P14" s="624">
        <v>5852.2830000000004</v>
      </c>
      <c r="Q14" s="624">
        <f>3762.561+2104.204</f>
        <v>5866.7650000000003</v>
      </c>
      <c r="R14" s="624">
        <f>2042.996+3827.894</f>
        <v>5870.8899999999994</v>
      </c>
      <c r="S14" s="624">
        <f>2096.161+3908.072</f>
        <v>6004.2330000000002</v>
      </c>
      <c r="T14" s="624">
        <f>2088.623+3982.978</f>
        <v>6071.6010000000006</v>
      </c>
      <c r="U14" s="624">
        <f>4054.946+1976.214</f>
        <v>6031.16</v>
      </c>
      <c r="V14" s="165">
        <f t="shared" si="4"/>
        <v>-0.66606814248829949</v>
      </c>
      <c r="W14" s="75" t="s">
        <v>64</v>
      </c>
    </row>
    <row r="15" spans="1:41" ht="12.75" customHeight="1" x14ac:dyDescent="0.2">
      <c r="A15" s="8"/>
      <c r="B15" s="57" t="s">
        <v>49</v>
      </c>
      <c r="C15" s="618">
        <v>3.3</v>
      </c>
      <c r="D15" s="619">
        <v>4.7</v>
      </c>
      <c r="E15" s="619">
        <v>5.3</v>
      </c>
      <c r="F15" s="619">
        <v>6.1</v>
      </c>
      <c r="G15" s="619">
        <v>6.7</v>
      </c>
      <c r="H15" s="619">
        <v>6.7</v>
      </c>
      <c r="I15" s="619">
        <v>6.8</v>
      </c>
      <c r="J15" s="619">
        <v>7.3</v>
      </c>
      <c r="K15" s="619">
        <v>8.1</v>
      </c>
      <c r="L15" s="619">
        <v>9.1</v>
      </c>
      <c r="M15" s="619">
        <v>10.234</v>
      </c>
      <c r="N15" s="619">
        <v>12.593999999999999</v>
      </c>
      <c r="O15" s="619">
        <v>14.78</v>
      </c>
      <c r="P15" s="619">
        <v>17.622</v>
      </c>
      <c r="Q15" s="619">
        <f>18.6</f>
        <v>18.600000000000001</v>
      </c>
      <c r="R15" s="619">
        <v>19.7</v>
      </c>
      <c r="S15" s="632">
        <v>23.216999999999999</v>
      </c>
      <c r="T15" s="619">
        <v>35.273000000000003</v>
      </c>
      <c r="U15" s="660">
        <f>24.8+13.9</f>
        <v>38.700000000000003</v>
      </c>
      <c r="V15" s="164">
        <f t="shared" si="4"/>
        <v>9.7156465285062268</v>
      </c>
      <c r="W15" s="72" t="s">
        <v>49</v>
      </c>
    </row>
    <row r="16" spans="1:41" ht="12.75" customHeight="1" x14ac:dyDescent="0.2">
      <c r="A16" s="8"/>
      <c r="B16" s="10" t="s">
        <v>67</v>
      </c>
      <c r="C16" s="627">
        <v>23.452000000000002</v>
      </c>
      <c r="D16" s="624">
        <v>23.847000000000001</v>
      </c>
      <c r="E16" s="624">
        <v>24.423999999999999</v>
      </c>
      <c r="F16" s="624">
        <v>24.398</v>
      </c>
      <c r="G16" s="624">
        <v>26.677</v>
      </c>
      <c r="H16" s="624">
        <v>30.638000000000002</v>
      </c>
      <c r="I16" s="624">
        <v>32.912999999999997</v>
      </c>
      <c r="J16" s="624">
        <v>33.146999999999998</v>
      </c>
      <c r="K16" s="624">
        <v>35.094000000000001</v>
      </c>
      <c r="L16" s="624">
        <v>34.853999999999999</v>
      </c>
      <c r="M16" s="624">
        <v>34.299999999999997</v>
      </c>
      <c r="N16" s="624">
        <v>34.927</v>
      </c>
      <c r="O16" s="624">
        <v>37.177999999999997</v>
      </c>
      <c r="P16" s="624">
        <v>39.408999999999999</v>
      </c>
      <c r="Q16" s="624">
        <v>39.552</v>
      </c>
      <c r="R16" s="624">
        <f>38.145</f>
        <v>38.145000000000003</v>
      </c>
      <c r="S16" s="624">
        <v>36.582000000000001</v>
      </c>
      <c r="T16" s="624">
        <v>35.106000000000002</v>
      </c>
      <c r="U16" s="624">
        <v>36.622999999999998</v>
      </c>
      <c r="V16" s="165">
        <f t="shared" si="4"/>
        <v>4.3211986555004671</v>
      </c>
      <c r="W16" s="75" t="s">
        <v>67</v>
      </c>
    </row>
    <row r="17" spans="1:23" ht="12.75" customHeight="1" x14ac:dyDescent="0.2">
      <c r="A17" s="8"/>
      <c r="B17" s="57" t="s">
        <v>60</v>
      </c>
      <c r="C17" s="618"/>
      <c r="D17" s="619"/>
      <c r="E17" s="619"/>
      <c r="F17" s="619"/>
      <c r="G17" s="619"/>
      <c r="H17" s="619">
        <v>781.36099999999999</v>
      </c>
      <c r="I17" s="619">
        <v>853.36599999999999</v>
      </c>
      <c r="J17" s="619">
        <v>910.55499999999995</v>
      </c>
      <c r="K17" s="619">
        <v>969.89499999999998</v>
      </c>
      <c r="L17" s="619">
        <v>1042.605</v>
      </c>
      <c r="M17" s="619">
        <v>1124.172</v>
      </c>
      <c r="N17" s="619">
        <v>1205.816</v>
      </c>
      <c r="O17" s="619">
        <v>1298.6880000000001</v>
      </c>
      <c r="P17" s="619">
        <v>1388.607</v>
      </c>
      <c r="Q17" s="619">
        <v>1448.8510000000001</v>
      </c>
      <c r="R17" s="619">
        <v>1499.133</v>
      </c>
      <c r="S17" s="619">
        <v>1534.902</v>
      </c>
      <c r="T17" s="619">
        <v>1556.4349999999999</v>
      </c>
      <c r="U17" s="619">
        <f>1568.596</f>
        <v>1568.596</v>
      </c>
      <c r="V17" s="164">
        <f t="shared" si="4"/>
        <v>0.78133683706676038</v>
      </c>
      <c r="W17" s="72" t="s">
        <v>60</v>
      </c>
    </row>
    <row r="18" spans="1:23" ht="12.75" customHeight="1" x14ac:dyDescent="0.2">
      <c r="A18" s="8"/>
      <c r="B18" s="10" t="s">
        <v>65</v>
      </c>
      <c r="C18" s="627">
        <v>1301.18</v>
      </c>
      <c r="D18" s="624">
        <v>1308.2080000000001</v>
      </c>
      <c r="E18" s="624">
        <v>1326.3330000000001</v>
      </c>
      <c r="F18" s="624">
        <v>1361.155</v>
      </c>
      <c r="G18" s="624">
        <v>1403.771</v>
      </c>
      <c r="H18" s="628">
        <v>1445.644</v>
      </c>
      <c r="I18" s="624">
        <f>1483.442+1806.758</f>
        <v>3290.2</v>
      </c>
      <c r="J18" s="624">
        <f>1517.208+2044.242</f>
        <v>3561.45</v>
      </c>
      <c r="K18" s="624">
        <f>1513.526+2143.593</f>
        <v>3657.1189999999997</v>
      </c>
      <c r="L18" s="624">
        <f>1612.082+2242.046</f>
        <v>3854.1279999999997</v>
      </c>
      <c r="M18" s="624">
        <f>1805.827+2311.773</f>
        <v>4117.6000000000004</v>
      </c>
      <c r="N18" s="624">
        <f>2058.022+2343.124</f>
        <v>4401.1459999999997</v>
      </c>
      <c r="O18" s="624">
        <f>2311.346+2430.414</f>
        <v>4741.76</v>
      </c>
      <c r="P18" s="624">
        <f>2500.819+2410.685</f>
        <v>4911.5039999999999</v>
      </c>
      <c r="Q18" s="624">
        <f>2352.205+2606.674</f>
        <v>4958.8789999999999</v>
      </c>
      <c r="R18" s="624">
        <f>2290.207+2707.482</f>
        <v>4997.6890000000003</v>
      </c>
      <c r="S18" s="624">
        <f>2229.418+2798.043</f>
        <v>5027.4610000000002</v>
      </c>
      <c r="T18" s="624">
        <f>2852.297+2169.668</f>
        <v>5021.9650000000001</v>
      </c>
      <c r="U18" s="624">
        <f>2107.116+2891.204</f>
        <v>4998.32</v>
      </c>
      <c r="V18" s="165">
        <f t="shared" si="4"/>
        <v>-0.47083163662034622</v>
      </c>
      <c r="W18" s="75" t="s">
        <v>65</v>
      </c>
    </row>
    <row r="19" spans="1:23" ht="12.75" customHeight="1" x14ac:dyDescent="0.2">
      <c r="A19" s="8"/>
      <c r="B19" s="57" t="s">
        <v>66</v>
      </c>
      <c r="C19" s="618">
        <f>1562+727</f>
        <v>2289</v>
      </c>
      <c r="D19" s="619">
        <f>1540+738</f>
        <v>2278</v>
      </c>
      <c r="E19" s="619">
        <f>1518+780</f>
        <v>2298</v>
      </c>
      <c r="F19" s="619">
        <f>1482+839</f>
        <v>2321</v>
      </c>
      <c r="G19" s="619">
        <f>1461+912</f>
        <v>2373</v>
      </c>
      <c r="H19" s="619">
        <f>1442+968</f>
        <v>2410</v>
      </c>
      <c r="I19" s="619">
        <f>1421+1019</f>
        <v>2440</v>
      </c>
      <c r="J19" s="619">
        <f>1387+1054</f>
        <v>2441</v>
      </c>
      <c r="K19" s="619">
        <f>1357+1091</f>
        <v>2448</v>
      </c>
      <c r="L19" s="619">
        <f>1331+1131</f>
        <v>2462</v>
      </c>
      <c r="M19" s="619">
        <f>1297.698+1177.608</f>
        <v>2475.306</v>
      </c>
      <c r="N19" s="619">
        <f>1295.316+1248.245</f>
        <v>2543.5609999999997</v>
      </c>
      <c r="O19" s="632">
        <f>1939+1801</f>
        <v>3740</v>
      </c>
      <c r="P19" s="619">
        <v>3857</v>
      </c>
      <c r="Q19" s="619">
        <f>1748+1784</f>
        <v>3532</v>
      </c>
      <c r="R19" s="619">
        <f>1713+1847.951</f>
        <v>3560.951</v>
      </c>
      <c r="S19" s="619">
        <f>1591.636+1847.781</f>
        <v>3439.4169999999999</v>
      </c>
      <c r="T19" s="619">
        <v>3089.125</v>
      </c>
      <c r="U19" s="661">
        <f>2894283.2/1000</f>
        <v>2894.2832000000003</v>
      </c>
      <c r="V19" s="664">
        <f t="shared" si="4"/>
        <v>-6.3073459312912092</v>
      </c>
      <c r="W19" s="72" t="s">
        <v>66</v>
      </c>
    </row>
    <row r="20" spans="1:23" ht="12.75" customHeight="1" x14ac:dyDescent="0.2">
      <c r="A20" s="8"/>
      <c r="B20" s="10" t="s">
        <v>77</v>
      </c>
      <c r="C20" s="624">
        <v>9.9329999999999998</v>
      </c>
      <c r="D20" s="624">
        <v>14.128</v>
      </c>
      <c r="E20" s="624">
        <v>17.401</v>
      </c>
      <c r="F20" s="624">
        <v>18.957000000000001</v>
      </c>
      <c r="G20" s="624">
        <v>20.498999999999999</v>
      </c>
      <c r="H20" s="624">
        <v>21.867999999999999</v>
      </c>
      <c r="I20" s="628">
        <v>24.305</v>
      </c>
      <c r="J20" s="624">
        <v>85.216999999999999</v>
      </c>
      <c r="K20" s="624">
        <v>99.137</v>
      </c>
      <c r="L20" s="624">
        <v>112.907</v>
      </c>
      <c r="M20" s="624">
        <v>128.38200000000001</v>
      </c>
      <c r="N20" s="624">
        <v>143.48599999999999</v>
      </c>
      <c r="O20" s="624">
        <f>56.401+106.343</f>
        <v>162.744</v>
      </c>
      <c r="P20" s="624">
        <v>183.81399999999999</v>
      </c>
      <c r="Q20" s="624">
        <f>63.691+120.792</f>
        <v>184.483</v>
      </c>
      <c r="R20" s="624">
        <f>62.21+114.563</f>
        <v>176.773</v>
      </c>
      <c r="S20" s="624">
        <f>112.166+62.876</f>
        <v>175.042</v>
      </c>
      <c r="T20" s="624">
        <v>156.98099999999999</v>
      </c>
      <c r="U20" s="624">
        <v>154.78200000000001</v>
      </c>
      <c r="V20" s="165">
        <f t="shared" si="4"/>
        <v>-1.4008064670246654</v>
      </c>
      <c r="W20" s="75" t="s">
        <v>77</v>
      </c>
    </row>
    <row r="21" spans="1:23" ht="12.75" customHeight="1" x14ac:dyDescent="0.2">
      <c r="A21" s="8"/>
      <c r="B21" s="197" t="s">
        <v>68</v>
      </c>
      <c r="C21" s="634">
        <f>2530.75+3697.545</f>
        <v>6228.2950000000001</v>
      </c>
      <c r="D21" s="635">
        <f>2572.926+3818.309</f>
        <v>6391.2350000000006</v>
      </c>
      <c r="E21" s="635">
        <f>2597.857+3831.657</f>
        <v>6429.5140000000001</v>
      </c>
      <c r="F21" s="635">
        <f>2723.002+4100.321</f>
        <v>6823.3230000000003</v>
      </c>
      <c r="G21" s="635">
        <f>2975.651+4431.146</f>
        <v>7406.7969999999996</v>
      </c>
      <c r="H21" s="635">
        <f>3375.782+4451.124</f>
        <v>7826.9059999999999</v>
      </c>
      <c r="I21" s="635">
        <f>3732.306+4495.813</f>
        <v>8228.1190000000006</v>
      </c>
      <c r="J21" s="635">
        <f>4037.48+4540.906</f>
        <v>8578.3860000000004</v>
      </c>
      <c r="K21" s="635">
        <f>4375.947+4586.452</f>
        <v>8962.3990000000013</v>
      </c>
      <c r="L21" s="635">
        <f>4632.399+4574.644</f>
        <v>9207.0430000000015</v>
      </c>
      <c r="M21" s="635">
        <f>4360+4938.359</f>
        <v>9298.3590000000004</v>
      </c>
      <c r="N21" s="635">
        <f>4050+5288.818</f>
        <v>9338.8179999999993</v>
      </c>
      <c r="O21" s="635">
        <f>3690+5590.259</f>
        <v>9280.259</v>
      </c>
      <c r="P21" s="635">
        <v>9180.094000000001</v>
      </c>
      <c r="Q21" s="635">
        <f>6118.098+2900</f>
        <v>9018.098</v>
      </c>
      <c r="R21" s="635">
        <f>6305.032+2550</f>
        <v>8855.0319999999992</v>
      </c>
      <c r="S21" s="635">
        <f>6428.476+2550</f>
        <v>8978.4759999999987</v>
      </c>
      <c r="T21" s="635">
        <f>6428.796+2153.454</f>
        <v>8582.25</v>
      </c>
      <c r="U21" s="635">
        <f>6481.77+2256.078</f>
        <v>8737.848</v>
      </c>
      <c r="V21" s="224">
        <f t="shared" si="4"/>
        <v>1.8130210609105859</v>
      </c>
      <c r="W21" s="474" t="s">
        <v>68</v>
      </c>
    </row>
    <row r="22" spans="1:23" ht="12.75" customHeight="1" x14ac:dyDescent="0.2">
      <c r="A22" s="8"/>
      <c r="B22" s="10" t="s">
        <v>47</v>
      </c>
      <c r="C22" s="627">
        <v>50.393000000000001</v>
      </c>
      <c r="D22" s="624"/>
      <c r="E22" s="624"/>
      <c r="F22" s="624">
        <v>44.337000000000003</v>
      </c>
      <c r="G22" s="624">
        <v>44.756</v>
      </c>
      <c r="H22" s="624">
        <v>43.314999999999998</v>
      </c>
      <c r="I22" s="624">
        <v>41.984999999999999</v>
      </c>
      <c r="J22" s="624">
        <v>40.276000000000003</v>
      </c>
      <c r="K22" s="624">
        <v>41.515999999999998</v>
      </c>
      <c r="L22" s="624">
        <v>41.396000000000001</v>
      </c>
      <c r="M22" s="624">
        <v>40.381</v>
      </c>
      <c r="N22" s="624">
        <v>40.359000000000002</v>
      </c>
      <c r="O22" s="624">
        <v>41.210999999999999</v>
      </c>
      <c r="P22" s="624">
        <v>43.219000000000001</v>
      </c>
      <c r="Q22" s="624">
        <f>23.473+19.217</f>
        <v>42.69</v>
      </c>
      <c r="R22" s="624">
        <f>23.677+17.05</f>
        <v>40.727000000000004</v>
      </c>
      <c r="S22" s="624">
        <f>23.864+15.939</f>
        <v>39.802999999999997</v>
      </c>
      <c r="T22" s="624">
        <f>25.293+15.812</f>
        <v>41.104999999999997</v>
      </c>
      <c r="U22" s="624">
        <f>14.745+25.224</f>
        <v>39.969000000000001</v>
      </c>
      <c r="V22" s="165">
        <f t="shared" si="4"/>
        <v>-2.7636540566840893</v>
      </c>
      <c r="W22" s="75" t="s">
        <v>47</v>
      </c>
    </row>
    <row r="23" spans="1:23" ht="12.75" customHeight="1" x14ac:dyDescent="0.2">
      <c r="A23" s="8"/>
      <c r="B23" s="197" t="s">
        <v>51</v>
      </c>
      <c r="C23" s="634">
        <v>15.792</v>
      </c>
      <c r="D23" s="635">
        <v>18.443999999999999</v>
      </c>
      <c r="E23" s="635">
        <v>19.266999999999999</v>
      </c>
      <c r="F23" s="635">
        <v>19.408999999999999</v>
      </c>
      <c r="G23" s="635">
        <v>20.056999999999999</v>
      </c>
      <c r="H23" s="640">
        <v>20.731999999999999</v>
      </c>
      <c r="I23" s="635">
        <v>21.37</v>
      </c>
      <c r="J23" s="635">
        <v>22.16</v>
      </c>
      <c r="K23" s="640">
        <v>22.88</v>
      </c>
      <c r="L23" s="635">
        <f>23.982+5.943</f>
        <v>29.924999999999997</v>
      </c>
      <c r="M23" s="635">
        <f>25.193+7.284</f>
        <v>32.477000000000004</v>
      </c>
      <c r="N23" s="635">
        <f>27.21+9.664</f>
        <v>36.874000000000002</v>
      </c>
      <c r="O23" s="635">
        <f>30.87+13.542</f>
        <v>44.411999999999999</v>
      </c>
      <c r="P23" s="635">
        <v>51.284000000000006</v>
      </c>
      <c r="Q23" s="635">
        <f>18.373+33.59</f>
        <v>51.963000000000008</v>
      </c>
      <c r="R23" s="636">
        <f>19.486+17.188</f>
        <v>36.673999999999999</v>
      </c>
      <c r="S23" s="635">
        <f>21.238+17.385</f>
        <v>38.623000000000005</v>
      </c>
      <c r="T23" s="635">
        <v>41.088000000000001</v>
      </c>
      <c r="U23" s="635">
        <v>43.588000000000001</v>
      </c>
      <c r="V23" s="224">
        <f t="shared" si="4"/>
        <v>6.0845015576324073</v>
      </c>
      <c r="W23" s="474" t="s">
        <v>51</v>
      </c>
    </row>
    <row r="24" spans="1:23" ht="12.75" customHeight="1" x14ac:dyDescent="0.2">
      <c r="A24" s="8"/>
      <c r="B24" s="10" t="s">
        <v>52</v>
      </c>
      <c r="C24" s="627">
        <v>20.033000000000001</v>
      </c>
      <c r="D24" s="624">
        <v>19.402000000000001</v>
      </c>
      <c r="E24" s="624">
        <v>19.128</v>
      </c>
      <c r="F24" s="624">
        <v>19.265999999999998</v>
      </c>
      <c r="G24" s="624">
        <v>19.515000000000001</v>
      </c>
      <c r="H24" s="624">
        <v>19.841999999999999</v>
      </c>
      <c r="I24" s="624">
        <v>20.244</v>
      </c>
      <c r="J24" s="624">
        <v>21.016999999999999</v>
      </c>
      <c r="K24" s="624">
        <v>21.873000000000001</v>
      </c>
      <c r="L24" s="624">
        <v>22.861000000000001</v>
      </c>
      <c r="M24" s="624">
        <v>24.027000000000001</v>
      </c>
      <c r="N24" s="628">
        <v>25.478000000000002</v>
      </c>
      <c r="O24" s="629">
        <f>28.826+6.444</f>
        <v>35.270000000000003</v>
      </c>
      <c r="P24" s="624">
        <v>45.617000000000004</v>
      </c>
      <c r="Q24" s="624">
        <f>14.81+36.562</f>
        <v>51.372</v>
      </c>
      <c r="R24" s="624">
        <f>38.995+17.276</f>
        <v>56.271000000000001</v>
      </c>
      <c r="S24" s="624">
        <f>41.349+18.775</f>
        <v>60.123999999999995</v>
      </c>
      <c r="T24" s="624">
        <v>64.248999999999995</v>
      </c>
      <c r="U24" s="624">
        <f>22.169+45.983</f>
        <v>68.152000000000001</v>
      </c>
      <c r="V24" s="165">
        <f t="shared" si="4"/>
        <v>6.0748027206649198</v>
      </c>
      <c r="W24" s="75" t="s">
        <v>52</v>
      </c>
    </row>
    <row r="25" spans="1:23" ht="12.75" customHeight="1" x14ac:dyDescent="0.2">
      <c r="A25" s="8"/>
      <c r="B25" s="197" t="s">
        <v>69</v>
      </c>
      <c r="C25" s="662">
        <f>8.405+20</f>
        <v>28.405000000000001</v>
      </c>
      <c r="D25" s="635">
        <f>8.716+20.185</f>
        <v>28.900999999999996</v>
      </c>
      <c r="E25" s="635">
        <f>9.297+20.377</f>
        <v>29.673999999999999</v>
      </c>
      <c r="F25" s="635">
        <f>9.947+20.641</f>
        <v>30.587999999999997</v>
      </c>
      <c r="G25" s="635">
        <f>10.819+20.943</f>
        <v>31.762</v>
      </c>
      <c r="H25" s="635">
        <f>11.488+21.286</f>
        <v>32.774000000000001</v>
      </c>
      <c r="I25" s="635">
        <f>11.961+21.615</f>
        <v>33.576000000000001</v>
      </c>
      <c r="J25" s="635">
        <f>12.671+22.03</f>
        <v>34.701000000000001</v>
      </c>
      <c r="K25" s="635">
        <f>13.38+22.579</f>
        <v>35.959000000000003</v>
      </c>
      <c r="L25" s="635">
        <f>13.901+23.008</f>
        <v>36.908999999999999</v>
      </c>
      <c r="M25" s="635">
        <f>23.471+14.268</f>
        <v>37.739000000000004</v>
      </c>
      <c r="N25" s="635">
        <f>24.029+14.609</f>
        <v>38.637999999999998</v>
      </c>
      <c r="O25" s="635">
        <f>24.532+14.947</f>
        <v>39.478999999999999</v>
      </c>
      <c r="P25" s="635">
        <v>40.284999999999997</v>
      </c>
      <c r="Q25" s="635">
        <f>25.7+15.551</f>
        <v>41.250999999999998</v>
      </c>
      <c r="R25" s="635">
        <f>26.34+15.753</f>
        <v>42.093000000000004</v>
      </c>
      <c r="S25" s="635">
        <f>27.11+16.225</f>
        <v>43.335000000000001</v>
      </c>
      <c r="T25" s="635">
        <v>44.526000000000003</v>
      </c>
      <c r="U25" s="663">
        <f>8.527+17.226</f>
        <v>25.753</v>
      </c>
      <c r="V25" s="224">
        <f t="shared" si="4"/>
        <v>-42.161882944796304</v>
      </c>
      <c r="W25" s="474" t="s">
        <v>69</v>
      </c>
    </row>
    <row r="26" spans="1:23" ht="12.75" customHeight="1" x14ac:dyDescent="0.2">
      <c r="A26" s="8"/>
      <c r="B26" s="10" t="s">
        <v>50</v>
      </c>
      <c r="C26" s="627"/>
      <c r="D26" s="624"/>
      <c r="E26" s="624"/>
      <c r="F26" s="624"/>
      <c r="G26" s="624">
        <v>87.572999999999993</v>
      </c>
      <c r="H26" s="624">
        <v>91.192999999999998</v>
      </c>
      <c r="I26" s="624">
        <v>93.087999999999994</v>
      </c>
      <c r="J26" s="624">
        <v>97.593000000000004</v>
      </c>
      <c r="K26" s="624">
        <v>103.49299999999999</v>
      </c>
      <c r="L26" s="624">
        <v>114.038</v>
      </c>
      <c r="M26" s="624">
        <v>122.705</v>
      </c>
      <c r="N26" s="624">
        <v>130.18799999999999</v>
      </c>
      <c r="O26" s="624">
        <v>135.86500000000001</v>
      </c>
      <c r="P26" s="624">
        <v>141.54</v>
      </c>
      <c r="Q26" s="624">
        <f>141.956</f>
        <v>141.95599999999999</v>
      </c>
      <c r="R26" s="624">
        <v>142.251</v>
      </c>
      <c r="S26" s="624">
        <f>147.382</f>
        <v>147.38200000000001</v>
      </c>
      <c r="T26" s="624">
        <f>151.405</f>
        <v>151.405</v>
      </c>
      <c r="U26" s="624">
        <f>157.178</f>
        <v>157.178</v>
      </c>
      <c r="V26" s="165">
        <f t="shared" si="4"/>
        <v>3.812952016115716</v>
      </c>
      <c r="W26" s="75" t="s">
        <v>50</v>
      </c>
    </row>
    <row r="27" spans="1:23" ht="12.75" customHeight="1" x14ac:dyDescent="0.2">
      <c r="A27" s="8"/>
      <c r="B27" s="197" t="s">
        <v>53</v>
      </c>
      <c r="C27" s="634">
        <v>17.411000000000001</v>
      </c>
      <c r="D27" s="635">
        <v>11.663</v>
      </c>
      <c r="E27" s="635">
        <v>13.881</v>
      </c>
      <c r="F27" s="635">
        <v>14.847</v>
      </c>
      <c r="G27" s="635">
        <v>11.87</v>
      </c>
      <c r="H27" s="635">
        <v>12.401999999999999</v>
      </c>
      <c r="I27" s="635">
        <v>12.83</v>
      </c>
      <c r="J27" s="635">
        <v>13.324</v>
      </c>
      <c r="K27" s="635">
        <v>13.667</v>
      </c>
      <c r="L27" s="635">
        <f>12.639+0.143</f>
        <v>12.782</v>
      </c>
      <c r="M27" s="635">
        <f>11.905+0.088</f>
        <v>11.992999999999999</v>
      </c>
      <c r="N27" s="635">
        <f>12.192+0.094</f>
        <v>12.286</v>
      </c>
      <c r="O27" s="635">
        <v>12.791</v>
      </c>
      <c r="P27" s="635">
        <v>14.413000000000002</v>
      </c>
      <c r="Q27" s="635">
        <f>14.301+0.005+0.074</f>
        <v>14.38</v>
      </c>
      <c r="R27" s="636">
        <f>14.635+0.067+0.0141</f>
        <v>14.716099999999999</v>
      </c>
      <c r="S27" s="635">
        <f>15.314+0.068+0.181</f>
        <v>15.562999999999999</v>
      </c>
      <c r="T27" s="635">
        <f>15.568+0.062+0.185</f>
        <v>15.815</v>
      </c>
      <c r="U27" s="635">
        <f>16.62+0.231+0.05</f>
        <v>16.901000000000003</v>
      </c>
      <c r="V27" s="224">
        <f t="shared" si="4"/>
        <v>6.8668985140689358</v>
      </c>
      <c r="W27" s="474" t="s">
        <v>53</v>
      </c>
    </row>
    <row r="28" spans="1:23" ht="12.75" customHeight="1" x14ac:dyDescent="0.2">
      <c r="A28" s="8"/>
      <c r="B28" s="10" t="s">
        <v>61</v>
      </c>
      <c r="C28" s="627">
        <f>307.993+547</f>
        <v>854.99299999999994</v>
      </c>
      <c r="D28" s="624">
        <f>335+553</f>
        <v>888</v>
      </c>
      <c r="E28" s="624">
        <f>373+543</f>
        <v>916</v>
      </c>
      <c r="F28" s="624">
        <f>451.425+546</f>
        <v>997.42499999999995</v>
      </c>
      <c r="G28" s="624">
        <f>413.989+520</f>
        <v>933.98900000000003</v>
      </c>
      <c r="H28" s="624">
        <f>437.798+533</f>
        <v>970.798</v>
      </c>
      <c r="I28" s="624">
        <f>460.822+504</f>
        <v>964.822</v>
      </c>
      <c r="J28" s="624">
        <f>494.45+508</f>
        <v>1002.45</v>
      </c>
      <c r="K28" s="624">
        <f>516.567+499</f>
        <v>1015.567</v>
      </c>
      <c r="L28" s="624">
        <f>536.934+502</f>
        <v>1038.934</v>
      </c>
      <c r="M28" s="624">
        <f>552.949+560</f>
        <v>1112.9490000000001</v>
      </c>
      <c r="N28" s="624">
        <f>567.911+711.792</f>
        <v>1279.703</v>
      </c>
      <c r="O28" s="624">
        <f>585.204+786.409</f>
        <v>1371.6129999999998</v>
      </c>
      <c r="P28" s="624">
        <v>1479.4760000000001</v>
      </c>
      <c r="Q28" s="624">
        <f>623.442+951.452</f>
        <v>1574.894</v>
      </c>
      <c r="R28" s="624">
        <f>636.199+1023.582</f>
        <v>1659.7809999999999</v>
      </c>
      <c r="S28" s="624">
        <f>1057.1+646.995</f>
        <v>1704.0949999999998</v>
      </c>
      <c r="T28" s="624">
        <f>1080.514+653.245</f>
        <v>1733.759</v>
      </c>
      <c r="U28" s="624">
        <f>653.991+1097.18</f>
        <v>1751.171</v>
      </c>
      <c r="V28" s="165">
        <f t="shared" si="4"/>
        <v>1.0042918306408097</v>
      </c>
      <c r="W28" s="75" t="s">
        <v>61</v>
      </c>
    </row>
    <row r="29" spans="1:23" ht="12.75" customHeight="1" x14ac:dyDescent="0.2">
      <c r="A29" s="8"/>
      <c r="B29" s="197" t="s">
        <v>70</v>
      </c>
      <c r="C29" s="634">
        <f>371.505+174.907</f>
        <v>546.41200000000003</v>
      </c>
      <c r="D29" s="635">
        <f>366.506+193.685</f>
        <v>560.19100000000003</v>
      </c>
      <c r="E29" s="635">
        <f>362.953+212.767</f>
        <v>575.72</v>
      </c>
      <c r="F29" s="635">
        <f>362.964+237.767</f>
        <v>600.73099999999999</v>
      </c>
      <c r="G29" s="635">
        <f>359.63+263.297</f>
        <v>622.92700000000002</v>
      </c>
      <c r="H29" s="635">
        <f>352.984+279.728</f>
        <v>632.71199999999999</v>
      </c>
      <c r="I29" s="640">
        <f>346.591+294.843</f>
        <v>641.43399999999997</v>
      </c>
      <c r="J29" s="635">
        <f>304.255+292.569</f>
        <v>596.82400000000007</v>
      </c>
      <c r="K29" s="635">
        <f>301.387+305.481</f>
        <v>606.86799999999994</v>
      </c>
      <c r="L29" s="635">
        <f>296.522+315.638</f>
        <v>612.16</v>
      </c>
      <c r="M29" s="635">
        <f>301.425+326.286</f>
        <v>627.71100000000001</v>
      </c>
      <c r="N29" s="635">
        <f>306.592+338.721</f>
        <v>645.31299999999999</v>
      </c>
      <c r="O29" s="635">
        <f>312.658+354.919</f>
        <v>667.577</v>
      </c>
      <c r="P29" s="635">
        <v>691.24299999999994</v>
      </c>
      <c r="Q29" s="635">
        <f>218.135+158.745+305.042+1.234+12.694+16.242</f>
        <v>712.09199999999998</v>
      </c>
      <c r="R29" s="635">
        <f>224.717+168.089+303.908+1.247+14.016+15.875</f>
        <v>727.85199999999998</v>
      </c>
      <c r="S29" s="635">
        <f>301.65+1.31+179.279+230.396+14.106+1.298+0.578+14.812</f>
        <v>743.42899999999997</v>
      </c>
      <c r="T29" s="635">
        <f>299.586+1.458+192.577+236.807+15.522+1.441+0.623+14.378</f>
        <v>762.39200000000017</v>
      </c>
      <c r="U29" s="635">
        <f>743.648+16.572+1.582+0.674+13.861</f>
        <v>776.33699999999999</v>
      </c>
      <c r="V29" s="224">
        <f t="shared" si="4"/>
        <v>1.8291115331745118</v>
      </c>
      <c r="W29" s="474" t="s">
        <v>70</v>
      </c>
    </row>
    <row r="30" spans="1:23" ht="12.75" customHeight="1" x14ac:dyDescent="0.2">
      <c r="A30" s="8"/>
      <c r="B30" s="10" t="s">
        <v>54</v>
      </c>
      <c r="C30" s="627">
        <v>929</v>
      </c>
      <c r="D30" s="624"/>
      <c r="E30" s="624"/>
      <c r="F30" s="624">
        <v>820</v>
      </c>
      <c r="G30" s="624">
        <v>804</v>
      </c>
      <c r="H30" s="628">
        <v>803</v>
      </c>
      <c r="I30" s="624">
        <v>803</v>
      </c>
      <c r="J30" s="624">
        <v>869</v>
      </c>
      <c r="K30" s="624">
        <v>845.45600000000002</v>
      </c>
      <c r="L30" s="628">
        <v>835.79</v>
      </c>
      <c r="M30" s="624">
        <f>753.648+337.511</f>
        <v>1091.1590000000001</v>
      </c>
      <c r="N30" s="624">
        <f>784.176+405.917</f>
        <v>1190.0930000000001</v>
      </c>
      <c r="O30" s="624">
        <f>825.305+525.484</f>
        <v>1350.789</v>
      </c>
      <c r="P30" s="624">
        <v>1607.316</v>
      </c>
      <c r="Q30" s="624">
        <f>974.906+833.817</f>
        <v>1808.723</v>
      </c>
      <c r="R30" s="624">
        <f>1013.014+922.126</f>
        <v>1935.1399999999999</v>
      </c>
      <c r="S30" s="624">
        <f>1069.195+1032.98</f>
        <v>2102.1750000000002</v>
      </c>
      <c r="T30" s="624">
        <v>2207.556</v>
      </c>
      <c r="U30" s="624">
        <f>1153.169+1163.441</f>
        <v>2316.61</v>
      </c>
      <c r="V30" s="165">
        <f t="shared" si="4"/>
        <v>4.9400332313200579</v>
      </c>
      <c r="W30" s="75" t="s">
        <v>54</v>
      </c>
    </row>
    <row r="31" spans="1:23" ht="12.75" customHeight="1" x14ac:dyDescent="0.2">
      <c r="A31" s="8"/>
      <c r="B31" s="197" t="s">
        <v>71</v>
      </c>
      <c r="C31" s="634">
        <v>216.29599999999999</v>
      </c>
      <c r="D31" s="635">
        <v>240.946</v>
      </c>
      <c r="E31" s="635">
        <v>271.70800000000003</v>
      </c>
      <c r="F31" s="635">
        <v>301.04500000000002</v>
      </c>
      <c r="G31" s="635">
        <v>323.85399999999998</v>
      </c>
      <c r="H31" s="635">
        <v>345.90300000000002</v>
      </c>
      <c r="I31" s="635">
        <v>368.06299999999999</v>
      </c>
      <c r="J31" s="635">
        <v>386.96899999999999</v>
      </c>
      <c r="K31" s="635">
        <v>402.75900000000001</v>
      </c>
      <c r="L31" s="640">
        <v>418.70400000000001</v>
      </c>
      <c r="M31" s="635">
        <v>588.41999999999996</v>
      </c>
      <c r="N31" s="635">
        <f>401+157.72</f>
        <v>558.72</v>
      </c>
      <c r="O31" s="635">
        <f>377+159.645</f>
        <v>536.64499999999998</v>
      </c>
      <c r="P31" s="635">
        <v>535</v>
      </c>
      <c r="Q31" s="635">
        <f>199.27+334</f>
        <v>533.27</v>
      </c>
      <c r="R31" s="635">
        <f>292+206</f>
        <v>498</v>
      </c>
      <c r="S31" s="635">
        <f>287+210</f>
        <v>497</v>
      </c>
      <c r="T31" s="635">
        <f>280+212.5</f>
        <v>492.5</v>
      </c>
      <c r="U31" s="635">
        <f>272.5+212.5</f>
        <v>485</v>
      </c>
      <c r="V31" s="224">
        <f t="shared" si="4"/>
        <v>-1.5228426395939181</v>
      </c>
      <c r="W31" s="474" t="s">
        <v>71</v>
      </c>
    </row>
    <row r="32" spans="1:23" ht="12.75" customHeight="1" x14ac:dyDescent="0.2">
      <c r="A32" s="8"/>
      <c r="B32" s="10" t="s">
        <v>55</v>
      </c>
      <c r="C32" s="627">
        <f>205.032+122.692</f>
        <v>327.72399999999999</v>
      </c>
      <c r="D32" s="624">
        <f>160.073+94.923</f>
        <v>254.99600000000001</v>
      </c>
      <c r="E32" s="624">
        <f>153.768+96.742</f>
        <v>250.51</v>
      </c>
      <c r="F32" s="624">
        <f>146.725+98.994</f>
        <v>245.71899999999999</v>
      </c>
      <c r="G32" s="624">
        <f>141.49+101.093</f>
        <v>242.58300000000003</v>
      </c>
      <c r="H32" s="624">
        <f>137.103+102.105</f>
        <v>239.20800000000003</v>
      </c>
      <c r="I32" s="624">
        <f>134.152+103.749</f>
        <v>237.90099999999998</v>
      </c>
      <c r="J32" s="624">
        <f>132.955+105.525</f>
        <v>238.48000000000002</v>
      </c>
      <c r="K32" s="624">
        <f>132.88+102.97</f>
        <v>235.85</v>
      </c>
      <c r="L32" s="624">
        <f>130.193+104.509</f>
        <v>234.702</v>
      </c>
      <c r="M32" s="624">
        <f>103.556+93.845</f>
        <v>197.40100000000001</v>
      </c>
      <c r="N32" s="628">
        <f>101.474+92.507</f>
        <v>193.98099999999999</v>
      </c>
      <c r="O32" s="629">
        <f>29.403+27.076</f>
        <v>56.478999999999999</v>
      </c>
      <c r="P32" s="624">
        <v>71.826999999999998</v>
      </c>
      <c r="Q32" s="624">
        <f>79.99</f>
        <v>79.989999999999995</v>
      </c>
      <c r="R32" s="624">
        <f>85.171</f>
        <v>85.171000000000006</v>
      </c>
      <c r="S32" s="624">
        <v>90.081999999999994</v>
      </c>
      <c r="T32" s="624">
        <v>95.45</v>
      </c>
      <c r="U32" s="624">
        <v>101.622</v>
      </c>
      <c r="V32" s="165">
        <f t="shared" si="4"/>
        <v>6.4662126767941288</v>
      </c>
      <c r="W32" s="75" t="s">
        <v>55</v>
      </c>
    </row>
    <row r="33" spans="1:23" ht="12.75" customHeight="1" x14ac:dyDescent="0.2">
      <c r="A33" s="8"/>
      <c r="B33" s="197" t="s">
        <v>57</v>
      </c>
      <c r="C33" s="634">
        <v>8.5459999999999994</v>
      </c>
      <c r="D33" s="635">
        <v>8.173</v>
      </c>
      <c r="E33" s="635">
        <v>8.2829999999999995</v>
      </c>
      <c r="F33" s="635">
        <v>9.14</v>
      </c>
      <c r="G33" s="635">
        <v>9.9060000000000006</v>
      </c>
      <c r="H33" s="640">
        <v>11.217000000000001</v>
      </c>
      <c r="I33" s="640">
        <v>11.622</v>
      </c>
      <c r="J33" s="635">
        <f>11.93+38.678</f>
        <v>50.607999999999997</v>
      </c>
      <c r="K33" s="635">
        <f>12.048+30.344</f>
        <v>42.392000000000003</v>
      </c>
      <c r="L33" s="635">
        <f>11.574+28.626</f>
        <v>40.200000000000003</v>
      </c>
      <c r="M33" s="635">
        <f>14.473+34.198</f>
        <v>48.670999999999999</v>
      </c>
      <c r="N33" s="635">
        <f>18.801+34.392</f>
        <v>53.192999999999998</v>
      </c>
      <c r="O33" s="635">
        <f>34.162+37.331</f>
        <v>71.492999999999995</v>
      </c>
      <c r="P33" s="635">
        <v>81.996000000000009</v>
      </c>
      <c r="Q33" s="635">
        <f>46.185+42.243</f>
        <v>88.427999999999997</v>
      </c>
      <c r="R33" s="635">
        <f>48.686+42.322</f>
        <v>91.00800000000001</v>
      </c>
      <c r="S33" s="635">
        <f>49.887+42.296</f>
        <v>92.182999999999993</v>
      </c>
      <c r="T33" s="635">
        <v>93.1</v>
      </c>
      <c r="U33" s="635">
        <f>41.05+51.936</f>
        <v>92.98599999999999</v>
      </c>
      <c r="V33" s="224">
        <f t="shared" si="4"/>
        <v>-0.12244897959183731</v>
      </c>
      <c r="W33" s="474" t="s">
        <v>57</v>
      </c>
    </row>
    <row r="34" spans="1:23" ht="12.75" customHeight="1" x14ac:dyDescent="0.2">
      <c r="A34" s="8"/>
      <c r="B34" s="10" t="s">
        <v>56</v>
      </c>
      <c r="C34" s="627">
        <v>81.846999999999994</v>
      </c>
      <c r="D34" s="624">
        <v>79.478999999999999</v>
      </c>
      <c r="E34" s="624">
        <v>81.061999999999998</v>
      </c>
      <c r="F34" s="628">
        <v>100.89100000000001</v>
      </c>
      <c r="G34" s="624">
        <v>44.215000000000003</v>
      </c>
      <c r="H34" s="624">
        <v>45.646999999999998</v>
      </c>
      <c r="I34" s="624">
        <v>46.676000000000002</v>
      </c>
      <c r="J34" s="624">
        <v>47.9</v>
      </c>
      <c r="K34" s="624">
        <v>48.709000000000003</v>
      </c>
      <c r="L34" s="624">
        <v>51.976999999999997</v>
      </c>
      <c r="M34" s="624">
        <v>56.366</v>
      </c>
      <c r="N34" s="624">
        <v>58.100999999999999</v>
      </c>
      <c r="O34" s="624">
        <v>63.896999999999998</v>
      </c>
      <c r="P34" s="624">
        <v>70.317999999999998</v>
      </c>
      <c r="Q34" s="624">
        <v>55.442999999999998</v>
      </c>
      <c r="R34" s="624">
        <f>59.563</f>
        <v>59.563000000000002</v>
      </c>
      <c r="S34" s="624">
        <f>63.859</f>
        <v>63.859000000000002</v>
      </c>
      <c r="T34" s="624">
        <v>68.063000000000002</v>
      </c>
      <c r="U34" s="624">
        <f>74.101</f>
        <v>74.100999999999999</v>
      </c>
      <c r="V34" s="165">
        <f t="shared" si="4"/>
        <v>8.8711928654334997</v>
      </c>
      <c r="W34" s="75" t="s">
        <v>56</v>
      </c>
    </row>
    <row r="35" spans="1:23" ht="12.75" customHeight="1" x14ac:dyDescent="0.2">
      <c r="A35" s="8"/>
      <c r="B35" s="197" t="s">
        <v>72</v>
      </c>
      <c r="C35" s="634">
        <f>65.095+94.43</f>
        <v>159.52500000000001</v>
      </c>
      <c r="D35" s="635">
        <f>66.468+96.32</f>
        <v>162.78800000000001</v>
      </c>
      <c r="E35" s="635">
        <f>68.552+98.062</f>
        <v>166.614</v>
      </c>
      <c r="F35" s="635">
        <f>72.704+100.621</f>
        <v>173.32499999999999</v>
      </c>
      <c r="G35" s="635">
        <f>80.178+103.01</f>
        <v>183.18799999999999</v>
      </c>
      <c r="H35" s="635">
        <f>90.877+102.545</f>
        <v>193.422</v>
      </c>
      <c r="I35" s="635">
        <f>102.811+103.424</f>
        <v>206.23500000000001</v>
      </c>
      <c r="J35" s="635">
        <f>116.021+107.556</f>
        <v>223.577</v>
      </c>
      <c r="K35" s="635">
        <f>129.67+115.712</f>
        <v>245.38200000000001</v>
      </c>
      <c r="L35" s="635">
        <f>142.703+129.017</f>
        <v>271.72000000000003</v>
      </c>
      <c r="M35" s="635">
        <f>156.487+145.318</f>
        <v>301.80500000000001</v>
      </c>
      <c r="N35" s="635">
        <f>172.283+166.16</f>
        <v>338.44299999999998</v>
      </c>
      <c r="O35" s="635">
        <f>188.144+188.388</f>
        <v>376.53200000000004</v>
      </c>
      <c r="P35" s="635">
        <v>421.54399999999998</v>
      </c>
      <c r="Q35" s="635">
        <f>216.443+239.754</f>
        <v>456.197</v>
      </c>
      <c r="R35" s="635">
        <f>226.877+259.889</f>
        <v>486.76600000000002</v>
      </c>
      <c r="S35" s="635">
        <f>279+237</f>
        <v>516</v>
      </c>
      <c r="T35" s="635">
        <f>244.968+293.051</f>
        <v>538.01900000000001</v>
      </c>
      <c r="U35" s="635">
        <f>302.727+251.525</f>
        <v>554.25199999999995</v>
      </c>
      <c r="V35" s="224">
        <f t="shared" si="4"/>
        <v>3.0171796906800523</v>
      </c>
      <c r="W35" s="474" t="s">
        <v>72</v>
      </c>
    </row>
    <row r="36" spans="1:23" ht="12.75" customHeight="1" x14ac:dyDescent="0.2">
      <c r="A36" s="8"/>
      <c r="B36" s="10" t="s">
        <v>73</v>
      </c>
      <c r="C36" s="627">
        <f>117.387+146.793</f>
        <v>264.18</v>
      </c>
      <c r="D36" s="624">
        <f>121.95+150.765</f>
        <v>272.71499999999997</v>
      </c>
      <c r="E36" s="624">
        <f>130.041+149.38</f>
        <v>279.42099999999999</v>
      </c>
      <c r="F36" s="624">
        <f>137.466+148.454</f>
        <v>285.92</v>
      </c>
      <c r="G36" s="624">
        <f>149.97+150.49</f>
        <v>300.46000000000004</v>
      </c>
      <c r="H36" s="624">
        <f>167.346+142.723</f>
        <v>310.06900000000002</v>
      </c>
      <c r="I36" s="624">
        <f>190.607+145.734</f>
        <v>336.34100000000001</v>
      </c>
      <c r="J36" s="624">
        <f>220.75+151.619</f>
        <v>372.36900000000003</v>
      </c>
      <c r="K36" s="624">
        <f>247.129+148.472</f>
        <v>395.601</v>
      </c>
      <c r="L36" s="624">
        <f>205.567+155.754+41.996</f>
        <v>403.31700000000001</v>
      </c>
      <c r="M36" s="624">
        <f>225.038+169.574+58.47</f>
        <v>453.08199999999999</v>
      </c>
      <c r="N36" s="624">
        <f>245.039+177.306+75.399</f>
        <v>497.74400000000003</v>
      </c>
      <c r="O36" s="624">
        <f>259.017+184.231+84.877</f>
        <v>528.125</v>
      </c>
      <c r="P36" s="624">
        <v>553.92899999999997</v>
      </c>
      <c r="Q36" s="624">
        <f>277.626+91.677+202.587</f>
        <v>571.89</v>
      </c>
      <c r="R36" s="624">
        <f>277.745+78.348+214.147</f>
        <v>570.24</v>
      </c>
      <c r="S36" s="624">
        <f>280.562+222.764+75.169</f>
        <v>578.495</v>
      </c>
      <c r="T36" s="624">
        <f>236.704+73.163+283.942</f>
        <v>593.80899999999997</v>
      </c>
      <c r="U36" s="624">
        <f>284.969+73.176+247.445</f>
        <v>605.58999999999992</v>
      </c>
      <c r="V36" s="165">
        <f t="shared" si="4"/>
        <v>1.9839712769594229</v>
      </c>
      <c r="W36" s="75" t="s">
        <v>73</v>
      </c>
    </row>
    <row r="37" spans="1:23" ht="12.75" customHeight="1" x14ac:dyDescent="0.2">
      <c r="A37" s="8"/>
      <c r="B37" s="199" t="s">
        <v>62</v>
      </c>
      <c r="C37" s="642">
        <v>714</v>
      </c>
      <c r="D37" s="643">
        <v>752</v>
      </c>
      <c r="E37" s="643">
        <v>766</v>
      </c>
      <c r="F37" s="643">
        <v>828</v>
      </c>
      <c r="G37" s="643">
        <v>905</v>
      </c>
      <c r="H37" s="643">
        <v>971</v>
      </c>
      <c r="I37" s="643">
        <v>1028</v>
      </c>
      <c r="J37" s="643">
        <v>1090</v>
      </c>
      <c r="K37" s="643">
        <v>1162</v>
      </c>
      <c r="L37" s="643">
        <v>1218</v>
      </c>
      <c r="M37" s="643">
        <v>1235</v>
      </c>
      <c r="N37" s="643">
        <f>1209.6+30</f>
        <v>1239.5999999999999</v>
      </c>
      <c r="O37" s="643">
        <f>1248.3+32</f>
        <v>1280.3</v>
      </c>
      <c r="P37" s="643">
        <v>1305.5999999999999</v>
      </c>
      <c r="Q37" s="643">
        <f>1275.6+31.156</f>
        <v>1306.7559999999999</v>
      </c>
      <c r="R37" s="643">
        <f>30.001+1234.4</f>
        <v>1264.4010000000001</v>
      </c>
      <c r="S37" s="643">
        <f>1238.3+28.536</f>
        <v>1266.836</v>
      </c>
      <c r="T37" s="643">
        <f>1224.8+26.998</f>
        <v>1251.798</v>
      </c>
      <c r="U37" s="643">
        <f>1219.4+24.345</f>
        <v>1243.7450000000001</v>
      </c>
      <c r="V37" s="226">
        <f t="shared" si="4"/>
        <v>-0.64331465619851258</v>
      </c>
      <c r="W37" s="475" t="s">
        <v>62</v>
      </c>
    </row>
    <row r="38" spans="1:23" s="526" customFormat="1" ht="12.75" customHeight="1" x14ac:dyDescent="0.2">
      <c r="A38" s="8"/>
      <c r="B38" s="530" t="s">
        <v>234</v>
      </c>
      <c r="C38" s="624">
        <v>6.9459999999999997</v>
      </c>
      <c r="D38" s="624">
        <v>5.5410000000000004</v>
      </c>
      <c r="E38" s="624">
        <v>3.645</v>
      </c>
      <c r="F38" s="624">
        <v>4.109</v>
      </c>
      <c r="G38" s="624">
        <v>3.214</v>
      </c>
      <c r="H38" s="624">
        <v>3.8079999999999998</v>
      </c>
      <c r="I38" s="624">
        <v>3.4470000000000001</v>
      </c>
      <c r="J38" s="624">
        <v>3.4</v>
      </c>
      <c r="K38" s="624">
        <v>3.8959999999999999</v>
      </c>
      <c r="L38" s="624">
        <v>4.8769999999999998</v>
      </c>
      <c r="M38" s="624">
        <v>7.17</v>
      </c>
      <c r="N38" s="624">
        <v>11.638999999999999</v>
      </c>
      <c r="O38" s="624">
        <v>13.859</v>
      </c>
      <c r="P38" s="624">
        <v>18.329000000000001</v>
      </c>
      <c r="Q38" s="624">
        <v>20.873999999999999</v>
      </c>
      <c r="R38" s="624">
        <v>24.021999999999998</v>
      </c>
      <c r="S38" s="624">
        <v>24.009</v>
      </c>
      <c r="T38" s="624">
        <v>25.492000000000001</v>
      </c>
      <c r="U38" s="624">
        <v>26.664000000000001</v>
      </c>
      <c r="V38" s="165">
        <f t="shared" si="4"/>
        <v>4.5975207908363558</v>
      </c>
      <c r="W38" s="75" t="s">
        <v>234</v>
      </c>
    </row>
    <row r="39" spans="1:23" ht="12.75" customHeight="1" x14ac:dyDescent="0.2">
      <c r="A39" s="8"/>
      <c r="B39" s="197" t="s">
        <v>223</v>
      </c>
      <c r="C39" s="635"/>
      <c r="D39" s="635"/>
      <c r="E39" s="635"/>
      <c r="F39" s="635"/>
      <c r="G39" s="635"/>
      <c r="H39" s="635"/>
      <c r="I39" s="635"/>
      <c r="J39" s="635"/>
      <c r="K39" s="635"/>
      <c r="L39" s="635"/>
      <c r="M39" s="635"/>
      <c r="N39" s="635"/>
      <c r="O39" s="635"/>
      <c r="P39" s="635"/>
      <c r="Q39" s="635"/>
      <c r="R39" s="635"/>
      <c r="S39" s="635">
        <v>4.6609999999999996</v>
      </c>
      <c r="T39" s="635">
        <v>4.5759999999999996</v>
      </c>
      <c r="U39" s="635">
        <v>5.0460000000000003</v>
      </c>
      <c r="V39" s="224">
        <f t="shared" si="4"/>
        <v>10.270979020979041</v>
      </c>
      <c r="W39" s="474" t="s">
        <v>223</v>
      </c>
    </row>
    <row r="40" spans="1:23" ht="12.75" customHeight="1" x14ac:dyDescent="0.2">
      <c r="A40" s="8"/>
      <c r="B40" s="530" t="s">
        <v>1</v>
      </c>
      <c r="C40" s="624"/>
      <c r="D40" s="624"/>
      <c r="E40" s="624"/>
      <c r="F40" s="624"/>
      <c r="G40" s="624"/>
      <c r="H40" s="624"/>
      <c r="I40" s="624"/>
      <c r="J40" s="624"/>
      <c r="K40" s="624">
        <v>2.1419999999999999</v>
      </c>
      <c r="L40" s="624">
        <v>1.3819999999999999</v>
      </c>
      <c r="M40" s="624">
        <v>1.724</v>
      </c>
      <c r="N40" s="624">
        <v>3.4420000000000002</v>
      </c>
      <c r="O40" s="624">
        <v>4.4370000000000003</v>
      </c>
      <c r="P40" s="624">
        <v>8.6259999999999994</v>
      </c>
      <c r="Q40" s="624">
        <f>9.097</f>
        <v>9.0969999999999995</v>
      </c>
      <c r="R40" s="624">
        <f>7.761</f>
        <v>7.7610000000000001</v>
      </c>
      <c r="S40" s="624">
        <f>8.373</f>
        <v>8.3729999999999993</v>
      </c>
      <c r="T40" s="624">
        <v>8.4730000000000008</v>
      </c>
      <c r="U40" s="624">
        <v>8.093</v>
      </c>
      <c r="V40" s="165">
        <f t="shared" si="4"/>
        <v>-4.4848341791573318</v>
      </c>
      <c r="W40" s="75" t="s">
        <v>1</v>
      </c>
    </row>
    <row r="41" spans="1:23" ht="12.75" customHeight="1" x14ac:dyDescent="0.2">
      <c r="A41" s="8"/>
      <c r="B41" s="197" t="s">
        <v>222</v>
      </c>
      <c r="C41" s="635"/>
      <c r="D41" s="635"/>
      <c r="E41" s="635"/>
      <c r="F41" s="635"/>
      <c r="G41" s="635"/>
      <c r="H41" s="635"/>
      <c r="I41" s="635">
        <v>13.097</v>
      </c>
      <c r="J41" s="635">
        <v>12.339</v>
      </c>
      <c r="K41" s="635">
        <v>13.287000000000001</v>
      </c>
      <c r="L41" s="635">
        <v>14.771000000000001</v>
      </c>
      <c r="M41" s="635">
        <v>16.042000000000002</v>
      </c>
      <c r="N41" s="635">
        <v>20.38</v>
      </c>
      <c r="O41" s="635">
        <v>24.896999999999998</v>
      </c>
      <c r="P41" s="635">
        <v>31.803000000000001</v>
      </c>
      <c r="Q41" s="635">
        <v>34.5</v>
      </c>
      <c r="R41" s="636">
        <v>37.945999999999998</v>
      </c>
      <c r="S41" s="635">
        <v>39.134999999999998</v>
      </c>
      <c r="T41" s="635">
        <v>47.237000000000002</v>
      </c>
      <c r="U41" s="635">
        <f>22.582+36.87</f>
        <v>59.451999999999998</v>
      </c>
      <c r="V41" s="224">
        <f t="shared" si="4"/>
        <v>25.858966488134286</v>
      </c>
      <c r="W41" s="474" t="s">
        <v>222</v>
      </c>
    </row>
    <row r="42" spans="1:23" ht="12.75" customHeight="1" x14ac:dyDescent="0.2">
      <c r="A42" s="8"/>
      <c r="B42" s="531" t="s">
        <v>58</v>
      </c>
      <c r="C42" s="624">
        <v>819.92200000000003</v>
      </c>
      <c r="D42" s="624">
        <v>854.15</v>
      </c>
      <c r="E42" s="624">
        <v>905.12099999999998</v>
      </c>
      <c r="F42" s="624">
        <v>940.93499999999995</v>
      </c>
      <c r="G42" s="624">
        <v>975.74599999999998</v>
      </c>
      <c r="H42" s="624">
        <v>1011.284</v>
      </c>
      <c r="I42" s="624">
        <v>1031.221</v>
      </c>
      <c r="J42" s="624">
        <v>1046.9069999999999</v>
      </c>
      <c r="K42" s="624">
        <v>1073.415</v>
      </c>
      <c r="L42" s="624">
        <v>1218.6769999999999</v>
      </c>
      <c r="M42" s="624">
        <v>1441.066</v>
      </c>
      <c r="N42" s="624">
        <v>1822.8309999999999</v>
      </c>
      <c r="O42" s="624">
        <v>2003.492</v>
      </c>
      <c r="P42" s="624">
        <v>2181.3829999999998</v>
      </c>
      <c r="Q42" s="624">
        <v>2303.261</v>
      </c>
      <c r="R42" s="624">
        <f>2389.488</f>
        <v>2389.4879999999998</v>
      </c>
      <c r="S42" s="624">
        <f>2527.19</f>
        <v>2527.19</v>
      </c>
      <c r="T42" s="624">
        <v>2657.7220000000002</v>
      </c>
      <c r="U42" s="624">
        <f>2722.826</f>
        <v>2722.826</v>
      </c>
      <c r="V42" s="165">
        <f t="shared" si="4"/>
        <v>2.4496166265696644</v>
      </c>
      <c r="W42" s="76" t="s">
        <v>58</v>
      </c>
    </row>
    <row r="43" spans="1:23" ht="12.75" customHeight="1" x14ac:dyDescent="0.2">
      <c r="A43" s="8"/>
      <c r="B43" s="195" t="s">
        <v>44</v>
      </c>
      <c r="C43" s="651">
        <v>1.881</v>
      </c>
      <c r="D43" s="651">
        <v>1.95</v>
      </c>
      <c r="E43" s="651">
        <v>2.0470000000000002</v>
      </c>
      <c r="F43" s="651">
        <v>1.9059999999999999</v>
      </c>
      <c r="G43" s="651">
        <v>2.0840000000000001</v>
      </c>
      <c r="H43" s="651">
        <v>2.278</v>
      </c>
      <c r="I43" s="651">
        <v>2.444</v>
      </c>
      <c r="J43" s="651">
        <v>2.5569999999999999</v>
      </c>
      <c r="K43" s="651">
        <v>2.7469999999999999</v>
      </c>
      <c r="L43" s="651">
        <v>3.105</v>
      </c>
      <c r="M43" s="651">
        <v>4.1829999999999998</v>
      </c>
      <c r="N43" s="651">
        <v>5.6989999999999998</v>
      </c>
      <c r="O43" s="651">
        <v>8.0739999999999998</v>
      </c>
      <c r="P43" s="651">
        <v>9.0090000000000003</v>
      </c>
      <c r="Q43" s="651">
        <v>9.42</v>
      </c>
      <c r="R43" s="651">
        <v>9.6509999999999998</v>
      </c>
      <c r="S43" s="651">
        <f>9.922</f>
        <v>9.9220000000000006</v>
      </c>
      <c r="T43" s="651">
        <v>10.135</v>
      </c>
      <c r="U43" s="651">
        <v>10.212999999999999</v>
      </c>
      <c r="V43" s="572">
        <f t="shared" si="4"/>
        <v>0.76961026147014877</v>
      </c>
      <c r="W43" s="574" t="s">
        <v>44</v>
      </c>
    </row>
    <row r="44" spans="1:23" ht="12.75" customHeight="1" x14ac:dyDescent="0.2">
      <c r="A44" s="8"/>
      <c r="B44" s="530" t="s">
        <v>74</v>
      </c>
      <c r="C44" s="624">
        <v>158.624</v>
      </c>
      <c r="D44" s="624">
        <v>164.77500000000001</v>
      </c>
      <c r="E44" s="624">
        <v>174.60300000000001</v>
      </c>
      <c r="F44" s="624">
        <v>184.34699999999998</v>
      </c>
      <c r="G44" s="624">
        <v>193.00099999999998</v>
      </c>
      <c r="H44" s="624">
        <v>201.56399999999999</v>
      </c>
      <c r="I44" s="624">
        <v>211.42700000000002</v>
      </c>
      <c r="J44" s="624">
        <v>225.173</v>
      </c>
      <c r="K44" s="624">
        <v>239.596</v>
      </c>
      <c r="L44" s="624">
        <v>248.57099999999997</v>
      </c>
      <c r="M44" s="624">
        <f>148.161+13.63+95.708</f>
        <v>257.49900000000002</v>
      </c>
      <c r="N44" s="624">
        <f>116.875+151.67</f>
        <v>268.54499999999996</v>
      </c>
      <c r="O44" s="624">
        <f>156.287+16.589+109.618</f>
        <v>282.49400000000003</v>
      </c>
      <c r="P44" s="624">
        <f>161.662+17.677+117.044</f>
        <v>296.38299999999998</v>
      </c>
      <c r="Q44" s="624">
        <f>141.235+165.557</f>
        <v>306.79200000000003</v>
      </c>
      <c r="R44" s="624">
        <f>146.592+168.904</f>
        <v>315.49599999999998</v>
      </c>
      <c r="S44" s="624">
        <f>151.65+171.846</f>
        <v>323.49599999999998</v>
      </c>
      <c r="T44" s="624">
        <v>331.69900000000001</v>
      </c>
      <c r="U44" s="624">
        <f>176.087+21.349+140.474</f>
        <v>337.90999999999997</v>
      </c>
      <c r="V44" s="165">
        <f t="shared" si="4"/>
        <v>1.8724807732311461</v>
      </c>
      <c r="W44" s="75" t="s">
        <v>74</v>
      </c>
    </row>
    <row r="45" spans="1:23" ht="12.75" customHeight="1" x14ac:dyDescent="0.2">
      <c r="A45" s="8"/>
      <c r="B45" s="197" t="s">
        <v>45</v>
      </c>
      <c r="C45" s="635">
        <v>704.12699999999995</v>
      </c>
      <c r="D45" s="635">
        <v>699.05200000000002</v>
      </c>
      <c r="E45" s="635">
        <v>709.64499999999998</v>
      </c>
      <c r="F45" s="635">
        <v>718.76400000000001</v>
      </c>
      <c r="G45" s="635">
        <v>728.95399999999995</v>
      </c>
      <c r="H45" s="635">
        <v>732.55100000000004</v>
      </c>
      <c r="I45" s="635">
        <v>741.01400000000001</v>
      </c>
      <c r="J45" s="635">
        <v>753.37199999999996</v>
      </c>
      <c r="K45" s="635">
        <v>762.91800000000001</v>
      </c>
      <c r="L45" s="635">
        <v>770.63900000000001</v>
      </c>
      <c r="M45" s="635">
        <v>771.05200000000002</v>
      </c>
      <c r="N45" s="635">
        <v>782.67499999999995</v>
      </c>
      <c r="O45" s="635">
        <v>787.54700000000003</v>
      </c>
      <c r="P45" s="635">
        <v>802.245</v>
      </c>
      <c r="Q45" s="635">
        <v>806.49199999999996</v>
      </c>
      <c r="R45" s="635">
        <v>815.64800000000002</v>
      </c>
      <c r="S45" s="635">
        <v>833.93399999999997</v>
      </c>
      <c r="T45" s="635">
        <v>851.42899999999997</v>
      </c>
      <c r="U45" s="635">
        <v>862.91300000000001</v>
      </c>
      <c r="V45" s="224">
        <f t="shared" si="4"/>
        <v>1.3487912673869431</v>
      </c>
      <c r="W45" s="474" t="s">
        <v>45</v>
      </c>
    </row>
    <row r="46" spans="1:23" ht="12.75" customHeight="1" x14ac:dyDescent="0.2">
      <c r="A46" s="8"/>
      <c r="B46" s="531" t="s">
        <v>84</v>
      </c>
      <c r="C46" s="648"/>
      <c r="D46" s="648"/>
      <c r="E46" s="648"/>
      <c r="F46" s="648"/>
      <c r="G46" s="648">
        <v>2.4430000000000001</v>
      </c>
      <c r="H46" s="648">
        <v>2.5939999999999999</v>
      </c>
      <c r="I46" s="648">
        <v>2.754</v>
      </c>
      <c r="J46" s="648">
        <v>2.8780000000000001</v>
      </c>
      <c r="K46" s="648">
        <v>2.98</v>
      </c>
      <c r="L46" s="648">
        <v>3.0030000000000001</v>
      </c>
      <c r="M46" s="648">
        <v>3.11</v>
      </c>
      <c r="N46" s="648">
        <v>3.17</v>
      </c>
      <c r="O46" s="648">
        <v>3.2559999999999998</v>
      </c>
      <c r="P46" s="648">
        <v>3.4380000000000002</v>
      </c>
      <c r="Q46" s="648">
        <f>3.577</f>
        <v>3.577</v>
      </c>
      <c r="R46" s="648">
        <v>3.734</v>
      </c>
      <c r="S46" s="648">
        <f>3.753</f>
        <v>3.7530000000000001</v>
      </c>
      <c r="T46" s="648">
        <v>3.931</v>
      </c>
      <c r="U46" s="648">
        <f>3.999</f>
        <v>3.9990000000000001</v>
      </c>
      <c r="V46" s="166">
        <f t="shared" si="4"/>
        <v>1.729839735436272</v>
      </c>
      <c r="W46" s="76" t="s">
        <v>84</v>
      </c>
    </row>
    <row r="47" spans="1:23" ht="31.5" customHeight="1" x14ac:dyDescent="0.2">
      <c r="B47" s="980" t="s">
        <v>183</v>
      </c>
      <c r="C47" s="981"/>
      <c r="D47" s="981"/>
      <c r="E47" s="981"/>
      <c r="F47" s="981"/>
      <c r="G47" s="981"/>
      <c r="H47" s="981"/>
      <c r="I47" s="981"/>
      <c r="J47" s="981"/>
      <c r="K47" s="981"/>
      <c r="L47" s="981"/>
      <c r="M47" s="981"/>
      <c r="N47" s="981"/>
      <c r="O47" s="981"/>
      <c r="P47" s="981"/>
      <c r="Q47" s="981"/>
      <c r="R47" s="981"/>
      <c r="S47" s="981"/>
      <c r="T47" s="981"/>
      <c r="U47" s="981"/>
      <c r="V47" s="981"/>
      <c r="W47" s="981"/>
    </row>
    <row r="48" spans="1:23" ht="12.75" customHeight="1" x14ac:dyDescent="0.2">
      <c r="B48" s="982" t="s">
        <v>178</v>
      </c>
      <c r="C48" s="983"/>
      <c r="D48" s="983"/>
      <c r="E48" s="983"/>
      <c r="F48" s="983"/>
      <c r="G48" s="983"/>
      <c r="H48" s="983"/>
      <c r="I48" s="983"/>
      <c r="J48" s="983"/>
      <c r="K48" s="983"/>
      <c r="L48" s="983"/>
      <c r="M48" s="983"/>
      <c r="N48" s="983"/>
      <c r="O48" s="983"/>
      <c r="P48" s="983"/>
      <c r="Q48" s="983"/>
      <c r="R48" s="983"/>
      <c r="S48" s="983"/>
      <c r="T48" s="983"/>
      <c r="U48" s="983"/>
      <c r="V48" s="983"/>
      <c r="W48" s="983"/>
    </row>
    <row r="49" spans="2:23" ht="12.75" customHeight="1" x14ac:dyDescent="0.2">
      <c r="B49" s="977" t="s">
        <v>179</v>
      </c>
      <c r="C49" s="977"/>
      <c r="D49" s="977"/>
      <c r="E49" s="977"/>
      <c r="F49" s="977"/>
      <c r="G49" s="977"/>
      <c r="H49" s="977"/>
      <c r="I49" s="977"/>
      <c r="J49" s="977"/>
      <c r="K49" s="977"/>
      <c r="L49" s="977"/>
      <c r="M49" s="977"/>
      <c r="N49" s="977"/>
      <c r="O49" s="977"/>
      <c r="P49" s="977"/>
      <c r="Q49" s="977"/>
      <c r="R49" s="977"/>
      <c r="S49" s="977"/>
      <c r="T49" s="977"/>
      <c r="U49" s="977"/>
      <c r="V49" s="977"/>
      <c r="W49" s="977"/>
    </row>
    <row r="50" spans="2:23" ht="12.75" customHeight="1" x14ac:dyDescent="0.2">
      <c r="B50" s="977" t="s">
        <v>184</v>
      </c>
      <c r="C50" s="977"/>
      <c r="D50" s="977"/>
      <c r="E50" s="977"/>
      <c r="F50" s="977"/>
      <c r="G50" s="977"/>
      <c r="H50" s="977"/>
      <c r="I50" s="977"/>
      <c r="J50" s="977"/>
      <c r="K50" s="977"/>
      <c r="L50" s="977"/>
      <c r="M50" s="977"/>
      <c r="N50" s="977"/>
      <c r="O50" s="977"/>
      <c r="P50" s="977"/>
      <c r="Q50" s="977"/>
      <c r="R50" s="977"/>
      <c r="S50" s="977"/>
      <c r="T50" s="977"/>
      <c r="U50" s="977"/>
      <c r="V50" s="977"/>
      <c r="W50" s="977"/>
    </row>
    <row r="51" spans="2:23" ht="12.75" customHeight="1" x14ac:dyDescent="0.2">
      <c r="B51" s="977" t="s">
        <v>185</v>
      </c>
      <c r="C51" s="977"/>
      <c r="D51" s="977"/>
      <c r="E51" s="977"/>
      <c r="F51" s="977"/>
      <c r="G51" s="977"/>
      <c r="H51" s="977"/>
      <c r="I51" s="977"/>
      <c r="J51" s="977"/>
      <c r="K51" s="977"/>
      <c r="L51" s="977"/>
      <c r="M51" s="977"/>
      <c r="N51" s="977"/>
      <c r="O51" s="977"/>
      <c r="P51" s="977"/>
      <c r="Q51" s="977"/>
      <c r="R51" s="977"/>
      <c r="S51" s="977"/>
      <c r="T51" s="977"/>
      <c r="U51" s="977"/>
      <c r="V51" s="977"/>
      <c r="W51" s="977"/>
    </row>
    <row r="52" spans="2:23" ht="16.5" customHeight="1" x14ac:dyDescent="0.2">
      <c r="B52" s="977" t="s">
        <v>211</v>
      </c>
      <c r="C52" s="977"/>
      <c r="D52" s="977"/>
      <c r="E52" s="977"/>
      <c r="F52" s="977"/>
      <c r="G52" s="977"/>
      <c r="H52" s="977"/>
      <c r="I52" s="977"/>
      <c r="J52" s="977"/>
      <c r="K52" s="977"/>
      <c r="L52" s="977"/>
      <c r="M52" s="977"/>
      <c r="N52" s="977"/>
      <c r="O52" s="977"/>
      <c r="P52" s="977"/>
      <c r="Q52" s="977"/>
      <c r="R52" s="977"/>
      <c r="S52" s="977"/>
      <c r="T52" s="977"/>
      <c r="U52" s="977"/>
      <c r="V52" s="977"/>
      <c r="W52" s="977"/>
    </row>
    <row r="53" spans="2:23" ht="14.25" x14ac:dyDescent="0.2">
      <c r="J53" s="435"/>
      <c r="K53" s="436"/>
      <c r="L53" s="434"/>
      <c r="M53" s="434"/>
      <c r="N53" s="434"/>
      <c r="Q53" s="438"/>
      <c r="R53" s="439"/>
      <c r="S53" s="437"/>
      <c r="T53" s="471"/>
      <c r="U53" s="471"/>
      <c r="V53" s="437"/>
      <c r="W53" s="437"/>
    </row>
    <row r="54" spans="2:23" ht="14.25" x14ac:dyDescent="0.2">
      <c r="J54" s="435"/>
      <c r="K54" s="436"/>
      <c r="L54" s="434"/>
      <c r="M54" s="434"/>
      <c r="N54" s="434"/>
      <c r="Q54" s="438"/>
      <c r="R54" s="439"/>
      <c r="S54" s="437"/>
      <c r="T54" s="471"/>
      <c r="U54" s="471"/>
      <c r="V54" s="437"/>
      <c r="W54" s="437"/>
    </row>
    <row r="55" spans="2:23" ht="14.25" x14ac:dyDescent="0.2">
      <c r="J55" s="435"/>
      <c r="K55" s="435"/>
      <c r="L55" s="434"/>
      <c r="M55" s="434"/>
      <c r="N55" s="434"/>
      <c r="Q55" s="438"/>
      <c r="R55" s="438"/>
      <c r="S55" s="437"/>
      <c r="T55" s="471"/>
      <c r="U55" s="471"/>
      <c r="V55" s="437"/>
      <c r="W55" s="437"/>
    </row>
    <row r="57" spans="2:23" ht="14.25" x14ac:dyDescent="0.2">
      <c r="J57" s="438"/>
      <c r="K57" s="439"/>
      <c r="L57" s="437"/>
      <c r="M57" s="437"/>
      <c r="N57" s="437"/>
      <c r="Q57" s="438"/>
      <c r="S57" s="438"/>
      <c r="T57" s="472"/>
      <c r="U57" s="472"/>
      <c r="V57" s="439"/>
      <c r="W57" s="437"/>
    </row>
    <row r="58" spans="2:23" ht="14.25" x14ac:dyDescent="0.2">
      <c r="J58" s="438"/>
      <c r="K58" s="439"/>
      <c r="L58" s="437"/>
      <c r="M58" s="437"/>
      <c r="N58" s="437"/>
      <c r="Q58" s="438"/>
      <c r="S58" s="438"/>
      <c r="T58" s="472"/>
      <c r="U58" s="472"/>
      <c r="V58" s="439"/>
      <c r="W58" s="437"/>
    </row>
    <row r="59" spans="2:23" ht="14.25" x14ac:dyDescent="0.2">
      <c r="J59" s="438"/>
      <c r="K59" s="439"/>
      <c r="L59" s="437"/>
      <c r="M59" s="437"/>
      <c r="N59" s="437"/>
      <c r="Q59" s="438"/>
      <c r="S59" s="438"/>
      <c r="T59" s="472"/>
      <c r="U59" s="472"/>
      <c r="V59" s="439"/>
      <c r="W59" s="437"/>
    </row>
    <row r="60" spans="2:23" ht="14.25" x14ac:dyDescent="0.2">
      <c r="J60" s="438"/>
      <c r="K60" s="439"/>
      <c r="L60" s="437"/>
      <c r="M60" s="437"/>
      <c r="N60" s="437"/>
      <c r="Q60" s="438"/>
      <c r="S60" s="438"/>
      <c r="T60" s="472"/>
      <c r="U60" s="472"/>
      <c r="V60" s="439"/>
      <c r="W60" s="437"/>
    </row>
    <row r="61" spans="2:23" ht="14.25" x14ac:dyDescent="0.2">
      <c r="J61" s="438"/>
      <c r="K61" s="439"/>
      <c r="L61" s="437"/>
      <c r="M61" s="437"/>
      <c r="N61" s="437"/>
      <c r="Q61" s="438"/>
      <c r="S61" s="438"/>
      <c r="T61" s="472"/>
      <c r="U61" s="472"/>
      <c r="V61" s="439"/>
      <c r="W61" s="437"/>
    </row>
    <row r="62" spans="2:23" ht="14.25" x14ac:dyDescent="0.2">
      <c r="J62" s="438"/>
      <c r="K62" s="439"/>
      <c r="L62" s="437"/>
      <c r="M62" s="437"/>
      <c r="N62" s="437"/>
      <c r="Q62" s="438"/>
      <c r="S62" s="438"/>
      <c r="T62" s="472"/>
      <c r="U62" s="472"/>
      <c r="V62" s="439"/>
      <c r="W62" s="437"/>
    </row>
    <row r="63" spans="2:23" ht="14.25" x14ac:dyDescent="0.2">
      <c r="J63" s="438"/>
      <c r="K63" s="439"/>
      <c r="L63" s="437"/>
      <c r="M63" s="437"/>
      <c r="N63" s="437"/>
      <c r="Q63" s="438"/>
      <c r="S63" s="438"/>
      <c r="T63" s="472"/>
      <c r="U63" s="472"/>
      <c r="V63" s="439"/>
      <c r="W63" s="437"/>
    </row>
    <row r="64" spans="2:23" ht="14.25" x14ac:dyDescent="0.2">
      <c r="J64" s="438"/>
      <c r="K64" s="439"/>
      <c r="L64" s="437"/>
      <c r="M64" s="437"/>
      <c r="N64" s="437"/>
      <c r="Q64" s="438"/>
      <c r="S64" s="438"/>
      <c r="T64" s="472"/>
      <c r="U64" s="472"/>
      <c r="V64" s="439"/>
      <c r="W64" s="437"/>
    </row>
    <row r="65" spans="10:23" ht="14.25" x14ac:dyDescent="0.2">
      <c r="J65" s="438"/>
      <c r="K65" s="439"/>
      <c r="L65" s="437"/>
      <c r="M65" s="437"/>
      <c r="N65" s="437"/>
      <c r="Q65" s="438"/>
      <c r="S65" s="438"/>
      <c r="T65" s="472"/>
      <c r="U65" s="472"/>
      <c r="V65" s="439"/>
      <c r="W65" s="437"/>
    </row>
    <row r="66" spans="10:23" ht="14.25" x14ac:dyDescent="0.2">
      <c r="J66" s="438"/>
      <c r="K66" s="439"/>
      <c r="L66" s="437"/>
      <c r="M66" s="437"/>
      <c r="N66" s="437"/>
      <c r="Q66" s="438"/>
      <c r="S66" s="438"/>
      <c r="T66" s="472"/>
      <c r="U66" s="472"/>
      <c r="V66" s="439"/>
      <c r="W66" s="437"/>
    </row>
    <row r="67" spans="10:23" ht="14.25" x14ac:dyDescent="0.2">
      <c r="J67" s="438"/>
      <c r="K67" s="439"/>
      <c r="L67" s="437"/>
      <c r="M67" s="437"/>
      <c r="N67" s="437"/>
      <c r="Q67" s="438"/>
      <c r="S67" s="438"/>
      <c r="T67" s="472"/>
      <c r="U67" s="472"/>
      <c r="V67" s="439"/>
      <c r="W67" s="437"/>
    </row>
    <row r="68" spans="10:23" ht="14.25" x14ac:dyDescent="0.2">
      <c r="J68" s="438"/>
      <c r="K68" s="439"/>
      <c r="L68" s="437"/>
      <c r="M68" s="437"/>
      <c r="N68" s="437"/>
      <c r="Q68" s="438"/>
      <c r="S68" s="438"/>
      <c r="T68" s="472"/>
      <c r="U68" s="472"/>
      <c r="V68" s="439"/>
      <c r="W68" s="437"/>
    </row>
    <row r="69" spans="10:23" ht="14.25" x14ac:dyDescent="0.2">
      <c r="J69" s="438"/>
      <c r="K69" s="439"/>
      <c r="L69" s="437"/>
      <c r="M69" s="437"/>
      <c r="N69" s="437"/>
      <c r="Q69" s="438"/>
      <c r="S69" s="438"/>
      <c r="T69" s="472"/>
      <c r="U69" s="472"/>
      <c r="V69" s="439"/>
      <c r="W69" s="437"/>
    </row>
    <row r="70" spans="10:23" ht="14.25" x14ac:dyDescent="0.2">
      <c r="J70" s="438"/>
      <c r="K70" s="439"/>
      <c r="L70" s="437"/>
      <c r="M70" s="437"/>
      <c r="N70" s="437"/>
      <c r="Q70" s="438"/>
      <c r="S70" s="438"/>
      <c r="T70" s="472"/>
      <c r="U70" s="472"/>
      <c r="V70" s="439"/>
      <c r="W70" s="437"/>
    </row>
    <row r="71" spans="10:23" ht="14.25" x14ac:dyDescent="0.2">
      <c r="J71" s="438"/>
      <c r="K71" s="439"/>
      <c r="L71" s="437"/>
      <c r="M71" s="437"/>
      <c r="N71" s="437"/>
      <c r="Q71" s="438"/>
      <c r="S71" s="438"/>
      <c r="T71" s="472"/>
      <c r="U71" s="472"/>
      <c r="V71" s="439"/>
      <c r="W71" s="437"/>
    </row>
    <row r="72" spans="10:23" ht="14.25" x14ac:dyDescent="0.2">
      <c r="J72" s="438"/>
      <c r="K72" s="439"/>
      <c r="L72" s="437"/>
      <c r="M72" s="437"/>
      <c r="N72" s="437"/>
      <c r="Q72" s="438"/>
      <c r="S72" s="438"/>
      <c r="T72" s="472"/>
      <c r="U72" s="472"/>
      <c r="V72" s="439"/>
      <c r="W72" s="437"/>
    </row>
    <row r="73" spans="10:23" ht="14.25" x14ac:dyDescent="0.2">
      <c r="J73" s="438"/>
      <c r="K73" s="439"/>
      <c r="L73" s="437"/>
      <c r="M73" s="437"/>
      <c r="N73" s="437"/>
      <c r="Q73" s="438"/>
      <c r="S73" s="438"/>
      <c r="T73" s="472"/>
      <c r="U73" s="472"/>
      <c r="V73" s="439"/>
      <c r="W73" s="437"/>
    </row>
    <row r="74" spans="10:23" ht="14.25" x14ac:dyDescent="0.2">
      <c r="J74" s="438"/>
      <c r="K74" s="439"/>
      <c r="L74" s="437"/>
      <c r="M74" s="437"/>
      <c r="N74" s="437"/>
      <c r="Q74" s="438"/>
      <c r="S74" s="438"/>
      <c r="T74" s="472"/>
      <c r="U74" s="472"/>
      <c r="V74" s="439"/>
      <c r="W74" s="437"/>
    </row>
    <row r="75" spans="10:23" ht="14.25" x14ac:dyDescent="0.2">
      <c r="J75" s="438"/>
      <c r="K75" s="439"/>
      <c r="L75" s="437"/>
      <c r="M75" s="437"/>
      <c r="N75" s="437"/>
      <c r="Q75" s="438"/>
      <c r="S75" s="438"/>
      <c r="T75" s="472"/>
      <c r="U75" s="472"/>
      <c r="V75" s="439"/>
      <c r="W75" s="437"/>
    </row>
    <row r="76" spans="10:23" ht="14.25" x14ac:dyDescent="0.2">
      <c r="J76" s="438"/>
      <c r="K76" s="439"/>
      <c r="L76" s="437"/>
      <c r="M76" s="437"/>
      <c r="N76" s="437"/>
      <c r="Q76" s="438"/>
      <c r="S76" s="438"/>
      <c r="T76" s="472"/>
      <c r="U76" s="472"/>
      <c r="V76" s="439"/>
      <c r="W76" s="437"/>
    </row>
    <row r="77" spans="10:23" ht="14.25" x14ac:dyDescent="0.2">
      <c r="J77" s="438"/>
      <c r="K77" s="439"/>
      <c r="L77" s="437"/>
      <c r="M77" s="437"/>
      <c r="N77" s="437"/>
      <c r="Q77" s="438"/>
      <c r="S77" s="438"/>
      <c r="T77" s="472"/>
      <c r="U77" s="472"/>
      <c r="V77" s="439"/>
      <c r="W77" s="437"/>
    </row>
    <row r="78" spans="10:23" ht="14.25" x14ac:dyDescent="0.2">
      <c r="J78" s="438"/>
      <c r="K78" s="439"/>
      <c r="L78" s="437"/>
      <c r="M78" s="437"/>
      <c r="N78" s="437"/>
      <c r="Q78" s="438"/>
      <c r="S78" s="438"/>
      <c r="T78" s="472"/>
      <c r="U78" s="472"/>
      <c r="V78" s="439"/>
      <c r="W78" s="437"/>
    </row>
    <row r="79" spans="10:23" ht="14.25" x14ac:dyDescent="0.2">
      <c r="J79" s="438"/>
      <c r="K79" s="439"/>
      <c r="L79" s="437"/>
      <c r="M79" s="437"/>
      <c r="N79" s="437"/>
      <c r="Q79" s="438"/>
      <c r="S79" s="438"/>
      <c r="T79" s="472"/>
      <c r="U79" s="472"/>
      <c r="V79" s="439"/>
      <c r="W79" s="437"/>
    </row>
    <row r="80" spans="10:23" ht="14.25" x14ac:dyDescent="0.2">
      <c r="J80" s="438"/>
      <c r="K80" s="439"/>
      <c r="L80" s="437"/>
      <c r="M80" s="437"/>
      <c r="N80" s="437"/>
      <c r="Q80" s="438"/>
      <c r="S80" s="438"/>
      <c r="T80" s="472"/>
      <c r="U80" s="472"/>
      <c r="V80" s="439"/>
      <c r="W80" s="437"/>
    </row>
    <row r="81" spans="10:23" ht="14.25" x14ac:dyDescent="0.2">
      <c r="J81" s="438"/>
      <c r="K81" s="439"/>
      <c r="L81" s="437"/>
      <c r="M81" s="437"/>
      <c r="N81" s="437"/>
      <c r="Q81" s="438"/>
      <c r="S81" s="438"/>
      <c r="T81" s="472"/>
      <c r="U81" s="472"/>
      <c r="V81" s="439"/>
      <c r="W81" s="437"/>
    </row>
    <row r="82" spans="10:23" ht="14.25" x14ac:dyDescent="0.2">
      <c r="J82" s="438"/>
      <c r="K82" s="439"/>
      <c r="L82" s="437"/>
      <c r="M82" s="437"/>
      <c r="N82" s="437"/>
      <c r="Q82" s="438"/>
      <c r="S82" s="438"/>
      <c r="T82" s="472"/>
      <c r="U82" s="472"/>
      <c r="V82" s="439"/>
      <c r="W82" s="437"/>
    </row>
    <row r="83" spans="10:23" ht="14.25" x14ac:dyDescent="0.2">
      <c r="J83" s="438"/>
      <c r="K83" s="439"/>
      <c r="L83" s="437"/>
      <c r="M83" s="437"/>
      <c r="N83" s="437"/>
      <c r="Q83" s="438"/>
      <c r="S83" s="438"/>
      <c r="T83" s="472"/>
      <c r="U83" s="472"/>
      <c r="V83" s="439"/>
      <c r="W83" s="437"/>
    </row>
    <row r="84" spans="10:23" ht="14.25" x14ac:dyDescent="0.2">
      <c r="J84" s="438"/>
      <c r="K84" s="439"/>
      <c r="L84" s="437"/>
      <c r="M84" s="437"/>
      <c r="N84" s="437"/>
      <c r="Q84" s="438"/>
      <c r="S84" s="438"/>
      <c r="T84" s="472"/>
      <c r="U84" s="472"/>
      <c r="V84" s="439"/>
      <c r="W84" s="437"/>
    </row>
    <row r="85" spans="10:23" ht="14.25" x14ac:dyDescent="0.2">
      <c r="J85" s="438"/>
      <c r="K85" s="439"/>
      <c r="L85" s="437"/>
      <c r="M85" s="437"/>
      <c r="N85" s="437"/>
      <c r="Q85" s="438"/>
      <c r="S85" s="438"/>
      <c r="T85" s="472"/>
      <c r="U85" s="472"/>
      <c r="V85" s="439"/>
      <c r="W85" s="437"/>
    </row>
    <row r="86" spans="10:23" ht="14.25" x14ac:dyDescent="0.2">
      <c r="J86" s="438"/>
      <c r="K86" s="439"/>
      <c r="L86" s="437"/>
      <c r="M86" s="437"/>
      <c r="N86" s="437"/>
      <c r="Q86" s="438"/>
      <c r="S86" s="438"/>
      <c r="T86" s="472"/>
      <c r="U86" s="472"/>
      <c r="V86" s="439"/>
      <c r="W86" s="437"/>
    </row>
    <row r="87" spans="10:23" ht="14.25" x14ac:dyDescent="0.2">
      <c r="J87" s="438"/>
      <c r="K87" s="439"/>
      <c r="L87" s="437"/>
      <c r="M87" s="437"/>
      <c r="N87" s="437"/>
      <c r="Q87" s="438"/>
      <c r="S87" s="438"/>
      <c r="T87" s="472"/>
      <c r="U87" s="472"/>
      <c r="V87" s="439"/>
      <c r="W87" s="437"/>
    </row>
    <row r="88" spans="10:23" ht="14.25" x14ac:dyDescent="0.2">
      <c r="J88" s="438"/>
      <c r="K88" s="439"/>
      <c r="L88" s="437"/>
      <c r="M88" s="437"/>
      <c r="N88" s="437"/>
      <c r="Q88" s="438"/>
      <c r="S88" s="438"/>
      <c r="T88" s="472"/>
      <c r="U88" s="472"/>
      <c r="V88" s="439"/>
      <c r="W88" s="437"/>
    </row>
    <row r="89" spans="10:23" ht="14.25" x14ac:dyDescent="0.2">
      <c r="J89" s="438"/>
      <c r="K89" s="439"/>
      <c r="L89" s="437"/>
      <c r="M89" s="437"/>
      <c r="N89" s="437"/>
      <c r="Q89" s="438"/>
      <c r="S89" s="438"/>
      <c r="T89" s="472"/>
      <c r="U89" s="472"/>
      <c r="V89" s="439"/>
      <c r="W89" s="437"/>
    </row>
    <row r="90" spans="10:23" ht="14.25" x14ac:dyDescent="0.2">
      <c r="J90" s="438"/>
      <c r="K90" s="439"/>
      <c r="L90" s="437"/>
      <c r="M90" s="437"/>
      <c r="N90" s="437"/>
      <c r="Q90" s="438"/>
      <c r="S90" s="438"/>
      <c r="T90" s="472"/>
      <c r="U90" s="472"/>
      <c r="V90" s="439"/>
      <c r="W90" s="437"/>
    </row>
    <row r="91" spans="10:23" ht="14.25" x14ac:dyDescent="0.2">
      <c r="J91" s="438"/>
      <c r="K91" s="439"/>
      <c r="L91" s="437"/>
      <c r="M91" s="437"/>
      <c r="N91" s="437"/>
      <c r="Q91" s="438"/>
      <c r="S91" s="438"/>
      <c r="T91" s="472"/>
      <c r="U91" s="472"/>
      <c r="V91" s="439"/>
      <c r="W91" s="437"/>
    </row>
    <row r="92" spans="10:23" ht="14.25" x14ac:dyDescent="0.2">
      <c r="J92" s="438"/>
      <c r="K92" s="439"/>
      <c r="L92" s="437"/>
      <c r="M92" s="437"/>
      <c r="N92" s="437"/>
      <c r="Q92" s="438"/>
      <c r="S92" s="438"/>
      <c r="T92" s="472"/>
      <c r="U92" s="472"/>
      <c r="V92" s="439"/>
      <c r="W92" s="437"/>
    </row>
    <row r="93" spans="10:23" ht="14.25" x14ac:dyDescent="0.2">
      <c r="J93" s="438"/>
      <c r="K93" s="439"/>
      <c r="L93" s="437"/>
      <c r="M93" s="437"/>
      <c r="N93" s="437"/>
      <c r="Q93" s="438"/>
      <c r="S93" s="438"/>
      <c r="T93" s="472"/>
      <c r="U93" s="472"/>
      <c r="V93" s="439"/>
      <c r="W93" s="437"/>
    </row>
    <row r="94" spans="10:23" ht="14.25" x14ac:dyDescent="0.2">
      <c r="J94" s="438"/>
      <c r="K94" s="439"/>
      <c r="L94" s="437"/>
      <c r="M94" s="437"/>
      <c r="N94" s="437"/>
      <c r="Q94" s="438"/>
      <c r="S94" s="438"/>
      <c r="T94" s="472"/>
      <c r="U94" s="472"/>
      <c r="V94" s="439"/>
      <c r="W94" s="437"/>
    </row>
    <row r="95" spans="10:23" ht="14.25" x14ac:dyDescent="0.2">
      <c r="J95" s="438"/>
      <c r="K95" s="439"/>
      <c r="L95" s="437"/>
      <c r="M95" s="437"/>
      <c r="N95" s="437"/>
      <c r="Q95" s="438"/>
      <c r="S95" s="438"/>
      <c r="T95" s="472"/>
      <c r="U95" s="472"/>
      <c r="V95" s="439"/>
      <c r="W95" s="437"/>
    </row>
    <row r="96" spans="10:23" ht="14.25" x14ac:dyDescent="0.2">
      <c r="J96" s="438"/>
      <c r="K96" s="439"/>
      <c r="L96" s="437"/>
      <c r="M96" s="437"/>
      <c r="N96" s="437"/>
      <c r="Q96" s="438"/>
      <c r="S96" s="438"/>
      <c r="T96" s="472"/>
      <c r="U96" s="472"/>
      <c r="V96" s="439"/>
      <c r="W96" s="437"/>
    </row>
    <row r="97" spans="10:14" ht="14.25" x14ac:dyDescent="0.2">
      <c r="J97" s="435"/>
      <c r="K97" s="435"/>
      <c r="L97" s="434"/>
      <c r="M97" s="434"/>
      <c r="N97" s="434"/>
    </row>
    <row r="98" spans="10:14" ht="14.25" x14ac:dyDescent="0.2">
      <c r="J98" s="435"/>
      <c r="K98" s="435"/>
      <c r="L98" s="434"/>
      <c r="M98" s="434"/>
      <c r="N98" s="434"/>
    </row>
  </sheetData>
  <mergeCells count="8">
    <mergeCell ref="B51:W51"/>
    <mergeCell ref="B52:W52"/>
    <mergeCell ref="B2:W2"/>
    <mergeCell ref="B3:W3"/>
    <mergeCell ref="B47:W47"/>
    <mergeCell ref="B48:W48"/>
    <mergeCell ref="B49:W49"/>
    <mergeCell ref="B50:W50"/>
  </mergeCells>
  <phoneticPr fontId="4" type="noConversion"/>
  <printOptions horizontalCentered="1"/>
  <pageMargins left="0.6692913385826772" right="0.6692913385826772" top="0.51181102362204722" bottom="0.27559055118110237" header="0" footer="0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>
    <pageSetUpPr fitToPage="1"/>
  </sheetPr>
  <dimension ref="A1:V48"/>
  <sheetViews>
    <sheetView topLeftCell="A19" workbookViewId="0">
      <selection activeCell="X33" sqref="A32:X33"/>
    </sheetView>
  </sheetViews>
  <sheetFormatPr defaultRowHeight="12.75" x14ac:dyDescent="0.2"/>
  <cols>
    <col min="1" max="1" width="3.7109375" customWidth="1"/>
    <col min="2" max="2" width="4" customWidth="1"/>
    <col min="3" max="4" width="8.7109375" style="157" hidden="1" customWidth="1"/>
    <col min="5" max="5" width="9.7109375" style="157" customWidth="1"/>
    <col min="6" max="9" width="8.7109375" style="157" customWidth="1"/>
    <col min="10" max="17" width="9.7109375" style="157" customWidth="1"/>
    <col min="18" max="18" width="8.140625" customWidth="1"/>
    <col min="19" max="19" width="8.140625" style="526" customWidth="1"/>
    <col min="20" max="20" width="5.85546875" customWidth="1"/>
    <col min="21" max="21" width="2.7109375" customWidth="1"/>
    <col min="22" max="22" width="7.42578125" customWidth="1"/>
  </cols>
  <sheetData>
    <row r="1" spans="1:22" ht="14.25" customHeight="1" x14ac:dyDescent="0.2">
      <c r="B1" s="32"/>
      <c r="C1" s="156"/>
      <c r="D1" s="156"/>
      <c r="E1" s="156"/>
      <c r="F1" s="156"/>
      <c r="G1" s="156"/>
      <c r="J1" s="158"/>
      <c r="R1" s="16" t="s">
        <v>153</v>
      </c>
      <c r="S1" s="668"/>
      <c r="T1" s="16"/>
    </row>
    <row r="2" spans="1:22" s="46" customFormat="1" ht="30" customHeight="1" x14ac:dyDescent="0.2">
      <c r="B2" s="984" t="s">
        <v>11</v>
      </c>
      <c r="C2" s="984"/>
      <c r="D2" s="984"/>
      <c r="E2" s="984"/>
      <c r="F2" s="984"/>
      <c r="G2" s="984"/>
      <c r="H2" s="984"/>
      <c r="I2" s="984"/>
      <c r="J2" s="984"/>
      <c r="K2" s="984"/>
      <c r="L2" s="984"/>
      <c r="M2" s="984"/>
      <c r="N2" s="984"/>
      <c r="O2" s="984"/>
      <c r="P2" s="984"/>
      <c r="Q2" s="984"/>
      <c r="R2" s="984"/>
      <c r="S2" s="665"/>
      <c r="T2" s="167"/>
    </row>
    <row r="3" spans="1:22" ht="15" customHeight="1" x14ac:dyDescent="0.2">
      <c r="B3" s="985" t="s">
        <v>93</v>
      </c>
      <c r="C3" s="985"/>
      <c r="D3" s="985"/>
      <c r="E3" s="985"/>
      <c r="F3" s="985"/>
      <c r="G3" s="985"/>
      <c r="H3" s="985"/>
      <c r="I3" s="985"/>
      <c r="J3" s="985"/>
      <c r="K3" s="985"/>
      <c r="L3" s="985"/>
      <c r="M3" s="985"/>
      <c r="N3" s="985"/>
      <c r="O3" s="985"/>
      <c r="P3" s="985"/>
      <c r="Q3" s="985"/>
      <c r="R3" s="985"/>
      <c r="S3" s="666"/>
      <c r="T3" s="13"/>
    </row>
    <row r="4" spans="1:22" x14ac:dyDescent="0.2">
      <c r="B4" s="4"/>
      <c r="C4" s="159"/>
      <c r="D4" s="159"/>
      <c r="E4" s="159"/>
      <c r="J4" s="160"/>
      <c r="L4" s="160"/>
      <c r="N4" s="160"/>
      <c r="O4" s="160" t="s">
        <v>3</v>
      </c>
      <c r="P4" s="160"/>
      <c r="Q4" s="160"/>
      <c r="R4" s="7"/>
      <c r="S4" s="7"/>
      <c r="T4" s="7"/>
    </row>
    <row r="5" spans="1:22" ht="24.95" customHeight="1" x14ac:dyDescent="0.2">
      <c r="B5" s="4"/>
      <c r="C5" s="231">
        <v>1998</v>
      </c>
      <c r="D5" s="232">
        <v>1999</v>
      </c>
      <c r="E5" s="231">
        <v>2000</v>
      </c>
      <c r="F5" s="232">
        <v>2001</v>
      </c>
      <c r="G5" s="232">
        <v>2002</v>
      </c>
      <c r="H5" s="232">
        <v>2003</v>
      </c>
      <c r="I5" s="232">
        <v>2004</v>
      </c>
      <c r="J5" s="232">
        <v>2005</v>
      </c>
      <c r="K5" s="232">
        <v>2006</v>
      </c>
      <c r="L5" s="232">
        <v>2007</v>
      </c>
      <c r="M5" s="232">
        <v>2008</v>
      </c>
      <c r="N5" s="232">
        <v>2009</v>
      </c>
      <c r="O5" s="232">
        <v>2010</v>
      </c>
      <c r="P5" s="232">
        <v>2011</v>
      </c>
      <c r="Q5" s="232">
        <v>2012</v>
      </c>
      <c r="R5" s="232">
        <v>2013</v>
      </c>
      <c r="S5" s="233">
        <v>2014</v>
      </c>
      <c r="T5" s="234"/>
      <c r="V5" s="420" t="s">
        <v>247</v>
      </c>
    </row>
    <row r="6" spans="1:22" ht="12.75" customHeight="1" x14ac:dyDescent="0.2">
      <c r="B6" s="59" t="s">
        <v>236</v>
      </c>
      <c r="C6" s="235"/>
      <c r="D6" s="236"/>
      <c r="E6" s="677"/>
      <c r="F6" s="605"/>
      <c r="G6" s="605"/>
      <c r="H6" s="605">
        <f t="shared" ref="H6:R6" si="0">SUM(H9:H36)</f>
        <v>14957.835999999999</v>
      </c>
      <c r="I6" s="605">
        <f t="shared" si="0"/>
        <v>15248.556000000004</v>
      </c>
      <c r="J6" s="605">
        <f t="shared" si="0"/>
        <v>15194.297000000002</v>
      </c>
      <c r="K6" s="605">
        <f t="shared" si="0"/>
        <v>15564.844999999998</v>
      </c>
      <c r="L6" s="605">
        <f t="shared" si="0"/>
        <v>15711.160000000002</v>
      </c>
      <c r="M6" s="605">
        <f t="shared" si="0"/>
        <v>14457.125000000005</v>
      </c>
      <c r="N6" s="605">
        <f t="shared" si="0"/>
        <v>14232.843000000001</v>
      </c>
      <c r="O6" s="605">
        <f t="shared" si="0"/>
        <v>13438.243999999999</v>
      </c>
      <c r="P6" s="605">
        <f t="shared" si="0"/>
        <v>13215.976000000004</v>
      </c>
      <c r="Q6" s="605">
        <f t="shared" si="0"/>
        <v>12103.864999999998</v>
      </c>
      <c r="R6" s="605">
        <f t="shared" si="0"/>
        <v>11884.291000000001</v>
      </c>
      <c r="S6" s="678">
        <f t="shared" ref="S6" si="1">SUM(S9:S36)</f>
        <v>12557.079999999998</v>
      </c>
      <c r="T6" s="59" t="s">
        <v>236</v>
      </c>
      <c r="V6" s="144">
        <f>S6/R6*100-100</f>
        <v>5.6611622855751165</v>
      </c>
    </row>
    <row r="7" spans="1:22" ht="12.75" customHeight="1" x14ac:dyDescent="0.2">
      <c r="B7" s="237" t="s">
        <v>241</v>
      </c>
      <c r="C7" s="238">
        <f t="shared" ref="C7:R7" si="2">C9+C12+C13+C16+C17+C18+C15+C20+C24+C27+C28+C30+C34+C35+C36</f>
        <v>13940.822999999999</v>
      </c>
      <c r="D7" s="203">
        <f t="shared" si="2"/>
        <v>14632.825999999999</v>
      </c>
      <c r="E7" s="679">
        <f t="shared" si="2"/>
        <v>14319.107</v>
      </c>
      <c r="F7" s="680">
        <f t="shared" si="2"/>
        <v>14401.916999999998</v>
      </c>
      <c r="G7" s="680">
        <f t="shared" si="2"/>
        <v>14008.012999999999</v>
      </c>
      <c r="H7" s="680">
        <f t="shared" si="2"/>
        <v>13842.554</v>
      </c>
      <c r="I7" s="680">
        <f t="shared" si="2"/>
        <v>14127.452000000001</v>
      </c>
      <c r="J7" s="680">
        <f t="shared" si="2"/>
        <v>14111.851000000001</v>
      </c>
      <c r="K7" s="680">
        <f t="shared" si="2"/>
        <v>14367.267999999998</v>
      </c>
      <c r="L7" s="680">
        <f t="shared" si="2"/>
        <v>14363.818000000001</v>
      </c>
      <c r="M7" s="680">
        <f t="shared" si="2"/>
        <v>13152.924999999999</v>
      </c>
      <c r="N7" s="680">
        <f t="shared" si="2"/>
        <v>13298.97</v>
      </c>
      <c r="O7" s="680">
        <f t="shared" si="2"/>
        <v>12554.592000000001</v>
      </c>
      <c r="P7" s="656">
        <f t="shared" si="2"/>
        <v>12347.393000000004</v>
      </c>
      <c r="Q7" s="656">
        <f t="shared" si="2"/>
        <v>11297.138999999999</v>
      </c>
      <c r="R7" s="656">
        <f t="shared" si="2"/>
        <v>11097.611000000001</v>
      </c>
      <c r="S7" s="681">
        <f t="shared" ref="S7" si="3">S9+S12+S13+S16+S17+S18+S15+S20+S24+S27+S28+S30+S34+S35+S36</f>
        <v>11657.525999999998</v>
      </c>
      <c r="T7" s="237" t="s">
        <v>241</v>
      </c>
      <c r="V7" s="145">
        <f t="shared" ref="V7:V44" si="4">S7/R7*100-100</f>
        <v>5.045365169134115</v>
      </c>
    </row>
    <row r="8" spans="1:22" ht="12.75" customHeight="1" x14ac:dyDescent="0.2">
      <c r="B8" s="58" t="s">
        <v>245</v>
      </c>
      <c r="C8" s="239"/>
      <c r="D8" s="240"/>
      <c r="E8" s="682"/>
      <c r="F8" s="659"/>
      <c r="G8" s="659"/>
      <c r="H8" s="659">
        <f>H6-H7</f>
        <v>1115.2819999999992</v>
      </c>
      <c r="I8" s="659">
        <f t="shared" ref="I8:R8" si="5">I6-I7</f>
        <v>1121.104000000003</v>
      </c>
      <c r="J8" s="659">
        <f t="shared" si="5"/>
        <v>1082.4460000000017</v>
      </c>
      <c r="K8" s="659">
        <f t="shared" si="5"/>
        <v>1197.5769999999993</v>
      </c>
      <c r="L8" s="659">
        <f t="shared" si="5"/>
        <v>1347.3420000000006</v>
      </c>
      <c r="M8" s="659">
        <f t="shared" si="5"/>
        <v>1304.2000000000062</v>
      </c>
      <c r="N8" s="659">
        <f t="shared" si="5"/>
        <v>933.87300000000141</v>
      </c>
      <c r="O8" s="659">
        <f t="shared" si="5"/>
        <v>883.65199999999822</v>
      </c>
      <c r="P8" s="659">
        <f t="shared" si="5"/>
        <v>868.58300000000054</v>
      </c>
      <c r="Q8" s="659">
        <f>Q6-Q7</f>
        <v>806.72599999999875</v>
      </c>
      <c r="R8" s="659">
        <f t="shared" si="5"/>
        <v>786.68000000000029</v>
      </c>
      <c r="S8" s="683">
        <f t="shared" ref="S8" si="6">S6-S7</f>
        <v>899.55400000000009</v>
      </c>
      <c r="T8" s="58" t="s">
        <v>245</v>
      </c>
      <c r="V8" s="146">
        <f t="shared" si="4"/>
        <v>14.348146641582304</v>
      </c>
    </row>
    <row r="9" spans="1:22" ht="12.75" customHeight="1" x14ac:dyDescent="0.2">
      <c r="A9" s="8"/>
      <c r="B9" s="241" t="s">
        <v>63</v>
      </c>
      <c r="C9" s="152">
        <v>452.12900000000002</v>
      </c>
      <c r="D9" s="147">
        <v>489.62099999999998</v>
      </c>
      <c r="E9" s="615">
        <v>515.20399999999995</v>
      </c>
      <c r="F9" s="615">
        <v>488.68299999999999</v>
      </c>
      <c r="G9" s="615">
        <v>467.56900000000002</v>
      </c>
      <c r="H9" s="615">
        <v>458.79599999999999</v>
      </c>
      <c r="I9" s="615">
        <v>484.75700000000001</v>
      </c>
      <c r="J9" s="615">
        <v>480.08800000000002</v>
      </c>
      <c r="K9" s="615">
        <v>526.14099999999996</v>
      </c>
      <c r="L9" s="615">
        <v>524.79499999999996</v>
      </c>
      <c r="M9" s="615">
        <v>535.947</v>
      </c>
      <c r="N9" s="615">
        <v>476.19400000000002</v>
      </c>
      <c r="O9" s="615">
        <v>547.34</v>
      </c>
      <c r="P9" s="615">
        <v>572.21100000000001</v>
      </c>
      <c r="Q9" s="615">
        <v>487.37700000000001</v>
      </c>
      <c r="R9" s="615">
        <v>486.065</v>
      </c>
      <c r="S9" s="684">
        <v>482.93900000000002</v>
      </c>
      <c r="T9" s="242" t="s">
        <v>63</v>
      </c>
      <c r="V9" s="144">
        <f t="shared" si="4"/>
        <v>-0.64312386203491201</v>
      </c>
    </row>
    <row r="10" spans="1:22" ht="12.75" customHeight="1" x14ac:dyDescent="0.2">
      <c r="A10" s="8"/>
      <c r="B10" s="237" t="s">
        <v>46</v>
      </c>
      <c r="C10" s="153"/>
      <c r="D10" s="148"/>
      <c r="E10" s="619"/>
      <c r="F10" s="619"/>
      <c r="G10" s="619">
        <v>13.82</v>
      </c>
      <c r="H10" s="619">
        <v>16.64</v>
      </c>
      <c r="I10" s="619">
        <v>24.91</v>
      </c>
      <c r="J10" s="619">
        <v>32.700000000000003</v>
      </c>
      <c r="K10" s="619">
        <v>32.481000000000002</v>
      </c>
      <c r="L10" s="619">
        <v>41.042000000000002</v>
      </c>
      <c r="M10" s="619">
        <v>43.758000000000003</v>
      </c>
      <c r="N10" s="619">
        <v>24.972000000000001</v>
      </c>
      <c r="O10" s="619">
        <v>15.646000000000001</v>
      </c>
      <c r="P10" s="635">
        <v>18.631</v>
      </c>
      <c r="Q10" s="635">
        <v>19.751999999999999</v>
      </c>
      <c r="R10" s="635">
        <v>19.352</v>
      </c>
      <c r="S10" s="685">
        <v>20.359000000000002</v>
      </c>
      <c r="T10" s="243" t="s">
        <v>46</v>
      </c>
      <c r="V10" s="145">
        <f t="shared" si="4"/>
        <v>5.203596527490717</v>
      </c>
    </row>
    <row r="11" spans="1:22" ht="12.75" customHeight="1" x14ac:dyDescent="0.2">
      <c r="A11" s="8"/>
      <c r="B11" s="244" t="s">
        <v>48</v>
      </c>
      <c r="C11" s="154"/>
      <c r="D11" s="149"/>
      <c r="E11" s="624"/>
      <c r="F11" s="624"/>
      <c r="G11" s="624"/>
      <c r="H11" s="624">
        <v>152.98099999999999</v>
      </c>
      <c r="I11" s="624">
        <v>143.62200000000001</v>
      </c>
      <c r="J11" s="624">
        <v>151.69900000000001</v>
      </c>
      <c r="K11" s="624">
        <v>156.68600000000001</v>
      </c>
      <c r="L11" s="624">
        <v>174.45599999999999</v>
      </c>
      <c r="M11" s="624">
        <v>182.554</v>
      </c>
      <c r="N11" s="624">
        <v>167.708</v>
      </c>
      <c r="O11" s="624">
        <v>169.58</v>
      </c>
      <c r="P11" s="624">
        <v>173.595</v>
      </c>
      <c r="Q11" s="624">
        <v>173.99700000000001</v>
      </c>
      <c r="R11" s="624">
        <v>164.74600000000001</v>
      </c>
      <c r="S11" s="630">
        <v>192.31399999999999</v>
      </c>
      <c r="T11" s="245" t="s">
        <v>48</v>
      </c>
      <c r="V11" s="145">
        <f t="shared" si="4"/>
        <v>16.733638449491934</v>
      </c>
    </row>
    <row r="12" spans="1:22" ht="12.75" customHeight="1" x14ac:dyDescent="0.2">
      <c r="A12" s="8"/>
      <c r="B12" s="237" t="s">
        <v>59</v>
      </c>
      <c r="C12" s="153">
        <v>162.50800000000001</v>
      </c>
      <c r="D12" s="148">
        <v>143.727</v>
      </c>
      <c r="E12" s="619">
        <v>112.69</v>
      </c>
      <c r="F12" s="619">
        <v>96.173000000000002</v>
      </c>
      <c r="G12" s="619">
        <v>111.58499999999999</v>
      </c>
      <c r="H12" s="619">
        <v>96.078000000000003</v>
      </c>
      <c r="I12" s="619">
        <v>121.49</v>
      </c>
      <c r="J12" s="619">
        <v>146.88499999999999</v>
      </c>
      <c r="K12" s="619">
        <v>154.38499999999999</v>
      </c>
      <c r="L12" s="619">
        <v>159.34700000000001</v>
      </c>
      <c r="M12" s="619">
        <v>150.14500000000001</v>
      </c>
      <c r="N12" s="619">
        <v>112.20099999999999</v>
      </c>
      <c r="O12" s="619">
        <v>153.58699999999999</v>
      </c>
      <c r="P12" s="635">
        <v>169.97399999999999</v>
      </c>
      <c r="Q12" s="635">
        <v>170.53100000000001</v>
      </c>
      <c r="R12" s="635">
        <v>182.20099999999999</v>
      </c>
      <c r="S12" s="685">
        <v>189.05099999999999</v>
      </c>
      <c r="T12" s="243" t="s">
        <v>59</v>
      </c>
      <c r="V12" s="145">
        <f t="shared" si="4"/>
        <v>3.7595841954764211</v>
      </c>
    </row>
    <row r="13" spans="1:22" ht="12.75" customHeight="1" x14ac:dyDescent="0.2">
      <c r="A13" s="8"/>
      <c r="B13" s="244" t="s">
        <v>64</v>
      </c>
      <c r="C13" s="154">
        <v>3735.9870000000001</v>
      </c>
      <c r="D13" s="149">
        <v>3802.1759999999999</v>
      </c>
      <c r="E13" s="624">
        <v>3378.3429999999998</v>
      </c>
      <c r="F13" s="624">
        <v>3341.7179999999998</v>
      </c>
      <c r="G13" s="624">
        <v>3252.8980000000001</v>
      </c>
      <c r="H13" s="624">
        <v>3236.9380000000001</v>
      </c>
      <c r="I13" s="624">
        <v>3266.8249999999998</v>
      </c>
      <c r="J13" s="624">
        <v>3319.259</v>
      </c>
      <c r="K13" s="624">
        <v>3467.9609999999998</v>
      </c>
      <c r="L13" s="624">
        <v>3148.163</v>
      </c>
      <c r="M13" s="624">
        <v>3090.04</v>
      </c>
      <c r="N13" s="624">
        <v>3807.1750000000002</v>
      </c>
      <c r="O13" s="624">
        <v>2916.259</v>
      </c>
      <c r="P13" s="624">
        <v>3173.634</v>
      </c>
      <c r="Q13" s="624">
        <v>3082.58</v>
      </c>
      <c r="R13" s="624">
        <v>2952.431</v>
      </c>
      <c r="S13" s="630">
        <v>3036.7730000000001</v>
      </c>
      <c r="T13" s="245" t="s">
        <v>64</v>
      </c>
      <c r="V13" s="145">
        <f t="shared" si="4"/>
        <v>2.8566967356730828</v>
      </c>
    </row>
    <row r="14" spans="1:22" ht="12.75" customHeight="1" x14ac:dyDescent="0.2">
      <c r="A14" s="8"/>
      <c r="B14" s="237" t="s">
        <v>49</v>
      </c>
      <c r="C14" s="153"/>
      <c r="D14" s="148"/>
      <c r="E14" s="619"/>
      <c r="F14" s="619"/>
      <c r="G14" s="619"/>
      <c r="H14" s="619">
        <v>15.602</v>
      </c>
      <c r="I14" s="619">
        <v>16.436</v>
      </c>
      <c r="J14" s="619">
        <v>19.64</v>
      </c>
      <c r="K14" s="619">
        <v>25.363</v>
      </c>
      <c r="L14" s="619">
        <v>30.911999999999999</v>
      </c>
      <c r="M14" s="619">
        <v>24.579000000000001</v>
      </c>
      <c r="N14" s="619">
        <v>9.9459999999999997</v>
      </c>
      <c r="O14" s="619">
        <v>10.295</v>
      </c>
      <c r="P14" s="635">
        <v>17.07</v>
      </c>
      <c r="Q14" s="635">
        <v>19.423999999999999</v>
      </c>
      <c r="R14" s="635">
        <v>19.5</v>
      </c>
      <c r="S14" s="685">
        <v>20.861000000000001</v>
      </c>
      <c r="T14" s="243" t="s">
        <v>49</v>
      </c>
      <c r="V14" s="145">
        <f t="shared" si="4"/>
        <v>6.9794871794871796</v>
      </c>
    </row>
    <row r="15" spans="1:22" ht="12.75" customHeight="1" x14ac:dyDescent="0.2">
      <c r="A15" s="8"/>
      <c r="B15" s="244" t="s">
        <v>67</v>
      </c>
      <c r="C15" s="154">
        <v>145.702</v>
      </c>
      <c r="D15" s="149">
        <v>174.24199999999999</v>
      </c>
      <c r="E15" s="624">
        <v>230.79499999999999</v>
      </c>
      <c r="F15" s="624">
        <v>164.73</v>
      </c>
      <c r="G15" s="624">
        <v>156.125</v>
      </c>
      <c r="H15" s="624">
        <v>145.22300000000001</v>
      </c>
      <c r="I15" s="624">
        <v>154.136</v>
      </c>
      <c r="J15" s="624">
        <v>171.74199999999999</v>
      </c>
      <c r="K15" s="624">
        <v>178.48400000000001</v>
      </c>
      <c r="L15" s="624">
        <v>186.32499999999999</v>
      </c>
      <c r="M15" s="624">
        <v>151.607</v>
      </c>
      <c r="N15" s="624">
        <v>57.453000000000003</v>
      </c>
      <c r="O15" s="624">
        <v>88.445999999999998</v>
      </c>
      <c r="P15" s="624">
        <v>89.903999999999996</v>
      </c>
      <c r="Q15" s="624">
        <v>79.498000000000005</v>
      </c>
      <c r="R15" s="624">
        <v>74.367000000000004</v>
      </c>
      <c r="S15" s="630">
        <v>96.343999999999994</v>
      </c>
      <c r="T15" s="245" t="s">
        <v>67</v>
      </c>
      <c r="V15" s="145">
        <f t="shared" si="4"/>
        <v>29.552086274826195</v>
      </c>
    </row>
    <row r="16" spans="1:22" ht="12.75" customHeight="1" x14ac:dyDescent="0.2">
      <c r="A16" s="8"/>
      <c r="B16" s="237" t="s">
        <v>60</v>
      </c>
      <c r="C16" s="153">
        <v>180.14500000000001</v>
      </c>
      <c r="D16" s="148">
        <v>261.71100000000001</v>
      </c>
      <c r="E16" s="619">
        <v>290.22199999999998</v>
      </c>
      <c r="F16" s="619">
        <v>280.214</v>
      </c>
      <c r="G16" s="619">
        <v>268.48899999999998</v>
      </c>
      <c r="H16" s="619">
        <v>257.29300000000001</v>
      </c>
      <c r="I16" s="619">
        <v>289.69099999999997</v>
      </c>
      <c r="J16" s="619">
        <v>269.72800000000001</v>
      </c>
      <c r="K16" s="619">
        <v>267.66899999999998</v>
      </c>
      <c r="L16" s="619">
        <v>279.745</v>
      </c>
      <c r="M16" s="619">
        <v>267.29500000000002</v>
      </c>
      <c r="N16" s="619">
        <v>219.73</v>
      </c>
      <c r="O16" s="619">
        <v>141.501</v>
      </c>
      <c r="P16" s="635">
        <v>97.68</v>
      </c>
      <c r="Q16" s="635">
        <v>58.478999999999999</v>
      </c>
      <c r="R16" s="635">
        <v>58.694000000000003</v>
      </c>
      <c r="S16" s="685">
        <v>71.218000000000004</v>
      </c>
      <c r="T16" s="243" t="s">
        <v>60</v>
      </c>
      <c r="V16" s="145">
        <f t="shared" si="4"/>
        <v>21.337785804341152</v>
      </c>
    </row>
    <row r="17" spans="1:22" ht="12.75" customHeight="1" x14ac:dyDescent="0.2">
      <c r="A17" s="8"/>
      <c r="B17" s="244" t="s">
        <v>65</v>
      </c>
      <c r="C17" s="154">
        <v>1192.53</v>
      </c>
      <c r="D17" s="149">
        <v>1406.2460000000001</v>
      </c>
      <c r="E17" s="624">
        <v>1381.2560000000001</v>
      </c>
      <c r="F17" s="624">
        <v>1425.5730000000001</v>
      </c>
      <c r="G17" s="624">
        <v>1331.877</v>
      </c>
      <c r="H17" s="624">
        <v>1382.1089999999999</v>
      </c>
      <c r="I17" s="624">
        <v>1517.2860000000001</v>
      </c>
      <c r="J17" s="624">
        <v>1528.877</v>
      </c>
      <c r="K17" s="624">
        <v>1634.6079999999999</v>
      </c>
      <c r="L17" s="624">
        <v>1614.835</v>
      </c>
      <c r="M17" s="624">
        <v>1161.1759999999999</v>
      </c>
      <c r="N17" s="624">
        <v>952.77200000000005</v>
      </c>
      <c r="O17" s="624">
        <v>982.01499999999999</v>
      </c>
      <c r="P17" s="624">
        <v>808.05100000000004</v>
      </c>
      <c r="Q17" s="624">
        <v>699.58900000000006</v>
      </c>
      <c r="R17" s="624">
        <v>722.68899999999996</v>
      </c>
      <c r="S17" s="630">
        <v>855.30799999999999</v>
      </c>
      <c r="T17" s="245" t="s">
        <v>65</v>
      </c>
      <c r="V17" s="145">
        <f t="shared" si="4"/>
        <v>18.350770525080648</v>
      </c>
    </row>
    <row r="18" spans="1:22" ht="12.75" customHeight="1" x14ac:dyDescent="0.2">
      <c r="A18" s="8"/>
      <c r="B18" s="237" t="s">
        <v>66</v>
      </c>
      <c r="C18" s="153">
        <v>1943.5530000000001</v>
      </c>
      <c r="D18" s="148">
        <v>2148.4229999999998</v>
      </c>
      <c r="E18" s="619">
        <v>2133.884</v>
      </c>
      <c r="F18" s="619">
        <v>2254.732</v>
      </c>
      <c r="G18" s="619">
        <v>2145.0709999999999</v>
      </c>
      <c r="H18" s="619">
        <v>2009.2460000000001</v>
      </c>
      <c r="I18" s="619">
        <v>2013.7090000000001</v>
      </c>
      <c r="J18" s="619">
        <v>2067.7890000000002</v>
      </c>
      <c r="K18" s="619">
        <v>2000.549</v>
      </c>
      <c r="L18" s="619">
        <v>2064.5430000000001</v>
      </c>
      <c r="M18" s="619">
        <v>2050.2820000000002</v>
      </c>
      <c r="N18" s="619">
        <v>2302.3980000000001</v>
      </c>
      <c r="O18" s="619">
        <v>2251.6689999999999</v>
      </c>
      <c r="P18" s="635">
        <v>2204.2289999999998</v>
      </c>
      <c r="Q18" s="635">
        <v>1898.76</v>
      </c>
      <c r="R18" s="635">
        <v>1790.4559999999999</v>
      </c>
      <c r="S18" s="685">
        <v>1795.885</v>
      </c>
      <c r="T18" s="243" t="s">
        <v>66</v>
      </c>
      <c r="V18" s="145">
        <f t="shared" si="4"/>
        <v>0.30321884480825645</v>
      </c>
    </row>
    <row r="19" spans="1:22" ht="12.75" customHeight="1" x14ac:dyDescent="0.2">
      <c r="A19" s="8"/>
      <c r="B19" s="10" t="s">
        <v>77</v>
      </c>
      <c r="C19" s="154"/>
      <c r="D19" s="149"/>
      <c r="E19" s="624">
        <v>92.36</v>
      </c>
      <c r="F19" s="624">
        <v>108.633</v>
      </c>
      <c r="G19" s="624">
        <v>95.21</v>
      </c>
      <c r="H19" s="624">
        <v>104.52</v>
      </c>
      <c r="I19" s="624">
        <v>99.84</v>
      </c>
      <c r="J19" s="624">
        <v>102.123</v>
      </c>
      <c r="K19" s="624">
        <v>114.447</v>
      </c>
      <c r="L19" s="624">
        <v>106.202</v>
      </c>
      <c r="M19" s="624">
        <v>95.697000000000003</v>
      </c>
      <c r="N19" s="624">
        <v>53.252000000000002</v>
      </c>
      <c r="O19" s="624">
        <v>46.209000000000003</v>
      </c>
      <c r="P19" s="624">
        <v>48.883000000000003</v>
      </c>
      <c r="Q19" s="624">
        <v>40.825000000000003</v>
      </c>
      <c r="R19" s="629">
        <v>27.802</v>
      </c>
      <c r="S19" s="630">
        <v>33.918999999999997</v>
      </c>
      <c r="T19" s="75" t="s">
        <v>77</v>
      </c>
      <c r="V19" s="145">
        <f t="shared" si="4"/>
        <v>22.002014243579595</v>
      </c>
    </row>
    <row r="20" spans="1:22" ht="12.75" customHeight="1" x14ac:dyDescent="0.2">
      <c r="A20" s="8"/>
      <c r="B20" s="479" t="s">
        <v>68</v>
      </c>
      <c r="C20" s="480">
        <v>2378.5160000000001</v>
      </c>
      <c r="D20" s="219">
        <v>2338.4639999999999</v>
      </c>
      <c r="E20" s="635">
        <v>2423.0839999999998</v>
      </c>
      <c r="F20" s="635">
        <v>2413.4549999999999</v>
      </c>
      <c r="G20" s="635">
        <v>2279.6120000000001</v>
      </c>
      <c r="H20" s="635">
        <v>2247.0189999999998</v>
      </c>
      <c r="I20" s="635">
        <v>2264.6880000000001</v>
      </c>
      <c r="J20" s="635">
        <v>2237.444</v>
      </c>
      <c r="K20" s="635">
        <v>2326.049</v>
      </c>
      <c r="L20" s="635">
        <v>2493.1060000000002</v>
      </c>
      <c r="M20" s="635">
        <v>2161.6819999999998</v>
      </c>
      <c r="N20" s="635">
        <v>2159.4630000000002</v>
      </c>
      <c r="O20" s="635">
        <v>1961.579</v>
      </c>
      <c r="P20" s="635">
        <v>1749.0740000000001</v>
      </c>
      <c r="Q20" s="635">
        <v>1402.0889999999999</v>
      </c>
      <c r="R20" s="635">
        <v>1304.6479999999999</v>
      </c>
      <c r="S20" s="685">
        <v>1359.616</v>
      </c>
      <c r="T20" s="481" t="s">
        <v>68</v>
      </c>
      <c r="V20" s="145">
        <f t="shared" si="4"/>
        <v>4.2132437255106368</v>
      </c>
    </row>
    <row r="21" spans="1:22" ht="12.75" customHeight="1" x14ac:dyDescent="0.2">
      <c r="A21" s="8"/>
      <c r="B21" s="244" t="s">
        <v>47</v>
      </c>
      <c r="C21" s="154"/>
      <c r="D21" s="149"/>
      <c r="E21" s="624">
        <f>7.103+0.051+1.057</f>
        <v>8.2110000000000003</v>
      </c>
      <c r="F21" s="624">
        <f>7.562+0.117+2.323</f>
        <v>10.002000000000001</v>
      </c>
      <c r="G21" s="624">
        <f>7.942+0.065+1.115</f>
        <v>9.1219999999999999</v>
      </c>
      <c r="H21" s="624">
        <f>7.797+0.12+1.228</f>
        <v>9.1449999999999996</v>
      </c>
      <c r="I21" s="624">
        <f>18.22+0.055+1.375</f>
        <v>19.649999999999999</v>
      </c>
      <c r="J21" s="624">
        <f>17.687+0.09+1.433</f>
        <v>19.21</v>
      </c>
      <c r="K21" s="624">
        <f>18.639+0.076+1.629</f>
        <v>20.344000000000001</v>
      </c>
      <c r="L21" s="624">
        <f>22.878+0.087+2.142</f>
        <v>25.106999999999999</v>
      </c>
      <c r="M21" s="624">
        <f>22.241+0.044+1.928</f>
        <v>24.213000000000001</v>
      </c>
      <c r="N21" s="624">
        <v>15.945</v>
      </c>
      <c r="O21" s="624">
        <v>15.061999999999999</v>
      </c>
      <c r="P21" s="624">
        <v>14.664999999999999</v>
      </c>
      <c r="Q21" s="624">
        <v>10.967000000000001</v>
      </c>
      <c r="R21" s="624">
        <v>7.1020000000000003</v>
      </c>
      <c r="S21" s="630">
        <v>8.2829999999999995</v>
      </c>
      <c r="T21" s="245" t="s">
        <v>47</v>
      </c>
      <c r="V21" s="145">
        <f t="shared" si="4"/>
        <v>16.629118558152612</v>
      </c>
    </row>
    <row r="22" spans="1:22" ht="12.75" customHeight="1" x14ac:dyDescent="0.2">
      <c r="A22" s="8"/>
      <c r="B22" s="479" t="s">
        <v>51</v>
      </c>
      <c r="C22" s="480"/>
      <c r="D22" s="219"/>
      <c r="E22" s="635"/>
      <c r="F22" s="635"/>
      <c r="G22" s="635"/>
      <c r="H22" s="635">
        <v>8.7129999999999992</v>
      </c>
      <c r="I22" s="635">
        <v>11.217000000000001</v>
      </c>
      <c r="J22" s="635">
        <v>16.602</v>
      </c>
      <c r="K22" s="635">
        <v>25.582000000000001</v>
      </c>
      <c r="L22" s="635">
        <v>32.771000000000001</v>
      </c>
      <c r="M22" s="635">
        <v>19.831</v>
      </c>
      <c r="N22" s="635">
        <v>5.367</v>
      </c>
      <c r="O22" s="635">
        <v>6.3650000000000002</v>
      </c>
      <c r="P22" s="635">
        <v>10.98</v>
      </c>
      <c r="Q22" s="635">
        <v>10.664999999999999</v>
      </c>
      <c r="R22" s="635">
        <v>10.635999999999999</v>
      </c>
      <c r="S22" s="685">
        <v>12.452</v>
      </c>
      <c r="T22" s="481" t="s">
        <v>51</v>
      </c>
      <c r="V22" s="145">
        <f t="shared" si="4"/>
        <v>17.074088003008654</v>
      </c>
    </row>
    <row r="23" spans="1:22" ht="12.75" customHeight="1" x14ac:dyDescent="0.2">
      <c r="A23" s="8"/>
      <c r="B23" s="244" t="s">
        <v>52</v>
      </c>
      <c r="C23" s="154"/>
      <c r="D23" s="149"/>
      <c r="E23" s="624"/>
      <c r="F23" s="624"/>
      <c r="G23" s="624"/>
      <c r="H23" s="624">
        <v>7.5430000000000001</v>
      </c>
      <c r="I23" s="624">
        <v>9.4930000000000003</v>
      </c>
      <c r="J23" s="624">
        <v>10.467000000000001</v>
      </c>
      <c r="K23" s="624">
        <v>14.234</v>
      </c>
      <c r="L23" s="624">
        <v>21.606000000000002</v>
      </c>
      <c r="M23" s="624">
        <v>22.216999999999999</v>
      </c>
      <c r="N23" s="624">
        <v>7.5149999999999997</v>
      </c>
      <c r="O23" s="624">
        <v>7.97</v>
      </c>
      <c r="P23" s="624">
        <v>13.234</v>
      </c>
      <c r="Q23" s="624">
        <v>12.164999999999999</v>
      </c>
      <c r="R23" s="624">
        <v>12.151999999999999</v>
      </c>
      <c r="S23" s="630">
        <v>14.503</v>
      </c>
      <c r="T23" s="245" t="s">
        <v>52</v>
      </c>
      <c r="V23" s="145">
        <f t="shared" si="4"/>
        <v>19.346609611586587</v>
      </c>
    </row>
    <row r="24" spans="1:22" ht="12.75" customHeight="1" x14ac:dyDescent="0.2">
      <c r="A24" s="8"/>
      <c r="B24" s="479" t="s">
        <v>69</v>
      </c>
      <c r="C24" s="480">
        <v>35.927999999999997</v>
      </c>
      <c r="D24" s="219">
        <v>40.475999999999999</v>
      </c>
      <c r="E24" s="635">
        <v>41.896000000000001</v>
      </c>
      <c r="F24" s="635">
        <v>42.832999999999998</v>
      </c>
      <c r="G24" s="635">
        <v>43.402999999999999</v>
      </c>
      <c r="H24" s="635">
        <v>43.62</v>
      </c>
      <c r="I24" s="635">
        <v>48.234000000000002</v>
      </c>
      <c r="J24" s="635">
        <v>48.517000000000003</v>
      </c>
      <c r="K24" s="635">
        <v>50.837000000000003</v>
      </c>
      <c r="L24" s="635">
        <v>51.332000000000001</v>
      </c>
      <c r="M24" s="635">
        <v>52.359000000000002</v>
      </c>
      <c r="N24" s="635">
        <v>47.265000000000001</v>
      </c>
      <c r="O24" s="635">
        <v>49.725999999999999</v>
      </c>
      <c r="P24" s="635">
        <v>49.881</v>
      </c>
      <c r="Q24" s="635">
        <v>53.008000000000003</v>
      </c>
      <c r="R24" s="635">
        <v>46.624000000000002</v>
      </c>
      <c r="S24" s="685">
        <v>49.792999999999999</v>
      </c>
      <c r="T24" s="481" t="s">
        <v>69</v>
      </c>
      <c r="V24" s="145">
        <f t="shared" si="4"/>
        <v>6.7969286204529737</v>
      </c>
    </row>
    <row r="25" spans="1:22" ht="12.75" customHeight="1" x14ac:dyDescent="0.2">
      <c r="A25" s="8"/>
      <c r="B25" s="244" t="s">
        <v>50</v>
      </c>
      <c r="C25" s="154"/>
      <c r="D25" s="149"/>
      <c r="E25" s="624"/>
      <c r="F25" s="624"/>
      <c r="G25" s="624"/>
      <c r="H25" s="624">
        <v>208.42599999999999</v>
      </c>
      <c r="I25" s="624">
        <v>207.05500000000001</v>
      </c>
      <c r="J25" s="624">
        <v>198.982</v>
      </c>
      <c r="K25" s="624">
        <v>187.67599999999999</v>
      </c>
      <c r="L25" s="624">
        <v>171.661</v>
      </c>
      <c r="M25" s="624">
        <v>153.27799999999999</v>
      </c>
      <c r="N25" s="624">
        <v>60.189</v>
      </c>
      <c r="O25" s="624">
        <v>43.475999999999999</v>
      </c>
      <c r="P25" s="624">
        <v>45.094000000000001</v>
      </c>
      <c r="Q25" s="624">
        <v>50.398000000000003</v>
      </c>
      <c r="R25" s="624">
        <v>56.14</v>
      </c>
      <c r="S25" s="630">
        <v>67.475999999999999</v>
      </c>
      <c r="T25" s="245" t="s">
        <v>50</v>
      </c>
      <c r="V25" s="145">
        <f t="shared" si="4"/>
        <v>20.192376202351255</v>
      </c>
    </row>
    <row r="26" spans="1:22" ht="12.75" customHeight="1" x14ac:dyDescent="0.2">
      <c r="A26" s="8"/>
      <c r="B26" s="479" t="s">
        <v>53</v>
      </c>
      <c r="C26" s="480"/>
      <c r="D26" s="219"/>
      <c r="E26" s="635"/>
      <c r="F26" s="635"/>
      <c r="G26" s="635"/>
      <c r="H26" s="635">
        <f>0.069+6.519+0.634+0.008</f>
        <v>7.23</v>
      </c>
      <c r="I26" s="635">
        <f>0.084+5.398+0.721+0.015</f>
        <v>6.2179999999999991</v>
      </c>
      <c r="J26" s="635">
        <f>0.083+5.675+0.778+0.016</f>
        <v>6.5519999999999996</v>
      </c>
      <c r="K26" s="635">
        <f>0.061+5.862+0.803+0.019</f>
        <v>6.7450000000000001</v>
      </c>
      <c r="L26" s="635">
        <f>0.075+5.334+0.808+0.023</f>
        <v>6.2399999999999993</v>
      </c>
      <c r="M26" s="635">
        <v>5.423</v>
      </c>
      <c r="N26" s="635">
        <v>5.8940000000000001</v>
      </c>
      <c r="O26" s="635">
        <f>3.907+0.043+0.094+0.012</f>
        <v>4.056</v>
      </c>
      <c r="P26" s="635">
        <f>5.311+0.065+0.052</f>
        <v>5.4279999999999999</v>
      </c>
      <c r="Q26" s="635">
        <v>5.8840000000000003</v>
      </c>
      <c r="R26" s="635">
        <v>5.7489999999999997</v>
      </c>
      <c r="S26" s="685">
        <v>6.4509999999999996</v>
      </c>
      <c r="T26" s="481" t="s">
        <v>53</v>
      </c>
      <c r="V26" s="145">
        <f t="shared" si="4"/>
        <v>12.210819272917036</v>
      </c>
    </row>
    <row r="27" spans="1:22" ht="12.75" customHeight="1" x14ac:dyDescent="0.2">
      <c r="A27" s="8"/>
      <c r="B27" s="10" t="s">
        <v>61</v>
      </c>
      <c r="C27" s="154">
        <v>542.97799999999995</v>
      </c>
      <c r="D27" s="149">
        <v>611.48699999999997</v>
      </c>
      <c r="E27" s="624">
        <v>597.625</v>
      </c>
      <c r="F27" s="624">
        <v>530.23099999999999</v>
      </c>
      <c r="G27" s="624">
        <v>510.702</v>
      </c>
      <c r="H27" s="624">
        <v>488.84100000000001</v>
      </c>
      <c r="I27" s="624">
        <v>483.745</v>
      </c>
      <c r="J27" s="624">
        <v>465.15199999999999</v>
      </c>
      <c r="K27" s="624">
        <v>483.97</v>
      </c>
      <c r="L27" s="624">
        <v>505.53800000000001</v>
      </c>
      <c r="M27" s="624">
        <v>499.91800000000001</v>
      </c>
      <c r="N27" s="624">
        <v>387.15199999999999</v>
      </c>
      <c r="O27" s="624">
        <v>482.56700000000001</v>
      </c>
      <c r="P27" s="624">
        <v>555.798</v>
      </c>
      <c r="Q27" s="624">
        <v>502.67500000000001</v>
      </c>
      <c r="R27" s="624">
        <v>416.73</v>
      </c>
      <c r="S27" s="630">
        <v>387.83499999999998</v>
      </c>
      <c r="T27" s="75" t="s">
        <v>61</v>
      </c>
      <c r="V27" s="145">
        <f t="shared" si="4"/>
        <v>-6.9337460705972802</v>
      </c>
    </row>
    <row r="28" spans="1:22" ht="12.75" customHeight="1" x14ac:dyDescent="0.2">
      <c r="A28" s="8"/>
      <c r="B28" s="479" t="s">
        <v>70</v>
      </c>
      <c r="C28" s="480">
        <v>295.86500000000001</v>
      </c>
      <c r="D28" s="219">
        <v>314.18200000000002</v>
      </c>
      <c r="E28" s="635">
        <v>309.42700000000002</v>
      </c>
      <c r="F28" s="635">
        <v>293.52800000000002</v>
      </c>
      <c r="G28" s="635">
        <v>279.49299999999999</v>
      </c>
      <c r="H28" s="635">
        <v>300.12099999999998</v>
      </c>
      <c r="I28" s="635">
        <v>311.29199999999997</v>
      </c>
      <c r="J28" s="635">
        <v>307.91500000000002</v>
      </c>
      <c r="K28" s="635">
        <v>308.59399999999999</v>
      </c>
      <c r="L28" s="635">
        <v>298.18200000000002</v>
      </c>
      <c r="M28" s="635">
        <v>293.697</v>
      </c>
      <c r="N28" s="635">
        <v>319.40300000000002</v>
      </c>
      <c r="O28" s="635">
        <v>328.56299999999999</v>
      </c>
      <c r="P28" s="635">
        <v>356.14499999999998</v>
      </c>
      <c r="Q28" s="635">
        <v>336.01</v>
      </c>
      <c r="R28" s="635">
        <v>319.03500000000003</v>
      </c>
      <c r="S28" s="685">
        <v>303.31799999999998</v>
      </c>
      <c r="T28" s="481" t="s">
        <v>70</v>
      </c>
      <c r="V28" s="145">
        <f t="shared" si="4"/>
        <v>-4.9264187314871606</v>
      </c>
    </row>
    <row r="29" spans="1:22" ht="12.75" customHeight="1" x14ac:dyDescent="0.2">
      <c r="A29" s="8"/>
      <c r="B29" s="244" t="s">
        <v>54</v>
      </c>
      <c r="C29" s="154"/>
      <c r="D29" s="149"/>
      <c r="E29" s="686"/>
      <c r="F29" s="624"/>
      <c r="G29" s="624"/>
      <c r="H29" s="624">
        <v>358.43200000000002</v>
      </c>
      <c r="I29" s="624">
        <v>318.11099999999999</v>
      </c>
      <c r="J29" s="624">
        <v>235.52199999999999</v>
      </c>
      <c r="K29" s="624">
        <v>238.99299999999999</v>
      </c>
      <c r="L29" s="624">
        <v>293.30500000000001</v>
      </c>
      <c r="M29" s="624">
        <v>320.04000000000002</v>
      </c>
      <c r="N29" s="624">
        <v>320.20600000000002</v>
      </c>
      <c r="O29" s="624">
        <v>333.49</v>
      </c>
      <c r="P29" s="624">
        <v>297.93700000000001</v>
      </c>
      <c r="Q29" s="624">
        <v>271.21499999999997</v>
      </c>
      <c r="R29" s="624">
        <v>288.91300000000001</v>
      </c>
      <c r="S29" s="630">
        <v>327.21899999999999</v>
      </c>
      <c r="T29" s="245" t="s">
        <v>54</v>
      </c>
      <c r="V29" s="145">
        <f t="shared" si="4"/>
        <v>13.258662642387151</v>
      </c>
    </row>
    <row r="30" spans="1:22" ht="12.75" customHeight="1" x14ac:dyDescent="0.2">
      <c r="A30" s="8"/>
      <c r="B30" s="479" t="s">
        <v>71</v>
      </c>
      <c r="C30" s="480">
        <v>248.398</v>
      </c>
      <c r="D30" s="219">
        <v>272.88299999999998</v>
      </c>
      <c r="E30" s="635">
        <v>257.83600000000001</v>
      </c>
      <c r="F30" s="635">
        <v>255.21</v>
      </c>
      <c r="G30" s="635">
        <v>226.09200000000001</v>
      </c>
      <c r="H30" s="635">
        <v>189.792</v>
      </c>
      <c r="I30" s="635">
        <v>197.64500000000001</v>
      </c>
      <c r="J30" s="635">
        <v>206.488</v>
      </c>
      <c r="K30" s="635">
        <v>194.702</v>
      </c>
      <c r="L30" s="635">
        <v>201.816</v>
      </c>
      <c r="M30" s="635">
        <v>213.38900000000001</v>
      </c>
      <c r="N30" s="635">
        <v>161.01300000000001</v>
      </c>
      <c r="O30" s="635">
        <v>223.464</v>
      </c>
      <c r="P30" s="635">
        <v>153.404</v>
      </c>
      <c r="Q30" s="635">
        <v>95.29</v>
      </c>
      <c r="R30" s="635">
        <v>105.92100000000001</v>
      </c>
      <c r="S30" s="685">
        <v>142.827</v>
      </c>
      <c r="T30" s="481" t="s">
        <v>71</v>
      </c>
      <c r="V30" s="145">
        <f t="shared" si="4"/>
        <v>34.842948990285208</v>
      </c>
    </row>
    <row r="31" spans="1:22" ht="12.75" customHeight="1" x14ac:dyDescent="0.2">
      <c r="A31" s="8"/>
      <c r="B31" s="244" t="s">
        <v>55</v>
      </c>
      <c r="C31" s="154"/>
      <c r="D31" s="149"/>
      <c r="E31" s="624"/>
      <c r="F31" s="624"/>
      <c r="G31" s="624">
        <v>88.8</v>
      </c>
      <c r="H31" s="624">
        <v>106.76</v>
      </c>
      <c r="I31" s="624">
        <v>145.12</v>
      </c>
      <c r="J31" s="624">
        <v>172.5</v>
      </c>
      <c r="K31" s="624">
        <v>256.36399999999998</v>
      </c>
      <c r="L31" s="624">
        <v>315.62099999999998</v>
      </c>
      <c r="M31" s="624">
        <v>270.995</v>
      </c>
      <c r="N31" s="624">
        <v>130.19499999999999</v>
      </c>
      <c r="O31" s="624">
        <v>106.328</v>
      </c>
      <c r="P31" s="624">
        <v>94.619</v>
      </c>
      <c r="Q31" s="624">
        <v>72.147999999999996</v>
      </c>
      <c r="R31" s="624">
        <v>57.71</v>
      </c>
      <c r="S31" s="630">
        <v>70.171999999999997</v>
      </c>
      <c r="T31" s="245" t="s">
        <v>55</v>
      </c>
      <c r="V31" s="145">
        <f t="shared" si="4"/>
        <v>21.594177785479118</v>
      </c>
    </row>
    <row r="32" spans="1:22" ht="12.75" customHeight="1" x14ac:dyDescent="0.2">
      <c r="A32" s="8"/>
      <c r="B32" s="479" t="s">
        <v>57</v>
      </c>
      <c r="C32" s="480"/>
      <c r="D32" s="219"/>
      <c r="E32" s="635"/>
      <c r="F32" s="635"/>
      <c r="G32" s="635"/>
      <c r="H32" s="635">
        <v>59.548000000000002</v>
      </c>
      <c r="I32" s="635">
        <v>62.002000000000002</v>
      </c>
      <c r="J32" s="635">
        <v>59.323999999999998</v>
      </c>
      <c r="K32" s="635">
        <v>59.578000000000003</v>
      </c>
      <c r="L32" s="635">
        <v>68.718999999999994</v>
      </c>
      <c r="M32" s="635">
        <v>71.575000000000003</v>
      </c>
      <c r="N32" s="635">
        <v>57.966999999999999</v>
      </c>
      <c r="O32" s="635">
        <v>61.142000000000003</v>
      </c>
      <c r="P32" s="635">
        <v>60.192999999999998</v>
      </c>
      <c r="Q32" s="635">
        <v>50.091000000000001</v>
      </c>
      <c r="R32" s="635">
        <v>50.878</v>
      </c>
      <c r="S32" s="685">
        <v>53.295999999999999</v>
      </c>
      <c r="T32" s="481" t="s">
        <v>57</v>
      </c>
      <c r="V32" s="145">
        <f t="shared" si="4"/>
        <v>4.7525453044537898</v>
      </c>
    </row>
    <row r="33" spans="1:22" ht="12.75" customHeight="1" x14ac:dyDescent="0.2">
      <c r="A33" s="8"/>
      <c r="B33" s="244" t="s">
        <v>56</v>
      </c>
      <c r="C33" s="154"/>
      <c r="D33" s="149"/>
      <c r="E33" s="624"/>
      <c r="F33" s="624"/>
      <c r="G33" s="624"/>
      <c r="H33" s="624">
        <v>59.741999999999997</v>
      </c>
      <c r="I33" s="624">
        <v>57.43</v>
      </c>
      <c r="J33" s="624">
        <v>57.125</v>
      </c>
      <c r="K33" s="624">
        <v>59.084000000000003</v>
      </c>
      <c r="L33" s="624">
        <v>59.7</v>
      </c>
      <c r="M33" s="624">
        <v>70.040000000000006</v>
      </c>
      <c r="N33" s="624">
        <v>74.716999999999999</v>
      </c>
      <c r="O33" s="624">
        <v>64.033000000000001</v>
      </c>
      <c r="P33" s="624">
        <v>68.254000000000005</v>
      </c>
      <c r="Q33" s="624">
        <v>69.194999999999993</v>
      </c>
      <c r="R33" s="624">
        <v>66</v>
      </c>
      <c r="S33" s="630">
        <v>72.248999999999995</v>
      </c>
      <c r="T33" s="245" t="s">
        <v>56</v>
      </c>
      <c r="V33" s="145">
        <f t="shared" si="4"/>
        <v>9.4681818181818045</v>
      </c>
    </row>
    <row r="34" spans="1:22" ht="12.75" customHeight="1" x14ac:dyDescent="0.2">
      <c r="A34" s="8"/>
      <c r="B34" s="479" t="s">
        <v>72</v>
      </c>
      <c r="C34" s="480">
        <v>125.751</v>
      </c>
      <c r="D34" s="219">
        <v>136.32400000000001</v>
      </c>
      <c r="E34" s="635">
        <v>134.64599999999999</v>
      </c>
      <c r="F34" s="635">
        <v>109.48699999999999</v>
      </c>
      <c r="G34" s="635">
        <v>116.877</v>
      </c>
      <c r="H34" s="635">
        <v>147.22200000000001</v>
      </c>
      <c r="I34" s="635">
        <v>142.43899999999999</v>
      </c>
      <c r="J34" s="635">
        <v>147.94900000000001</v>
      </c>
      <c r="K34" s="635">
        <v>145.68899999999999</v>
      </c>
      <c r="L34" s="635">
        <v>125.285</v>
      </c>
      <c r="M34" s="635">
        <v>139.61099999999999</v>
      </c>
      <c r="N34" s="635">
        <v>88.343999999999994</v>
      </c>
      <c r="O34" s="635">
        <v>107.346</v>
      </c>
      <c r="P34" s="635">
        <v>121.17100000000001</v>
      </c>
      <c r="Q34" s="635">
        <v>107.166</v>
      </c>
      <c r="R34" s="635">
        <v>103.455</v>
      </c>
      <c r="S34" s="685">
        <v>106.236</v>
      </c>
      <c r="T34" s="481" t="s">
        <v>72</v>
      </c>
      <c r="V34" s="145">
        <f t="shared" si="4"/>
        <v>2.6881252718573307</v>
      </c>
    </row>
    <row r="35" spans="1:22" ht="12.75" customHeight="1" x14ac:dyDescent="0.2">
      <c r="A35" s="8"/>
      <c r="B35" s="244" t="s">
        <v>73</v>
      </c>
      <c r="C35" s="154">
        <v>253.43</v>
      </c>
      <c r="D35" s="149">
        <v>295.24900000000002</v>
      </c>
      <c r="E35" s="624">
        <v>290.529</v>
      </c>
      <c r="F35" s="624">
        <v>246.58099999999999</v>
      </c>
      <c r="G35" s="624">
        <v>254.589</v>
      </c>
      <c r="H35" s="624">
        <v>261.20600000000002</v>
      </c>
      <c r="I35" s="624">
        <v>264.24599999999998</v>
      </c>
      <c r="J35" s="624">
        <v>274.30099999999999</v>
      </c>
      <c r="K35" s="624">
        <v>282.76600000000002</v>
      </c>
      <c r="L35" s="624">
        <v>306.79899999999998</v>
      </c>
      <c r="M35" s="624">
        <v>253.982</v>
      </c>
      <c r="N35" s="624">
        <v>213.40799999999999</v>
      </c>
      <c r="O35" s="624">
        <v>289.68400000000003</v>
      </c>
      <c r="P35" s="624">
        <v>304.98399999999998</v>
      </c>
      <c r="Q35" s="624">
        <v>279.47800000000001</v>
      </c>
      <c r="R35" s="624">
        <v>269.55799999999999</v>
      </c>
      <c r="S35" s="630">
        <v>303.94799999999998</v>
      </c>
      <c r="T35" s="245" t="s">
        <v>73</v>
      </c>
      <c r="V35" s="145">
        <f t="shared" si="4"/>
        <v>12.757922228240304</v>
      </c>
    </row>
    <row r="36" spans="1:22" ht="12.75" customHeight="1" x14ac:dyDescent="0.2">
      <c r="A36" s="8"/>
      <c r="B36" s="482" t="s">
        <v>62</v>
      </c>
      <c r="C36" s="483">
        <v>2247.4029999999998</v>
      </c>
      <c r="D36" s="416">
        <v>2197.6149999999998</v>
      </c>
      <c r="E36" s="643">
        <v>2221.67</v>
      </c>
      <c r="F36" s="643">
        <v>2458.7689999999998</v>
      </c>
      <c r="G36" s="643">
        <v>2563.6309999999999</v>
      </c>
      <c r="H36" s="643">
        <v>2579.0500000000002</v>
      </c>
      <c r="I36" s="643">
        <v>2567.2689999999998</v>
      </c>
      <c r="J36" s="643">
        <v>2439.7170000000001</v>
      </c>
      <c r="K36" s="643">
        <v>2344.864</v>
      </c>
      <c r="L36" s="643">
        <v>2404.0070000000001</v>
      </c>
      <c r="M36" s="643">
        <v>2131.7950000000001</v>
      </c>
      <c r="N36" s="643">
        <v>1994.999</v>
      </c>
      <c r="O36" s="643">
        <v>2030.846</v>
      </c>
      <c r="P36" s="643">
        <v>1941.2529999999999</v>
      </c>
      <c r="Q36" s="643">
        <v>2044.6089999999999</v>
      </c>
      <c r="R36" s="643">
        <v>2264.7370000000001</v>
      </c>
      <c r="S36" s="687">
        <v>2476.4349999999999</v>
      </c>
      <c r="T36" s="484" t="s">
        <v>62</v>
      </c>
      <c r="V36" s="146">
        <f t="shared" si="4"/>
        <v>9.3475754579891657</v>
      </c>
    </row>
    <row r="37" spans="1:22" s="526" customFormat="1" ht="12.75" customHeight="1" x14ac:dyDescent="0.2">
      <c r="A37" s="8"/>
      <c r="B37" s="530" t="s">
        <v>234</v>
      </c>
      <c r="C37" s="154"/>
      <c r="D37" s="149"/>
      <c r="E37" s="624"/>
      <c r="F37" s="624"/>
      <c r="G37" s="624"/>
      <c r="H37" s="624"/>
      <c r="I37" s="624"/>
      <c r="J37" s="624"/>
      <c r="K37" s="624"/>
      <c r="L37" s="624"/>
      <c r="M37" s="624"/>
      <c r="N37" s="624"/>
      <c r="O37" s="624"/>
      <c r="P37" s="624"/>
      <c r="Q37" s="624"/>
      <c r="R37" s="624"/>
      <c r="S37" s="630"/>
      <c r="T37" s="75" t="s">
        <v>234</v>
      </c>
      <c r="V37" s="144"/>
    </row>
    <row r="38" spans="1:22" ht="12.75" customHeight="1" x14ac:dyDescent="0.2">
      <c r="A38" s="8"/>
      <c r="B38" s="197" t="s">
        <v>223</v>
      </c>
      <c r="C38" s="480">
        <v>85.893000000000001</v>
      </c>
      <c r="D38" s="219">
        <v>89.665000000000006</v>
      </c>
      <c r="E38" s="635"/>
      <c r="F38" s="635"/>
      <c r="G38" s="635"/>
      <c r="H38" s="635"/>
      <c r="I38" s="635"/>
      <c r="J38" s="635"/>
      <c r="K38" s="635"/>
      <c r="L38" s="635"/>
      <c r="M38" s="635"/>
      <c r="N38" s="635"/>
      <c r="O38" s="635">
        <v>8.6080000000000005</v>
      </c>
      <c r="P38" s="635">
        <v>10.26</v>
      </c>
      <c r="Q38" s="635">
        <v>11.173</v>
      </c>
      <c r="R38" s="635">
        <v>12.417</v>
      </c>
      <c r="S38" s="685">
        <f>2.555+3.717+3.369+3.407</f>
        <v>13.048</v>
      </c>
      <c r="T38" s="474" t="s">
        <v>223</v>
      </c>
      <c r="V38" s="145">
        <f t="shared" si="4"/>
        <v>5.0817427720061232</v>
      </c>
    </row>
    <row r="39" spans="1:22" ht="12.75" customHeight="1" x14ac:dyDescent="0.2">
      <c r="A39" s="8"/>
      <c r="B39" s="244" t="s">
        <v>1</v>
      </c>
      <c r="C39" s="154"/>
      <c r="D39" s="149"/>
      <c r="E39" s="624"/>
      <c r="F39" s="624"/>
      <c r="G39" s="624"/>
      <c r="H39" s="624"/>
      <c r="I39" s="624"/>
      <c r="J39" s="624">
        <v>15.894</v>
      </c>
      <c r="K39" s="624">
        <v>12.45</v>
      </c>
      <c r="L39" s="624">
        <v>16.914000000000001</v>
      </c>
      <c r="M39" s="624">
        <v>17.914000000000001</v>
      </c>
      <c r="N39" s="624">
        <v>13.113</v>
      </c>
      <c r="O39" s="624">
        <v>49.290999999999997</v>
      </c>
      <c r="P39" s="624">
        <v>40.090000000000003</v>
      </c>
      <c r="Q39" s="624">
        <v>32.869999999999997</v>
      </c>
      <c r="R39" s="624">
        <v>31.927</v>
      </c>
      <c r="S39" s="688">
        <f>AVERAGE(Q39:R39)</f>
        <v>32.398499999999999</v>
      </c>
      <c r="T39" s="245" t="s">
        <v>1</v>
      </c>
      <c r="V39" s="145">
        <f t="shared" si="4"/>
        <v>1.4768064647477104</v>
      </c>
    </row>
    <row r="40" spans="1:22" ht="12.75" customHeight="1" x14ac:dyDescent="0.2">
      <c r="A40" s="8"/>
      <c r="B40" s="197" t="s">
        <v>222</v>
      </c>
      <c r="C40" s="480"/>
      <c r="D40" s="219"/>
      <c r="E40" s="635"/>
      <c r="F40" s="635"/>
      <c r="G40" s="635"/>
      <c r="H40" s="635"/>
      <c r="I40" s="635"/>
      <c r="J40" s="635"/>
      <c r="K40" s="635"/>
      <c r="L40" s="635"/>
      <c r="M40" s="635"/>
      <c r="N40" s="635"/>
      <c r="O40" s="635"/>
      <c r="P40" s="635"/>
      <c r="Q40" s="635">
        <f>129.168</f>
        <v>129.16800000000001</v>
      </c>
      <c r="R40" s="635">
        <f>30.784+38.47+36.359+33.9</f>
        <v>139.51300000000001</v>
      </c>
      <c r="S40" s="685">
        <v>82.549000000000007</v>
      </c>
      <c r="T40" s="474" t="s">
        <v>222</v>
      </c>
      <c r="V40" s="494">
        <f t="shared" si="4"/>
        <v>-40.830603599664549</v>
      </c>
    </row>
    <row r="41" spans="1:22" ht="12.75" customHeight="1" x14ac:dyDescent="0.2">
      <c r="A41" s="8"/>
      <c r="B41" s="246" t="s">
        <v>58</v>
      </c>
      <c r="C41" s="675"/>
      <c r="D41" s="676"/>
      <c r="E41" s="689"/>
      <c r="F41" s="689"/>
      <c r="G41" s="648">
        <v>70.191000000000003</v>
      </c>
      <c r="H41" s="648">
        <v>176.21700000000001</v>
      </c>
      <c r="I41" s="648">
        <v>432.72800000000001</v>
      </c>
      <c r="J41" s="648">
        <v>406.80700000000002</v>
      </c>
      <c r="K41" s="648">
        <v>396.54199999999997</v>
      </c>
      <c r="L41" s="648">
        <v>353.495</v>
      </c>
      <c r="M41" s="648">
        <v>353.16800000000001</v>
      </c>
      <c r="N41" s="648">
        <v>357.98599999999999</v>
      </c>
      <c r="O41" s="648">
        <v>485.61900000000003</v>
      </c>
      <c r="P41" s="648">
        <v>602.24800000000005</v>
      </c>
      <c r="Q41" s="648">
        <v>565.79100000000005</v>
      </c>
      <c r="R41" s="648">
        <v>668.28700000000003</v>
      </c>
      <c r="S41" s="690">
        <v>589.05100000000004</v>
      </c>
      <c r="T41" s="249" t="s">
        <v>58</v>
      </c>
      <c r="V41" s="493">
        <f t="shared" si="4"/>
        <v>-11.856582576048908</v>
      </c>
    </row>
    <row r="42" spans="1:22" ht="12.75" customHeight="1" x14ac:dyDescent="0.2">
      <c r="A42" s="8"/>
      <c r="B42" s="244" t="s">
        <v>44</v>
      </c>
      <c r="C42" s="154">
        <v>13.569000000000001</v>
      </c>
      <c r="D42" s="149">
        <v>15.377000000000001</v>
      </c>
      <c r="E42" s="624">
        <v>13.569000000000001</v>
      </c>
      <c r="F42" s="624">
        <v>7.2450000000000001</v>
      </c>
      <c r="G42" s="624">
        <v>6.9429999999999996</v>
      </c>
      <c r="H42" s="624">
        <v>9.8849999999999998</v>
      </c>
      <c r="I42" s="624">
        <v>11.968</v>
      </c>
      <c r="J42" s="624">
        <v>18.059999999999999</v>
      </c>
      <c r="K42" s="624">
        <v>17.129000000000001</v>
      </c>
      <c r="L42" s="624">
        <v>15.942</v>
      </c>
      <c r="M42" s="624">
        <v>9.0329999999999995</v>
      </c>
      <c r="N42" s="624">
        <v>2.113</v>
      </c>
      <c r="O42" s="624">
        <v>3.1059999999999999</v>
      </c>
      <c r="P42" s="624">
        <v>5.0380000000000003</v>
      </c>
      <c r="Q42" s="624">
        <v>7.93</v>
      </c>
      <c r="R42" s="624">
        <v>7.274</v>
      </c>
      <c r="S42" s="630">
        <v>9.5359999999999996</v>
      </c>
      <c r="T42" s="245" t="s">
        <v>44</v>
      </c>
      <c r="V42" s="144">
        <f t="shared" si="4"/>
        <v>31.097058014847391</v>
      </c>
    </row>
    <row r="43" spans="1:22" ht="12.75" customHeight="1" x14ac:dyDescent="0.2">
      <c r="A43" s="8"/>
      <c r="B43" s="479" t="s">
        <v>74</v>
      </c>
      <c r="C43" s="480">
        <v>117.977</v>
      </c>
      <c r="D43" s="219">
        <v>101.27800000000001</v>
      </c>
      <c r="E43" s="635">
        <v>97.376000000000005</v>
      </c>
      <c r="F43" s="635">
        <v>91.915999999999997</v>
      </c>
      <c r="G43" s="635">
        <v>88.721000000000004</v>
      </c>
      <c r="H43" s="635">
        <v>89.921000000000006</v>
      </c>
      <c r="I43" s="635">
        <v>115.645</v>
      </c>
      <c r="J43" s="635">
        <v>109.907</v>
      </c>
      <c r="K43" s="635">
        <v>109.164</v>
      </c>
      <c r="L43" s="635">
        <v>129.19499999999999</v>
      </c>
      <c r="M43" s="635">
        <v>110.617</v>
      </c>
      <c r="N43" s="635">
        <v>98.674999999999997</v>
      </c>
      <c r="O43" s="635">
        <v>127.754</v>
      </c>
      <c r="P43" s="635">
        <v>138.345</v>
      </c>
      <c r="Q43" s="635">
        <v>137.96700000000001</v>
      </c>
      <c r="R43" s="635">
        <v>142.15100000000001</v>
      </c>
      <c r="S43" s="685">
        <v>144.202</v>
      </c>
      <c r="T43" s="481" t="s">
        <v>74</v>
      </c>
      <c r="V43" s="145">
        <f t="shared" si="4"/>
        <v>1.442831918171521</v>
      </c>
    </row>
    <row r="44" spans="1:22" ht="12.75" customHeight="1" x14ac:dyDescent="0.2">
      <c r="A44" s="8"/>
      <c r="B44" s="246" t="s">
        <v>45</v>
      </c>
      <c r="C44" s="247">
        <v>296.94499999999999</v>
      </c>
      <c r="D44" s="150">
        <v>316.87599999999998</v>
      </c>
      <c r="E44" s="648">
        <v>316.51900000000001</v>
      </c>
      <c r="F44" s="648">
        <v>316.64100000000002</v>
      </c>
      <c r="G44" s="648">
        <v>295.065</v>
      </c>
      <c r="H44" s="648">
        <v>270.30900000000003</v>
      </c>
      <c r="I44" s="648">
        <v>269.38499999999999</v>
      </c>
      <c r="J44" s="648">
        <v>264.94099999999997</v>
      </c>
      <c r="K44" s="648">
        <v>269.452</v>
      </c>
      <c r="L44" s="648">
        <v>284.68799999999999</v>
      </c>
      <c r="M44" s="648">
        <v>288.55700000000002</v>
      </c>
      <c r="N44" s="648">
        <v>266.04899999999998</v>
      </c>
      <c r="O44" s="648">
        <v>292.45299999999997</v>
      </c>
      <c r="P44" s="648">
        <v>316.846</v>
      </c>
      <c r="Q44" s="648">
        <v>326.08100000000002</v>
      </c>
      <c r="R44" s="648">
        <v>307.88499999999999</v>
      </c>
      <c r="S44" s="690">
        <v>301.94200000000001</v>
      </c>
      <c r="T44" s="249" t="s">
        <v>45</v>
      </c>
      <c r="V44" s="146">
        <f t="shared" si="4"/>
        <v>-1.9302661708105262</v>
      </c>
    </row>
    <row r="45" spans="1:22" ht="24.75" customHeight="1" x14ac:dyDescent="0.2">
      <c r="B45" s="986" t="s">
        <v>227</v>
      </c>
      <c r="C45" s="987"/>
      <c r="D45" s="987"/>
      <c r="E45" s="987"/>
      <c r="F45" s="987"/>
      <c r="G45" s="987"/>
      <c r="H45" s="987"/>
      <c r="I45" s="987"/>
      <c r="J45" s="987"/>
      <c r="K45" s="987"/>
      <c r="L45" s="987"/>
      <c r="M45" s="987"/>
      <c r="N45" s="987"/>
      <c r="O45" s="987"/>
      <c r="P45" s="987"/>
      <c r="Q45" s="987"/>
      <c r="R45" s="987"/>
      <c r="S45" s="667"/>
      <c r="T45" s="40"/>
    </row>
    <row r="46" spans="1:22" ht="22.5" customHeight="1" x14ac:dyDescent="0.2">
      <c r="B46" s="527" t="s">
        <v>275</v>
      </c>
    </row>
    <row r="47" spans="1:22" ht="12.75" customHeight="1" x14ac:dyDescent="0.2">
      <c r="E47" s="556"/>
    </row>
    <row r="48" spans="1:22" ht="12.75" hidden="1" customHeight="1" x14ac:dyDescent="0.2"/>
  </sheetData>
  <mergeCells count="3">
    <mergeCell ref="B2:R2"/>
    <mergeCell ref="B3:R3"/>
    <mergeCell ref="B45:R45"/>
  </mergeCells>
  <phoneticPr fontId="4" type="noConversion"/>
  <printOptions horizontalCentered="1"/>
  <pageMargins left="0.6692913385826772" right="0.6692913385826772" top="0.51181102362204722" bottom="0.27559055118110237" header="0" footer="0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0"/>
  <dimension ref="A1:AS46"/>
  <sheetViews>
    <sheetView topLeftCell="A9" workbookViewId="0">
      <selection activeCell="J46" sqref="J46"/>
    </sheetView>
  </sheetViews>
  <sheetFormatPr defaultRowHeight="12.75" x14ac:dyDescent="0.2"/>
  <cols>
    <col min="1" max="1" width="3.7109375" customWidth="1"/>
    <col min="2" max="2" width="4" customWidth="1"/>
    <col min="3" max="12" width="8.7109375" customWidth="1"/>
    <col min="13" max="13" width="8.7109375" style="526" customWidth="1"/>
    <col min="14" max="14" width="7" customWidth="1"/>
    <col min="15" max="24" width="8.7109375" customWidth="1"/>
    <col min="25" max="25" width="8.7109375" style="526" customWidth="1"/>
    <col min="26" max="26" width="6.7109375" customWidth="1"/>
    <col min="27" max="36" width="8.7109375" customWidth="1"/>
    <col min="37" max="37" width="8.7109375" style="526" customWidth="1"/>
    <col min="38" max="38" width="6.7109375" customWidth="1"/>
    <col min="39" max="39" width="4.7109375" customWidth="1"/>
  </cols>
  <sheetData>
    <row r="1" spans="1:45" ht="14.25" customHeight="1" x14ac:dyDescent="0.2">
      <c r="B1" s="32"/>
      <c r="C1" s="26"/>
      <c r="D1" s="26"/>
      <c r="E1" s="26"/>
      <c r="F1" s="26"/>
      <c r="G1" s="26"/>
      <c r="H1" s="26"/>
      <c r="I1" s="26"/>
      <c r="J1" s="26"/>
      <c r="K1" s="26"/>
      <c r="L1" s="26"/>
      <c r="M1" s="532"/>
      <c r="N1" s="26"/>
      <c r="O1" s="26"/>
      <c r="AM1" s="33" t="s">
        <v>154</v>
      </c>
    </row>
    <row r="2" spans="1:45" s="46" customFormat="1" ht="30" customHeight="1" x14ac:dyDescent="0.2">
      <c r="B2" s="984" t="s">
        <v>198</v>
      </c>
      <c r="C2" s="984"/>
      <c r="D2" s="984"/>
      <c r="E2" s="984"/>
      <c r="F2" s="984"/>
      <c r="G2" s="984"/>
      <c r="H2" s="984"/>
      <c r="I2" s="984"/>
      <c r="J2" s="984"/>
      <c r="K2" s="984"/>
      <c r="L2" s="984"/>
      <c r="M2" s="984"/>
      <c r="N2" s="984"/>
      <c r="O2" s="984"/>
      <c r="P2" s="984"/>
      <c r="Q2" s="984"/>
      <c r="R2" s="984"/>
      <c r="S2" s="984"/>
      <c r="T2" s="984"/>
      <c r="U2" s="984"/>
      <c r="V2" s="984"/>
      <c r="W2" s="984"/>
      <c r="X2" s="984"/>
      <c r="Y2" s="984"/>
      <c r="Z2" s="984"/>
      <c r="AA2" s="984"/>
      <c r="AB2" s="984"/>
      <c r="AC2" s="984"/>
      <c r="AD2" s="984"/>
      <c r="AE2" s="984"/>
      <c r="AF2" s="984"/>
      <c r="AG2" s="984"/>
      <c r="AH2" s="984"/>
      <c r="AI2" s="984"/>
      <c r="AJ2" s="984"/>
      <c r="AK2" s="984"/>
      <c r="AL2" s="984"/>
      <c r="AM2" s="984"/>
    </row>
    <row r="3" spans="1:45" ht="18" customHeight="1" x14ac:dyDescent="0.2">
      <c r="B3" s="990" t="s">
        <v>93</v>
      </c>
      <c r="C3" s="990"/>
      <c r="D3" s="990"/>
      <c r="E3" s="990"/>
      <c r="F3" s="990"/>
      <c r="G3" s="990"/>
      <c r="H3" s="990"/>
      <c r="I3" s="990"/>
      <c r="J3" s="990"/>
      <c r="K3" s="990"/>
      <c r="L3" s="990"/>
      <c r="M3" s="990"/>
      <c r="N3" s="990"/>
      <c r="O3" s="990"/>
      <c r="P3" s="990"/>
      <c r="Q3" s="990"/>
      <c r="R3" s="990"/>
      <c r="S3" s="990"/>
      <c r="T3" s="990"/>
      <c r="U3" s="990"/>
      <c r="V3" s="990"/>
      <c r="W3" s="990"/>
      <c r="X3" s="990"/>
      <c r="Y3" s="990"/>
      <c r="Z3" s="990"/>
      <c r="AA3" s="990"/>
      <c r="AB3" s="990"/>
      <c r="AC3" s="990"/>
      <c r="AD3" s="990"/>
      <c r="AE3" s="990"/>
      <c r="AF3" s="990"/>
      <c r="AG3" s="990"/>
      <c r="AH3" s="990"/>
      <c r="AI3" s="990"/>
      <c r="AJ3" s="990"/>
      <c r="AK3" s="990"/>
      <c r="AL3" s="990"/>
      <c r="AM3" s="990"/>
    </row>
    <row r="4" spans="1:45" ht="23.25" customHeight="1" x14ac:dyDescent="0.2">
      <c r="B4" s="115"/>
      <c r="C4" s="993" t="s">
        <v>4</v>
      </c>
      <c r="D4" s="994"/>
      <c r="E4" s="994"/>
      <c r="F4" s="994"/>
      <c r="G4" s="994"/>
      <c r="H4" s="994"/>
      <c r="I4" s="994"/>
      <c r="J4" s="994"/>
      <c r="K4" s="994"/>
      <c r="L4" s="994"/>
      <c r="M4" s="671"/>
      <c r="N4" s="250" t="s">
        <v>2</v>
      </c>
      <c r="O4" s="991" t="s">
        <v>5</v>
      </c>
      <c r="P4" s="992"/>
      <c r="Q4" s="992"/>
      <c r="R4" s="992"/>
      <c r="S4" s="992"/>
      <c r="T4" s="992"/>
      <c r="U4" s="992"/>
      <c r="V4" s="992"/>
      <c r="W4" s="992"/>
      <c r="X4" s="992"/>
      <c r="Y4" s="672"/>
      <c r="Z4" s="250" t="s">
        <v>2</v>
      </c>
      <c r="AA4" s="991" t="s">
        <v>6</v>
      </c>
      <c r="AB4" s="992"/>
      <c r="AC4" s="992"/>
      <c r="AD4" s="992"/>
      <c r="AE4" s="992"/>
      <c r="AF4" s="992"/>
      <c r="AG4" s="992"/>
      <c r="AH4" s="455"/>
      <c r="AI4" s="476"/>
      <c r="AJ4" s="670"/>
      <c r="AK4" s="672"/>
      <c r="AL4" s="250" t="s">
        <v>2</v>
      </c>
      <c r="AM4" s="65"/>
    </row>
    <row r="5" spans="1:45" ht="12" customHeight="1" x14ac:dyDescent="0.2">
      <c r="B5" s="115"/>
      <c r="C5" s="988" t="s">
        <v>7</v>
      </c>
      <c r="D5" s="989"/>
      <c r="E5" s="989"/>
      <c r="F5" s="989"/>
      <c r="G5" s="989"/>
      <c r="H5" s="989"/>
      <c r="I5" s="989"/>
      <c r="J5" s="989"/>
      <c r="K5" s="989"/>
      <c r="L5" s="989"/>
      <c r="M5" s="669"/>
      <c r="N5" s="251" t="s">
        <v>106</v>
      </c>
      <c r="O5" s="988" t="s">
        <v>8</v>
      </c>
      <c r="P5" s="989"/>
      <c r="Q5" s="989"/>
      <c r="R5" s="989"/>
      <c r="S5" s="989"/>
      <c r="T5" s="989"/>
      <c r="U5" s="989"/>
      <c r="V5" s="989"/>
      <c r="W5" s="989"/>
      <c r="X5" s="989"/>
      <c r="Y5" s="669"/>
      <c r="Z5" s="251" t="s">
        <v>106</v>
      </c>
      <c r="AA5" s="988" t="s">
        <v>9</v>
      </c>
      <c r="AB5" s="989"/>
      <c r="AC5" s="989"/>
      <c r="AD5" s="989"/>
      <c r="AE5" s="989"/>
      <c r="AF5" s="989"/>
      <c r="AG5" s="989"/>
      <c r="AH5" s="989"/>
      <c r="AI5" s="989"/>
      <c r="AJ5" s="989"/>
      <c r="AK5" s="669"/>
      <c r="AL5" s="251" t="s">
        <v>106</v>
      </c>
      <c r="AM5" s="65"/>
    </row>
    <row r="6" spans="1:45" ht="21" customHeight="1" x14ac:dyDescent="0.2">
      <c r="B6" s="116"/>
      <c r="C6" s="252">
        <v>2004</v>
      </c>
      <c r="D6" s="253">
        <v>2005</v>
      </c>
      <c r="E6" s="253">
        <v>2006</v>
      </c>
      <c r="F6" s="253">
        <v>2007</v>
      </c>
      <c r="G6" s="253">
        <v>2008</v>
      </c>
      <c r="H6" s="253">
        <v>2009</v>
      </c>
      <c r="I6" s="253">
        <v>2010</v>
      </c>
      <c r="J6" s="253">
        <v>2011</v>
      </c>
      <c r="K6" s="253">
        <v>2012</v>
      </c>
      <c r="L6" s="253">
        <v>2013</v>
      </c>
      <c r="M6" s="254">
        <v>2014</v>
      </c>
      <c r="N6" s="456" t="s">
        <v>248</v>
      </c>
      <c r="O6" s="252">
        <v>2004</v>
      </c>
      <c r="P6" s="253">
        <v>2005</v>
      </c>
      <c r="Q6" s="253">
        <v>2006</v>
      </c>
      <c r="R6" s="253">
        <v>2007</v>
      </c>
      <c r="S6" s="253">
        <v>2008</v>
      </c>
      <c r="T6" s="253">
        <v>2009</v>
      </c>
      <c r="U6" s="253">
        <v>2010</v>
      </c>
      <c r="V6" s="253">
        <v>2011</v>
      </c>
      <c r="W6" s="253">
        <v>2012</v>
      </c>
      <c r="X6" s="253">
        <v>2013</v>
      </c>
      <c r="Y6" s="254">
        <v>2014</v>
      </c>
      <c r="Z6" s="456" t="s">
        <v>248</v>
      </c>
      <c r="AA6" s="252">
        <v>2004</v>
      </c>
      <c r="AB6" s="253">
        <v>2005</v>
      </c>
      <c r="AC6" s="253">
        <v>2006</v>
      </c>
      <c r="AD6" s="253">
        <v>2007</v>
      </c>
      <c r="AE6" s="253">
        <v>2008</v>
      </c>
      <c r="AF6" s="253">
        <v>2009</v>
      </c>
      <c r="AG6" s="253">
        <v>2010</v>
      </c>
      <c r="AH6" s="253">
        <v>2011</v>
      </c>
      <c r="AI6" s="253">
        <v>2012</v>
      </c>
      <c r="AJ6" s="253">
        <v>2013</v>
      </c>
      <c r="AK6" s="254">
        <v>2014</v>
      </c>
      <c r="AL6" s="456" t="s">
        <v>248</v>
      </c>
      <c r="AM6" s="234"/>
    </row>
    <row r="7" spans="1:45" ht="12.75" customHeight="1" x14ac:dyDescent="0.2">
      <c r="B7" s="59" t="s">
        <v>236</v>
      </c>
      <c r="C7" s="763"/>
      <c r="D7" s="764"/>
      <c r="E7" s="765">
        <f t="shared" ref="E7:I7" si="0">SUM(E10:E37)</f>
        <v>2039254</v>
      </c>
      <c r="F7" s="765">
        <f t="shared" si="0"/>
        <v>2172340</v>
      </c>
      <c r="G7" s="765">
        <f t="shared" si="0"/>
        <v>1952538</v>
      </c>
      <c r="H7" s="765">
        <f t="shared" si="0"/>
        <v>1373511</v>
      </c>
      <c r="I7" s="765">
        <f t="shared" si="0"/>
        <v>1495061</v>
      </c>
      <c r="J7" s="765">
        <f t="shared" ref="J7" si="1">SUM(J10:J37)</f>
        <v>1607613</v>
      </c>
      <c r="K7" s="765">
        <f t="shared" ref="K7" si="2">SUM(K10:K37)</f>
        <v>1392574</v>
      </c>
      <c r="L7" s="765">
        <f t="shared" ref="L7" si="3">SUM(L10:L37)</f>
        <v>1385737</v>
      </c>
      <c r="M7" s="766">
        <f t="shared" ref="M7" si="4">SUM(M10:M37)</f>
        <v>1541727</v>
      </c>
      <c r="N7" s="264">
        <f>M7/L7-1</f>
        <v>0.11256825790175196</v>
      </c>
      <c r="O7" s="693"/>
      <c r="P7" s="694"/>
      <c r="Q7" s="694"/>
      <c r="R7" s="694"/>
      <c r="S7" s="694"/>
      <c r="T7" s="694"/>
      <c r="U7" s="697"/>
      <c r="V7" s="697"/>
      <c r="W7" s="694"/>
      <c r="X7" s="694"/>
      <c r="Y7" s="698"/>
      <c r="Z7" s="255"/>
      <c r="AA7" s="693"/>
      <c r="AB7" s="694"/>
      <c r="AC7" s="694"/>
      <c r="AD7" s="694"/>
      <c r="AE7" s="694"/>
      <c r="AF7" s="694"/>
      <c r="AG7" s="697"/>
      <c r="AH7" s="697"/>
      <c r="AI7" s="694"/>
      <c r="AJ7" s="694"/>
      <c r="AK7" s="698"/>
      <c r="AL7" s="255"/>
      <c r="AM7" s="59" t="s">
        <v>236</v>
      </c>
    </row>
    <row r="8" spans="1:45" ht="12.75" customHeight="1" x14ac:dyDescent="0.2">
      <c r="A8" s="8"/>
      <c r="B8" s="237" t="s">
        <v>241</v>
      </c>
      <c r="C8" s="767">
        <f>SUM(C10,C13,C14,C16:C21,C25,C28:C29,C31,C35:C37)</f>
        <v>1867808</v>
      </c>
      <c r="D8" s="768">
        <f t="shared" ref="D8" si="5">SUM(D10,D13,D14,D16:D21,D25,D28:D29,D31,D35:D37)</f>
        <v>1937676</v>
      </c>
      <c r="E8" s="768">
        <f>SUM(E10,E13,E14,E16:E19,E25,E28:E29,E31,E35:E37,E21)</f>
        <v>1868368</v>
      </c>
      <c r="F8" s="768">
        <f t="shared" ref="F8:K8" si="6">SUM(F10,F13,F14,F16:F19,F25,F28:F29,F31,F35:F37,F21)</f>
        <v>1971409</v>
      </c>
      <c r="G8" s="768">
        <f t="shared" si="6"/>
        <v>1743400</v>
      </c>
      <c r="H8" s="768">
        <f t="shared" si="6"/>
        <v>1256799</v>
      </c>
      <c r="I8" s="768">
        <f t="shared" si="6"/>
        <v>1396689</v>
      </c>
      <c r="J8" s="768">
        <f t="shared" si="6"/>
        <v>1491625</v>
      </c>
      <c r="K8" s="768">
        <f t="shared" si="6"/>
        <v>1285919</v>
      </c>
      <c r="L8" s="768">
        <f t="shared" ref="L8" si="7">SUM(L10,L13,L14,L16:L19,L25,L28:L29,L31,L35:L37,L21)</f>
        <v>1278292</v>
      </c>
      <c r="M8" s="766">
        <f t="shared" ref="M8" si="8">SUM(M10,M13,M14,M16:M19,M25,M28:M29,M31,M35:M37,M21)</f>
        <v>1420954</v>
      </c>
      <c r="N8" s="264">
        <f t="shared" ref="N8:N40" si="9">M8/L8-1</f>
        <v>0.11160360856517926</v>
      </c>
      <c r="O8" s="699">
        <f t="shared" ref="O8:AK8" si="10">SUM(O10,O13,O14,O16:O19,O25,O28:O29,O31,O35:O37,O21)</f>
        <v>101198</v>
      </c>
      <c r="P8" s="700">
        <f t="shared" si="10"/>
        <v>116221</v>
      </c>
      <c r="Q8" s="700">
        <f t="shared" si="10"/>
        <v>101209</v>
      </c>
      <c r="R8" s="700">
        <f t="shared" si="10"/>
        <v>99035</v>
      </c>
      <c r="S8" s="700">
        <f t="shared" si="10"/>
        <v>97350</v>
      </c>
      <c r="T8" s="700">
        <f t="shared" si="10"/>
        <v>67379</v>
      </c>
      <c r="U8" s="700">
        <f t="shared" si="10"/>
        <v>69013</v>
      </c>
      <c r="V8" s="700">
        <f t="shared" si="10"/>
        <v>76930</v>
      </c>
      <c r="W8" s="700">
        <f t="shared" si="10"/>
        <v>67051</v>
      </c>
      <c r="X8" s="700">
        <f t="shared" si="10"/>
        <v>66235</v>
      </c>
      <c r="Y8" s="700">
        <f t="shared" si="10"/>
        <v>56694</v>
      </c>
      <c r="Z8" s="264">
        <f>Y8/X8-1</f>
        <v>-0.14404770891522611</v>
      </c>
      <c r="AA8" s="699">
        <f t="shared" si="10"/>
        <v>227873</v>
      </c>
      <c r="AB8" s="700">
        <f t="shared" si="10"/>
        <v>265364</v>
      </c>
      <c r="AC8" s="700">
        <f t="shared" si="10"/>
        <v>253387</v>
      </c>
      <c r="AD8" s="700">
        <f t="shared" si="10"/>
        <v>258378</v>
      </c>
      <c r="AE8" s="700">
        <f t="shared" si="10"/>
        <v>258860</v>
      </c>
      <c r="AF8" s="700">
        <f t="shared" si="10"/>
        <v>143347</v>
      </c>
      <c r="AG8" s="700">
        <f t="shared" si="10"/>
        <v>150668</v>
      </c>
      <c r="AH8" s="700">
        <f t="shared" si="10"/>
        <v>196336</v>
      </c>
      <c r="AI8" s="700">
        <f t="shared" si="10"/>
        <v>179153</v>
      </c>
      <c r="AJ8" s="700">
        <f t="shared" si="10"/>
        <v>192636</v>
      </c>
      <c r="AK8" s="696">
        <f t="shared" si="10"/>
        <v>179037</v>
      </c>
      <c r="AL8" s="264">
        <f>AK8/AJ8-1</f>
        <v>-7.0594281442720952E-2</v>
      </c>
      <c r="AM8" s="237" t="s">
        <v>241</v>
      </c>
    </row>
    <row r="9" spans="1:45" ht="12.75" customHeight="1" x14ac:dyDescent="0.2">
      <c r="A9" s="8"/>
      <c r="B9" s="58" t="s">
        <v>245</v>
      </c>
      <c r="C9" s="769"/>
      <c r="D9" s="770"/>
      <c r="E9" s="770">
        <f>E7-E8</f>
        <v>170886</v>
      </c>
      <c r="F9" s="770">
        <f t="shared" ref="F9:L9" si="11">F7-F8</f>
        <v>200931</v>
      </c>
      <c r="G9" s="770">
        <f t="shared" si="11"/>
        <v>209138</v>
      </c>
      <c r="H9" s="770">
        <f t="shared" si="11"/>
        <v>116712</v>
      </c>
      <c r="I9" s="770">
        <f t="shared" si="11"/>
        <v>98372</v>
      </c>
      <c r="J9" s="770">
        <f t="shared" si="11"/>
        <v>115988</v>
      </c>
      <c r="K9" s="770">
        <f t="shared" si="11"/>
        <v>106655</v>
      </c>
      <c r="L9" s="770">
        <f t="shared" si="11"/>
        <v>107445</v>
      </c>
      <c r="M9" s="766">
        <f t="shared" ref="M9" si="12">M7-M8</f>
        <v>120773</v>
      </c>
      <c r="N9" s="264">
        <f t="shared" si="9"/>
        <v>0.12404486016101268</v>
      </c>
      <c r="O9" s="703"/>
      <c r="P9" s="704"/>
      <c r="Q9" s="704"/>
      <c r="R9" s="704"/>
      <c r="S9" s="704"/>
      <c r="T9" s="704"/>
      <c r="U9" s="697"/>
      <c r="V9" s="697"/>
      <c r="W9" s="697"/>
      <c r="X9" s="697"/>
      <c r="Y9" s="698"/>
      <c r="Z9" s="255"/>
      <c r="AA9" s="703"/>
      <c r="AB9" s="704"/>
      <c r="AC9" s="704"/>
      <c r="AD9" s="704"/>
      <c r="AE9" s="704"/>
      <c r="AF9" s="704"/>
      <c r="AG9" s="697"/>
      <c r="AH9" s="697"/>
      <c r="AI9" s="697"/>
      <c r="AJ9" s="697"/>
      <c r="AK9" s="698"/>
      <c r="AL9" s="255"/>
      <c r="AM9" s="58" t="s">
        <v>245</v>
      </c>
    </row>
    <row r="10" spans="1:45" ht="12.75" customHeight="1" x14ac:dyDescent="0.2">
      <c r="A10" s="8"/>
      <c r="B10" s="244" t="s">
        <v>63</v>
      </c>
      <c r="C10" s="771">
        <v>58539</v>
      </c>
      <c r="D10" s="772">
        <v>62068</v>
      </c>
      <c r="E10" s="773">
        <v>60156</v>
      </c>
      <c r="F10" s="773">
        <v>68007</v>
      </c>
      <c r="G10" s="773">
        <v>67546</v>
      </c>
      <c r="H10" s="774">
        <v>53620</v>
      </c>
      <c r="I10" s="774">
        <v>54856</v>
      </c>
      <c r="J10" s="774">
        <v>64049</v>
      </c>
      <c r="K10" s="774">
        <v>57020</v>
      </c>
      <c r="L10" s="774">
        <v>55793</v>
      </c>
      <c r="M10" s="775">
        <v>55807</v>
      </c>
      <c r="N10" s="257">
        <f t="shared" si="9"/>
        <v>2.5092753571231974E-4</v>
      </c>
      <c r="O10" s="708">
        <v>2584</v>
      </c>
      <c r="P10" s="705">
        <v>3344</v>
      </c>
      <c r="Q10" s="705">
        <v>3007</v>
      </c>
      <c r="R10" s="705">
        <v>3206</v>
      </c>
      <c r="S10" s="705">
        <v>2934</v>
      </c>
      <c r="T10" s="706">
        <v>2630</v>
      </c>
      <c r="U10" s="706">
        <v>2477</v>
      </c>
      <c r="V10" s="706">
        <v>2438</v>
      </c>
      <c r="W10" s="706">
        <v>2148</v>
      </c>
      <c r="X10" s="706">
        <v>1888</v>
      </c>
      <c r="Y10" s="707">
        <v>2039</v>
      </c>
      <c r="Z10" s="257">
        <f t="shared" ref="Z10:Z40" si="13">Y10/X10-1</f>
        <v>7.9978813559322015E-2</v>
      </c>
      <c r="AA10" s="709">
        <v>7794</v>
      </c>
      <c r="AB10" s="706">
        <v>9671</v>
      </c>
      <c r="AC10" s="706">
        <v>7772</v>
      </c>
      <c r="AD10" s="706">
        <v>9356</v>
      </c>
      <c r="AE10" s="706">
        <v>9590</v>
      </c>
      <c r="AF10" s="706">
        <v>6202</v>
      </c>
      <c r="AG10" s="706">
        <v>5577</v>
      </c>
      <c r="AH10" s="706">
        <v>7795</v>
      </c>
      <c r="AI10" s="706">
        <v>6822</v>
      </c>
      <c r="AJ10" s="706">
        <v>6314</v>
      </c>
      <c r="AK10" s="707">
        <v>6518</v>
      </c>
      <c r="AL10" s="263">
        <f t="shared" ref="AL10:AL40" si="14">AK10/AJ10-1</f>
        <v>3.2309154260373729E-2</v>
      </c>
      <c r="AM10" s="245" t="s">
        <v>63</v>
      </c>
    </row>
    <row r="11" spans="1:45" ht="12.75" customHeight="1" x14ac:dyDescent="0.2">
      <c r="A11" s="8"/>
      <c r="B11" s="237" t="s">
        <v>46</v>
      </c>
      <c r="C11" s="776"/>
      <c r="D11" s="777">
        <v>7631</v>
      </c>
      <c r="E11" s="778">
        <v>10242</v>
      </c>
      <c r="F11" s="778">
        <v>12225</v>
      </c>
      <c r="G11" s="778">
        <v>13642</v>
      </c>
      <c r="H11" s="778">
        <v>5514</v>
      </c>
      <c r="I11" s="778">
        <v>5835</v>
      </c>
      <c r="J11" s="778">
        <v>8454</v>
      </c>
      <c r="K11" s="778">
        <v>10231</v>
      </c>
      <c r="L11" s="778">
        <v>9446</v>
      </c>
      <c r="M11" s="779">
        <v>10749</v>
      </c>
      <c r="N11" s="258">
        <f t="shared" si="9"/>
        <v>0.13794198602583108</v>
      </c>
      <c r="O11" s="712" t="s">
        <v>81</v>
      </c>
      <c r="P11" s="713" t="s">
        <v>81</v>
      </c>
      <c r="Q11" s="713" t="s">
        <v>81</v>
      </c>
      <c r="R11" s="713" t="s">
        <v>81</v>
      </c>
      <c r="S11" s="713" t="s">
        <v>81</v>
      </c>
      <c r="T11" s="713" t="s">
        <v>81</v>
      </c>
      <c r="U11" s="713" t="s">
        <v>81</v>
      </c>
      <c r="V11" s="713" t="s">
        <v>81</v>
      </c>
      <c r="W11" s="713" t="s">
        <v>81</v>
      </c>
      <c r="X11" s="713" t="s">
        <v>81</v>
      </c>
      <c r="Y11" s="714" t="s">
        <v>81</v>
      </c>
      <c r="Z11" s="485"/>
      <c r="AA11" s="712" t="s">
        <v>81</v>
      </c>
      <c r="AB11" s="713" t="s">
        <v>81</v>
      </c>
      <c r="AC11" s="713" t="s">
        <v>81</v>
      </c>
      <c r="AD11" s="713" t="s">
        <v>81</v>
      </c>
      <c r="AE11" s="713" t="s">
        <v>81</v>
      </c>
      <c r="AF11" s="713" t="s">
        <v>81</v>
      </c>
      <c r="AG11" s="713" t="s">
        <v>81</v>
      </c>
      <c r="AH11" s="715" t="s">
        <v>81</v>
      </c>
      <c r="AI11" s="715" t="s">
        <v>81</v>
      </c>
      <c r="AJ11" s="715" t="s">
        <v>81</v>
      </c>
      <c r="AK11" s="716" t="s">
        <v>81</v>
      </c>
      <c r="AL11" s="487"/>
      <c r="AM11" s="243" t="s">
        <v>46</v>
      </c>
    </row>
    <row r="12" spans="1:45" ht="12.75" customHeight="1" x14ac:dyDescent="0.2">
      <c r="A12" s="8"/>
      <c r="B12" s="244" t="s">
        <v>48</v>
      </c>
      <c r="C12" s="771">
        <v>17186</v>
      </c>
      <c r="D12" s="772">
        <v>15965</v>
      </c>
      <c r="E12" s="773">
        <v>16185</v>
      </c>
      <c r="F12" s="773">
        <v>19534</v>
      </c>
      <c r="G12" s="773">
        <v>20269</v>
      </c>
      <c r="H12" s="773">
        <v>13007</v>
      </c>
      <c r="I12" s="773">
        <v>11429</v>
      </c>
      <c r="J12" s="773">
        <v>13377</v>
      </c>
      <c r="K12" s="773">
        <v>11628</v>
      </c>
      <c r="L12" s="773">
        <v>11658</v>
      </c>
      <c r="M12" s="780">
        <v>13196</v>
      </c>
      <c r="N12" s="259">
        <f t="shared" si="9"/>
        <v>0.13192657402641972</v>
      </c>
      <c r="O12" s="708">
        <v>2273</v>
      </c>
      <c r="P12" s="705">
        <v>2713</v>
      </c>
      <c r="Q12" s="705">
        <v>3264</v>
      </c>
      <c r="R12" s="705">
        <v>4007</v>
      </c>
      <c r="S12" s="705">
        <v>3895</v>
      </c>
      <c r="T12" s="705">
        <v>2012</v>
      </c>
      <c r="U12" s="705">
        <v>1288</v>
      </c>
      <c r="V12" s="705">
        <v>1436</v>
      </c>
      <c r="W12" s="705">
        <v>1259</v>
      </c>
      <c r="X12" s="705">
        <v>1532</v>
      </c>
      <c r="Y12" s="717">
        <v>1448</v>
      </c>
      <c r="Z12" s="259">
        <f t="shared" si="13"/>
        <v>-5.483028720626637E-2</v>
      </c>
      <c r="AA12" s="708">
        <v>4229</v>
      </c>
      <c r="AB12" s="705">
        <v>5546</v>
      </c>
      <c r="AC12" s="705">
        <v>6530</v>
      </c>
      <c r="AD12" s="705">
        <v>8072</v>
      </c>
      <c r="AE12" s="705">
        <v>7509</v>
      </c>
      <c r="AF12" s="705">
        <v>3117</v>
      </c>
      <c r="AG12" s="705">
        <v>3665</v>
      </c>
      <c r="AH12" s="705">
        <v>5999</v>
      </c>
      <c r="AI12" s="705">
        <v>5684</v>
      </c>
      <c r="AJ12" s="705">
        <v>6556</v>
      </c>
      <c r="AK12" s="717">
        <v>8150</v>
      </c>
      <c r="AL12" s="259">
        <f t="shared" si="14"/>
        <v>0.24313605857230014</v>
      </c>
      <c r="AM12" s="245" t="s">
        <v>48</v>
      </c>
    </row>
    <row r="13" spans="1:45" ht="12.75" customHeight="1" x14ac:dyDescent="0.2">
      <c r="A13" s="8"/>
      <c r="B13" s="237" t="s">
        <v>59</v>
      </c>
      <c r="C13" s="776">
        <v>44791</v>
      </c>
      <c r="D13" s="777">
        <v>57880</v>
      </c>
      <c r="E13" s="778">
        <v>62792</v>
      </c>
      <c r="F13" s="778">
        <v>56067</v>
      </c>
      <c r="G13" s="778">
        <v>33602</v>
      </c>
      <c r="H13" s="778">
        <v>15207</v>
      </c>
      <c r="I13" s="778">
        <v>16092</v>
      </c>
      <c r="J13" s="778">
        <v>23600</v>
      </c>
      <c r="K13" s="778">
        <v>24053</v>
      </c>
      <c r="L13" s="778">
        <v>24007</v>
      </c>
      <c r="M13" s="779">
        <v>28471</v>
      </c>
      <c r="N13" s="258">
        <f t="shared" si="9"/>
        <v>0.18594576581830302</v>
      </c>
      <c r="O13" s="718">
        <v>661</v>
      </c>
      <c r="P13" s="710">
        <v>982</v>
      </c>
      <c r="Q13" s="710">
        <v>785</v>
      </c>
      <c r="R13" s="710">
        <v>855</v>
      </c>
      <c r="S13" s="710">
        <v>1157</v>
      </c>
      <c r="T13" s="710">
        <v>575</v>
      </c>
      <c r="U13" s="710">
        <v>522</v>
      </c>
      <c r="V13" s="710">
        <v>384</v>
      </c>
      <c r="W13" s="710">
        <v>425</v>
      </c>
      <c r="X13" s="710">
        <v>440</v>
      </c>
      <c r="Y13" s="711">
        <v>363</v>
      </c>
      <c r="Z13" s="258">
        <f t="shared" si="13"/>
        <v>-0.17500000000000004</v>
      </c>
      <c r="AA13" s="718">
        <v>4000</v>
      </c>
      <c r="AB13" s="710">
        <v>5430</v>
      </c>
      <c r="AC13" s="710">
        <v>5205</v>
      </c>
      <c r="AD13" s="710">
        <v>6036</v>
      </c>
      <c r="AE13" s="710">
        <v>5516</v>
      </c>
      <c r="AF13" s="710">
        <v>2677</v>
      </c>
      <c r="AG13" s="710">
        <v>2318</v>
      </c>
      <c r="AH13" s="710">
        <v>3164</v>
      </c>
      <c r="AI13" s="710">
        <v>3343</v>
      </c>
      <c r="AJ13" s="710">
        <v>3871</v>
      </c>
      <c r="AK13" s="711">
        <v>3329</v>
      </c>
      <c r="AL13" s="258">
        <f t="shared" si="14"/>
        <v>-0.14001549987083439</v>
      </c>
      <c r="AM13" s="243" t="s">
        <v>59</v>
      </c>
    </row>
    <row r="14" spans="1:45" ht="12.75" customHeight="1" x14ac:dyDescent="0.2">
      <c r="A14" s="8"/>
      <c r="B14" s="244" t="s">
        <v>64</v>
      </c>
      <c r="C14" s="771">
        <v>185541</v>
      </c>
      <c r="D14" s="772">
        <v>193736</v>
      </c>
      <c r="E14" s="773">
        <v>197513</v>
      </c>
      <c r="F14" s="773">
        <v>221769</v>
      </c>
      <c r="G14" s="773">
        <v>223525</v>
      </c>
      <c r="H14" s="773">
        <v>170067</v>
      </c>
      <c r="I14" s="773">
        <v>197270</v>
      </c>
      <c r="J14" s="773">
        <v>233617</v>
      </c>
      <c r="K14" s="773">
        <v>219508</v>
      </c>
      <c r="L14" s="773">
        <v>212831</v>
      </c>
      <c r="M14" s="780">
        <v>228414</v>
      </c>
      <c r="N14" s="259">
        <f t="shared" si="9"/>
        <v>7.3217717343807998E-2</v>
      </c>
      <c r="O14" s="708">
        <v>38735</v>
      </c>
      <c r="P14" s="705">
        <v>42018</v>
      </c>
      <c r="Q14" s="705">
        <v>38373</v>
      </c>
      <c r="R14" s="705">
        <v>38452</v>
      </c>
      <c r="S14" s="705">
        <v>37792</v>
      </c>
      <c r="T14" s="705">
        <v>26177</v>
      </c>
      <c r="U14" s="705">
        <v>30841</v>
      </c>
      <c r="V14" s="705">
        <v>35943</v>
      </c>
      <c r="W14" s="705">
        <v>31684</v>
      </c>
      <c r="X14" s="705">
        <v>31417</v>
      </c>
      <c r="Y14" s="717">
        <v>27299</v>
      </c>
      <c r="Z14" s="259">
        <f t="shared" si="13"/>
        <v>-0.13107553235509439</v>
      </c>
      <c r="AA14" s="708">
        <v>53728</v>
      </c>
      <c r="AB14" s="705">
        <v>59873</v>
      </c>
      <c r="AC14" s="705">
        <v>62837</v>
      </c>
      <c r="AD14" s="705">
        <v>68424</v>
      </c>
      <c r="AE14" s="705">
        <v>67797</v>
      </c>
      <c r="AF14" s="705">
        <v>40322</v>
      </c>
      <c r="AG14" s="705">
        <v>48827</v>
      </c>
      <c r="AH14" s="705">
        <v>60218</v>
      </c>
      <c r="AI14" s="705">
        <v>54534</v>
      </c>
      <c r="AJ14" s="705">
        <v>55215</v>
      </c>
      <c r="AK14" s="717">
        <v>58581</v>
      </c>
      <c r="AL14" s="259">
        <f t="shared" si="14"/>
        <v>6.0961695191523946E-2</v>
      </c>
      <c r="AM14" s="245" t="s">
        <v>64</v>
      </c>
    </row>
    <row r="15" spans="1:45" ht="12.75" customHeight="1" x14ac:dyDescent="0.2">
      <c r="A15" s="8"/>
      <c r="B15" s="237" t="s">
        <v>49</v>
      </c>
      <c r="C15" s="776">
        <v>2365</v>
      </c>
      <c r="D15" s="777">
        <v>2896</v>
      </c>
      <c r="E15" s="778">
        <v>3696</v>
      </c>
      <c r="F15" s="778">
        <v>4610</v>
      </c>
      <c r="G15" s="778">
        <v>2976</v>
      </c>
      <c r="H15" s="778">
        <v>1175</v>
      </c>
      <c r="I15" s="778">
        <v>1370</v>
      </c>
      <c r="J15" s="778">
        <v>2435</v>
      </c>
      <c r="K15" s="778">
        <v>2752</v>
      </c>
      <c r="L15" s="778">
        <v>2885</v>
      </c>
      <c r="M15" s="779">
        <v>3243</v>
      </c>
      <c r="N15" s="258">
        <f t="shared" si="9"/>
        <v>0.12409012131715769</v>
      </c>
      <c r="O15" s="718">
        <v>89</v>
      </c>
      <c r="P15" s="710">
        <v>163</v>
      </c>
      <c r="Q15" s="710">
        <v>147</v>
      </c>
      <c r="R15" s="710">
        <v>121</v>
      </c>
      <c r="S15" s="710">
        <v>109</v>
      </c>
      <c r="T15" s="710">
        <v>25</v>
      </c>
      <c r="U15" s="710">
        <v>50</v>
      </c>
      <c r="V15" s="710">
        <v>52</v>
      </c>
      <c r="W15" s="710">
        <v>50</v>
      </c>
      <c r="X15" s="710">
        <v>48</v>
      </c>
      <c r="Y15" s="711">
        <v>64</v>
      </c>
      <c r="Z15" s="258">
        <f t="shared" si="13"/>
        <v>0.33333333333333326</v>
      </c>
      <c r="AA15" s="718">
        <v>549</v>
      </c>
      <c r="AB15" s="710">
        <v>812</v>
      </c>
      <c r="AC15" s="710">
        <v>1387</v>
      </c>
      <c r="AD15" s="710">
        <v>1597</v>
      </c>
      <c r="AE15" s="710">
        <v>1192</v>
      </c>
      <c r="AF15" s="710">
        <v>231</v>
      </c>
      <c r="AG15" s="710">
        <v>320</v>
      </c>
      <c r="AH15" s="710">
        <v>694</v>
      </c>
      <c r="AI15" s="710">
        <v>684</v>
      </c>
      <c r="AJ15" s="710">
        <v>808</v>
      </c>
      <c r="AK15" s="711">
        <v>712</v>
      </c>
      <c r="AL15" s="258">
        <f t="shared" si="14"/>
        <v>-0.11881188118811881</v>
      </c>
      <c r="AM15" s="243" t="s">
        <v>49</v>
      </c>
      <c r="AS15" s="93"/>
    </row>
    <row r="16" spans="1:45" ht="12.75" customHeight="1" x14ac:dyDescent="0.2">
      <c r="A16" s="8"/>
      <c r="B16" s="244" t="s">
        <v>67</v>
      </c>
      <c r="C16" s="771">
        <v>29313</v>
      </c>
      <c r="D16" s="772">
        <v>36431</v>
      </c>
      <c r="E16" s="773">
        <v>39502</v>
      </c>
      <c r="F16" s="773">
        <v>42727</v>
      </c>
      <c r="G16" s="773">
        <v>28163</v>
      </c>
      <c r="H16" s="773">
        <v>8611</v>
      </c>
      <c r="I16" s="773">
        <v>9957</v>
      </c>
      <c r="J16" s="773">
        <v>10868</v>
      </c>
      <c r="K16" s="773">
        <v>10325</v>
      </c>
      <c r="L16" s="773">
        <v>10808</v>
      </c>
      <c r="M16" s="780">
        <v>16456</v>
      </c>
      <c r="N16" s="259">
        <f t="shared" si="9"/>
        <v>0.52257586972612868</v>
      </c>
      <c r="O16" s="708">
        <v>1588</v>
      </c>
      <c r="P16" s="705">
        <v>1838</v>
      </c>
      <c r="Q16" s="705">
        <v>3077</v>
      </c>
      <c r="R16" s="705">
        <v>2634</v>
      </c>
      <c r="S16" s="705">
        <v>2079</v>
      </c>
      <c r="T16" s="705">
        <v>859</v>
      </c>
      <c r="U16" s="705">
        <v>875</v>
      </c>
      <c r="V16" s="705">
        <v>690</v>
      </c>
      <c r="W16" s="705">
        <v>645</v>
      </c>
      <c r="X16" s="705">
        <v>441</v>
      </c>
      <c r="Y16" s="717">
        <v>474</v>
      </c>
      <c r="Z16" s="259">
        <f t="shared" si="13"/>
        <v>7.4829931972789199E-2</v>
      </c>
      <c r="AA16" s="708">
        <v>2686</v>
      </c>
      <c r="AB16" s="705">
        <v>3696</v>
      </c>
      <c r="AC16" s="705">
        <v>3712</v>
      </c>
      <c r="AD16" s="705">
        <v>3504</v>
      </c>
      <c r="AE16" s="705">
        <v>2609</v>
      </c>
      <c r="AF16" s="705">
        <v>699</v>
      </c>
      <c r="AG16" s="705">
        <v>611</v>
      </c>
      <c r="AH16" s="705">
        <v>807</v>
      </c>
      <c r="AI16" s="705">
        <v>919</v>
      </c>
      <c r="AJ16" s="705">
        <v>1302</v>
      </c>
      <c r="AK16" s="717">
        <v>1447</v>
      </c>
      <c r="AL16" s="259">
        <f t="shared" si="14"/>
        <v>0.11136712749615985</v>
      </c>
      <c r="AM16" s="245" t="s">
        <v>67</v>
      </c>
    </row>
    <row r="17" spans="1:39" ht="12.75" customHeight="1" x14ac:dyDescent="0.2">
      <c r="A17" s="8"/>
      <c r="B17" s="237" t="s">
        <v>60</v>
      </c>
      <c r="C17" s="776">
        <v>22543</v>
      </c>
      <c r="D17" s="777">
        <v>23071</v>
      </c>
      <c r="E17" s="778">
        <v>23730</v>
      </c>
      <c r="F17" s="778">
        <v>24007</v>
      </c>
      <c r="G17" s="778">
        <v>22205</v>
      </c>
      <c r="H17" s="778">
        <v>14499</v>
      </c>
      <c r="I17" s="778">
        <v>10632</v>
      </c>
      <c r="J17" s="778">
        <v>6357</v>
      </c>
      <c r="K17" s="778">
        <v>3707</v>
      </c>
      <c r="L17" s="778">
        <v>3431</v>
      </c>
      <c r="M17" s="779">
        <v>4707</v>
      </c>
      <c r="N17" s="258">
        <f t="shared" si="9"/>
        <v>0.37190323520839397</v>
      </c>
      <c r="O17" s="718">
        <v>1288</v>
      </c>
      <c r="P17" s="710">
        <v>1114</v>
      </c>
      <c r="Q17" s="710">
        <v>1173</v>
      </c>
      <c r="R17" s="710">
        <v>1298</v>
      </c>
      <c r="S17" s="710">
        <v>1287</v>
      </c>
      <c r="T17" s="710">
        <v>988</v>
      </c>
      <c r="U17" s="710">
        <v>688</v>
      </c>
      <c r="V17" s="710">
        <v>283</v>
      </c>
      <c r="W17" s="710">
        <v>114</v>
      </c>
      <c r="X17" s="710">
        <v>176</v>
      </c>
      <c r="Y17" s="711">
        <v>121</v>
      </c>
      <c r="Z17" s="258">
        <f t="shared" si="13"/>
        <v>-0.3125</v>
      </c>
      <c r="AA17" s="718">
        <v>944</v>
      </c>
      <c r="AB17" s="710">
        <v>1353</v>
      </c>
      <c r="AC17" s="710">
        <v>1014</v>
      </c>
      <c r="AD17" s="710">
        <v>1199</v>
      </c>
      <c r="AE17" s="710">
        <v>1503</v>
      </c>
      <c r="AF17" s="710">
        <v>889</v>
      </c>
      <c r="AG17" s="710">
        <v>618</v>
      </c>
      <c r="AH17" s="710">
        <v>264</v>
      </c>
      <c r="AI17" s="710">
        <v>105</v>
      </c>
      <c r="AJ17" s="710">
        <v>169</v>
      </c>
      <c r="AK17" s="711">
        <v>232</v>
      </c>
      <c r="AL17" s="258">
        <f t="shared" si="14"/>
        <v>0.3727810650887573</v>
      </c>
      <c r="AM17" s="243" t="s">
        <v>60</v>
      </c>
    </row>
    <row r="18" spans="1:39" ht="12.75" customHeight="1" x14ac:dyDescent="0.2">
      <c r="A18" s="8"/>
      <c r="B18" s="244" t="s">
        <v>65</v>
      </c>
      <c r="C18" s="771">
        <v>333414</v>
      </c>
      <c r="D18" s="772">
        <v>386250</v>
      </c>
      <c r="E18" s="773">
        <v>273922</v>
      </c>
      <c r="F18" s="773">
        <v>275563</v>
      </c>
      <c r="G18" s="773">
        <v>165872</v>
      </c>
      <c r="H18" s="773">
        <v>106527</v>
      </c>
      <c r="I18" s="773">
        <v>116004</v>
      </c>
      <c r="J18" s="773">
        <v>104374</v>
      </c>
      <c r="K18" s="773">
        <v>76387</v>
      </c>
      <c r="L18" s="773">
        <v>85388</v>
      </c>
      <c r="M18" s="780">
        <v>113787</v>
      </c>
      <c r="N18" s="259">
        <f t="shared" si="9"/>
        <v>0.33258771724364089</v>
      </c>
      <c r="O18" s="708">
        <v>8152</v>
      </c>
      <c r="P18" s="705">
        <v>9847</v>
      </c>
      <c r="Q18" s="705">
        <v>8577</v>
      </c>
      <c r="R18" s="705">
        <v>9318</v>
      </c>
      <c r="S18" s="705">
        <v>7338</v>
      </c>
      <c r="T18" s="705">
        <v>3999</v>
      </c>
      <c r="U18" s="705">
        <v>3573</v>
      </c>
      <c r="V18" s="705">
        <v>3410</v>
      </c>
      <c r="W18" s="705">
        <v>2451</v>
      </c>
      <c r="X18" s="705">
        <v>2123</v>
      </c>
      <c r="Y18" s="717">
        <v>2320</v>
      </c>
      <c r="Z18" s="259">
        <f t="shared" si="13"/>
        <v>9.2793217145548779E-2</v>
      </c>
      <c r="AA18" s="708">
        <v>29131</v>
      </c>
      <c r="AB18" s="705">
        <v>34514</v>
      </c>
      <c r="AC18" s="705">
        <v>32395</v>
      </c>
      <c r="AD18" s="705">
        <v>35779</v>
      </c>
      <c r="AE18" s="705">
        <v>24729</v>
      </c>
      <c r="AF18" s="705">
        <v>8280</v>
      </c>
      <c r="AG18" s="705">
        <v>10117</v>
      </c>
      <c r="AH18" s="705">
        <v>12896</v>
      </c>
      <c r="AI18" s="705">
        <v>10589</v>
      </c>
      <c r="AJ18" s="705">
        <v>11081</v>
      </c>
      <c r="AK18" s="717">
        <v>13970</v>
      </c>
      <c r="AL18" s="259">
        <f t="shared" si="14"/>
        <v>0.2607165418283548</v>
      </c>
      <c r="AM18" s="245" t="s">
        <v>65</v>
      </c>
    </row>
    <row r="19" spans="1:39" ht="12.75" customHeight="1" x14ac:dyDescent="0.2">
      <c r="A19" s="8"/>
      <c r="B19" s="237" t="s">
        <v>66</v>
      </c>
      <c r="C19" s="776">
        <v>407515</v>
      </c>
      <c r="D19" s="777">
        <v>419043</v>
      </c>
      <c r="E19" s="778">
        <v>439194</v>
      </c>
      <c r="F19" s="778">
        <v>460513</v>
      </c>
      <c r="G19" s="778">
        <v>458937</v>
      </c>
      <c r="H19" s="778">
        <v>372590</v>
      </c>
      <c r="I19" s="778">
        <v>415448</v>
      </c>
      <c r="J19" s="778">
        <v>426652</v>
      </c>
      <c r="K19" s="778">
        <v>381233</v>
      </c>
      <c r="L19" s="778">
        <v>364989</v>
      </c>
      <c r="M19" s="779">
        <v>370361</v>
      </c>
      <c r="N19" s="258">
        <f t="shared" si="9"/>
        <v>1.4718251782930514E-2</v>
      </c>
      <c r="O19" s="718">
        <v>9037</v>
      </c>
      <c r="P19" s="710">
        <v>11314</v>
      </c>
      <c r="Q19" s="710">
        <v>9740</v>
      </c>
      <c r="R19" s="710">
        <v>8403</v>
      </c>
      <c r="S19" s="710">
        <v>9707</v>
      </c>
      <c r="T19" s="710">
        <v>7599</v>
      </c>
      <c r="U19" s="710">
        <v>7687</v>
      </c>
      <c r="V19" s="710">
        <v>9501</v>
      </c>
      <c r="W19" s="710">
        <v>8208</v>
      </c>
      <c r="X19" s="710">
        <v>7339</v>
      </c>
      <c r="Y19" s="711">
        <v>6086</v>
      </c>
      <c r="Z19" s="258">
        <f t="shared" si="13"/>
        <v>-0.17073170731707321</v>
      </c>
      <c r="AA19" s="718">
        <v>38440</v>
      </c>
      <c r="AB19" s="710">
        <v>49765</v>
      </c>
      <c r="AC19" s="710">
        <v>43613</v>
      </c>
      <c r="AD19" s="710">
        <v>44405</v>
      </c>
      <c r="AE19" s="710">
        <v>48163</v>
      </c>
      <c r="AF19" s="710">
        <v>28576</v>
      </c>
      <c r="AG19" s="710">
        <v>28172</v>
      </c>
      <c r="AH19" s="710">
        <v>39864</v>
      </c>
      <c r="AI19" s="710">
        <v>37465</v>
      </c>
      <c r="AJ19" s="710">
        <v>37626</v>
      </c>
      <c r="AK19" s="711">
        <v>32698</v>
      </c>
      <c r="AL19" s="258">
        <f t="shared" si="14"/>
        <v>-0.1309732631690852</v>
      </c>
      <c r="AM19" s="243" t="s">
        <v>66</v>
      </c>
    </row>
    <row r="20" spans="1:39" ht="12.75" customHeight="1" x14ac:dyDescent="0.2">
      <c r="A20" s="8"/>
      <c r="B20" s="10" t="s">
        <v>77</v>
      </c>
      <c r="C20" s="771">
        <v>12598</v>
      </c>
      <c r="D20" s="772">
        <v>12650</v>
      </c>
      <c r="E20" s="773">
        <v>13607</v>
      </c>
      <c r="F20" s="773">
        <v>13782</v>
      </c>
      <c r="G20" s="773">
        <v>13148</v>
      </c>
      <c r="H20" s="773">
        <v>6780</v>
      </c>
      <c r="I20" s="773">
        <v>4996</v>
      </c>
      <c r="J20" s="773">
        <v>5198</v>
      </c>
      <c r="K20" s="773">
        <v>5218</v>
      </c>
      <c r="L20" s="781">
        <v>5268</v>
      </c>
      <c r="M20" s="780">
        <v>5214</v>
      </c>
      <c r="N20" s="259">
        <f t="shared" si="9"/>
        <v>-1.025056947608205E-2</v>
      </c>
      <c r="O20" s="720" t="s">
        <v>81</v>
      </c>
      <c r="P20" s="721" t="s">
        <v>81</v>
      </c>
      <c r="Q20" s="721" t="s">
        <v>81</v>
      </c>
      <c r="R20" s="721" t="s">
        <v>81</v>
      </c>
      <c r="S20" s="721" t="s">
        <v>81</v>
      </c>
      <c r="T20" s="722" t="s">
        <v>81</v>
      </c>
      <c r="U20" s="722" t="s">
        <v>81</v>
      </c>
      <c r="V20" s="722" t="s">
        <v>81</v>
      </c>
      <c r="W20" s="722" t="s">
        <v>81</v>
      </c>
      <c r="X20" s="723">
        <v>159</v>
      </c>
      <c r="Y20" s="724">
        <v>182</v>
      </c>
      <c r="Z20" s="486">
        <f t="shared" si="13"/>
        <v>0.14465408805031443</v>
      </c>
      <c r="AA20" s="720" t="s">
        <v>81</v>
      </c>
      <c r="AB20" s="721" t="s">
        <v>81</v>
      </c>
      <c r="AC20" s="721" t="s">
        <v>81</v>
      </c>
      <c r="AD20" s="721" t="s">
        <v>81</v>
      </c>
      <c r="AE20" s="721" t="s">
        <v>81</v>
      </c>
      <c r="AF20" s="721" t="s">
        <v>81</v>
      </c>
      <c r="AG20" s="721" t="s">
        <v>81</v>
      </c>
      <c r="AH20" s="721" t="s">
        <v>81</v>
      </c>
      <c r="AI20" s="721" t="s">
        <v>81</v>
      </c>
      <c r="AJ20" s="726">
        <v>479</v>
      </c>
      <c r="AK20" s="727">
        <v>780</v>
      </c>
      <c r="AL20" s="486">
        <f t="shared" si="14"/>
        <v>0.62839248434238004</v>
      </c>
      <c r="AM20" s="75" t="s">
        <v>77</v>
      </c>
    </row>
    <row r="21" spans="1:39" ht="12.75" customHeight="1" x14ac:dyDescent="0.2">
      <c r="A21" s="8"/>
      <c r="B21" s="479" t="s">
        <v>68</v>
      </c>
      <c r="C21" s="782">
        <v>214009</v>
      </c>
      <c r="D21" s="783">
        <v>207400</v>
      </c>
      <c r="E21" s="784">
        <v>231436</v>
      </c>
      <c r="F21" s="784">
        <v>242626</v>
      </c>
      <c r="G21" s="784">
        <v>223885</v>
      </c>
      <c r="H21" s="784">
        <v>175405</v>
      </c>
      <c r="I21" s="784">
        <v>179502</v>
      </c>
      <c r="J21" s="784">
        <v>172265</v>
      </c>
      <c r="K21" s="784">
        <v>116673</v>
      </c>
      <c r="L21" s="784">
        <v>100378</v>
      </c>
      <c r="M21" s="785">
        <v>116945</v>
      </c>
      <c r="N21" s="267">
        <f t="shared" si="9"/>
        <v>0.16504612564506171</v>
      </c>
      <c r="O21" s="730">
        <v>10843</v>
      </c>
      <c r="P21" s="728">
        <v>12101</v>
      </c>
      <c r="Q21" s="728">
        <v>10188</v>
      </c>
      <c r="R21" s="728">
        <v>10083</v>
      </c>
      <c r="S21" s="728">
        <v>9286</v>
      </c>
      <c r="T21" s="728">
        <v>6714</v>
      </c>
      <c r="U21" s="728">
        <v>6098</v>
      </c>
      <c r="V21" s="728">
        <v>6581</v>
      </c>
      <c r="W21" s="728">
        <v>3590</v>
      </c>
      <c r="X21" s="728">
        <v>3026</v>
      </c>
      <c r="Y21" s="729">
        <v>3101</v>
      </c>
      <c r="Z21" s="267">
        <f t="shared" si="13"/>
        <v>2.4785194976867153E-2</v>
      </c>
      <c r="AA21" s="730">
        <v>25350</v>
      </c>
      <c r="AB21" s="728">
        <v>28666</v>
      </c>
      <c r="AC21" s="728">
        <v>25560</v>
      </c>
      <c r="AD21" s="728">
        <v>25737</v>
      </c>
      <c r="AE21" s="728">
        <v>25191</v>
      </c>
      <c r="AF21" s="728">
        <v>12372</v>
      </c>
      <c r="AG21" s="728">
        <v>11749</v>
      </c>
      <c r="AH21" s="728">
        <v>14166</v>
      </c>
      <c r="AI21" s="728">
        <v>10021</v>
      </c>
      <c r="AJ21" s="728">
        <v>10503</v>
      </c>
      <c r="AK21" s="729">
        <v>9132</v>
      </c>
      <c r="AL21" s="267">
        <f t="shared" si="14"/>
        <v>-0.1305341331048272</v>
      </c>
      <c r="AM21" s="481" t="s">
        <v>68</v>
      </c>
    </row>
    <row r="22" spans="1:39" ht="12.75" customHeight="1" x14ac:dyDescent="0.2">
      <c r="A22" s="8"/>
      <c r="B22" s="244" t="s">
        <v>47</v>
      </c>
      <c r="C22" s="771">
        <v>3479</v>
      </c>
      <c r="D22" s="772">
        <v>3233</v>
      </c>
      <c r="E22" s="773">
        <v>3697</v>
      </c>
      <c r="F22" s="773">
        <v>4578</v>
      </c>
      <c r="G22" s="773">
        <v>5228</v>
      </c>
      <c r="H22" s="773">
        <v>3397</v>
      </c>
      <c r="I22" s="773">
        <v>3584</v>
      </c>
      <c r="J22" s="773">
        <v>2596</v>
      </c>
      <c r="K22" s="773">
        <v>1395</v>
      </c>
      <c r="L22" s="773">
        <v>966</v>
      </c>
      <c r="M22" s="780">
        <v>1176</v>
      </c>
      <c r="N22" s="259">
        <f t="shared" si="9"/>
        <v>0.21739130434782616</v>
      </c>
      <c r="O22" s="720" t="s">
        <v>81</v>
      </c>
      <c r="P22" s="721" t="s">
        <v>81</v>
      </c>
      <c r="Q22" s="721" t="s">
        <v>81</v>
      </c>
      <c r="R22" s="721" t="s">
        <v>81</v>
      </c>
      <c r="S22" s="721" t="s">
        <v>81</v>
      </c>
      <c r="T22" s="722" t="s">
        <v>81</v>
      </c>
      <c r="U22" s="722" t="s">
        <v>81</v>
      </c>
      <c r="V22" s="722" t="s">
        <v>81</v>
      </c>
      <c r="W22" s="722" t="s">
        <v>81</v>
      </c>
      <c r="X22" s="722" t="s">
        <v>81</v>
      </c>
      <c r="Y22" s="731" t="s">
        <v>81</v>
      </c>
      <c r="Z22" s="486"/>
      <c r="AA22" s="720" t="s">
        <v>81</v>
      </c>
      <c r="AB22" s="721" t="s">
        <v>81</v>
      </c>
      <c r="AC22" s="721" t="s">
        <v>81</v>
      </c>
      <c r="AD22" s="721" t="s">
        <v>81</v>
      </c>
      <c r="AE22" s="721" t="s">
        <v>81</v>
      </c>
      <c r="AF22" s="721" t="s">
        <v>81</v>
      </c>
      <c r="AG22" s="721" t="s">
        <v>81</v>
      </c>
      <c r="AH22" s="721" t="s">
        <v>81</v>
      </c>
      <c r="AI22" s="721" t="s">
        <v>81</v>
      </c>
      <c r="AJ22" s="721" t="s">
        <v>81</v>
      </c>
      <c r="AK22" s="725" t="s">
        <v>81</v>
      </c>
      <c r="AL22" s="488"/>
      <c r="AM22" s="245" t="s">
        <v>47</v>
      </c>
    </row>
    <row r="23" spans="1:39" ht="12.75" customHeight="1" x14ac:dyDescent="0.2">
      <c r="A23" s="8"/>
      <c r="B23" s="479" t="s">
        <v>51</v>
      </c>
      <c r="C23" s="782">
        <v>1404</v>
      </c>
      <c r="D23" s="783">
        <v>1728</v>
      </c>
      <c r="E23" s="784">
        <v>2508</v>
      </c>
      <c r="F23" s="784">
        <v>3458</v>
      </c>
      <c r="G23" s="784">
        <v>2041</v>
      </c>
      <c r="H23" s="784">
        <v>520</v>
      </c>
      <c r="I23" s="784">
        <v>571</v>
      </c>
      <c r="J23" s="784">
        <v>1755</v>
      </c>
      <c r="K23" s="784">
        <v>2236</v>
      </c>
      <c r="L23" s="784">
        <v>2175</v>
      </c>
      <c r="M23" s="785">
        <v>2539</v>
      </c>
      <c r="N23" s="267">
        <f t="shared" si="9"/>
        <v>0.16735632183908056</v>
      </c>
      <c r="O23" s="730">
        <v>104</v>
      </c>
      <c r="P23" s="728">
        <v>286</v>
      </c>
      <c r="Q23" s="728">
        <v>221</v>
      </c>
      <c r="R23" s="728">
        <v>271</v>
      </c>
      <c r="S23" s="728">
        <v>179</v>
      </c>
      <c r="T23" s="728">
        <v>49</v>
      </c>
      <c r="U23" s="728">
        <v>59</v>
      </c>
      <c r="V23" s="728">
        <v>110</v>
      </c>
      <c r="W23" s="728">
        <v>89</v>
      </c>
      <c r="X23" s="728">
        <v>71</v>
      </c>
      <c r="Y23" s="729">
        <v>57</v>
      </c>
      <c r="Z23" s="267">
        <f t="shared" si="13"/>
        <v>-0.19718309859154926</v>
      </c>
      <c r="AA23" s="730">
        <v>782</v>
      </c>
      <c r="AB23" s="728">
        <v>1023</v>
      </c>
      <c r="AC23" s="728">
        <v>1926</v>
      </c>
      <c r="AD23" s="728">
        <v>2990</v>
      </c>
      <c r="AE23" s="728">
        <v>1811</v>
      </c>
      <c r="AF23" s="728">
        <v>251</v>
      </c>
      <c r="AG23" s="728">
        <v>410</v>
      </c>
      <c r="AH23" s="728">
        <v>1280</v>
      </c>
      <c r="AI23" s="728">
        <v>1420</v>
      </c>
      <c r="AJ23" s="728">
        <v>1229</v>
      </c>
      <c r="AK23" s="729">
        <v>843</v>
      </c>
      <c r="AL23" s="267">
        <f t="shared" si="14"/>
        <v>-0.31407648494711149</v>
      </c>
      <c r="AM23" s="481" t="s">
        <v>51</v>
      </c>
    </row>
    <row r="24" spans="1:39" ht="12.75" customHeight="1" x14ac:dyDescent="0.2">
      <c r="A24" s="8"/>
      <c r="B24" s="244" t="s">
        <v>52</v>
      </c>
      <c r="C24" s="771">
        <v>2064</v>
      </c>
      <c r="D24" s="772">
        <v>3303</v>
      </c>
      <c r="E24" s="773">
        <v>4107</v>
      </c>
      <c r="F24" s="773">
        <v>4251</v>
      </c>
      <c r="G24" s="773">
        <v>3000</v>
      </c>
      <c r="H24" s="773">
        <v>776</v>
      </c>
      <c r="I24" s="773">
        <v>936</v>
      </c>
      <c r="J24" s="773">
        <v>1824</v>
      </c>
      <c r="K24" s="773">
        <v>1600</v>
      </c>
      <c r="L24" s="773">
        <v>1823</v>
      </c>
      <c r="M24" s="780">
        <v>1991</v>
      </c>
      <c r="N24" s="259">
        <f t="shared" si="9"/>
        <v>9.215578716401529E-2</v>
      </c>
      <c r="O24" s="708">
        <v>172</v>
      </c>
      <c r="P24" s="705">
        <v>261</v>
      </c>
      <c r="Q24" s="705">
        <v>231</v>
      </c>
      <c r="R24" s="705">
        <v>327</v>
      </c>
      <c r="S24" s="705">
        <v>390</v>
      </c>
      <c r="T24" s="705">
        <v>100</v>
      </c>
      <c r="U24" s="705">
        <v>69</v>
      </c>
      <c r="V24" s="705">
        <v>124</v>
      </c>
      <c r="W24" s="705">
        <v>110</v>
      </c>
      <c r="X24" s="705">
        <v>193</v>
      </c>
      <c r="Y24" s="717">
        <v>134</v>
      </c>
      <c r="Z24" s="259">
        <f t="shared" si="13"/>
        <v>-0.30569948186528495</v>
      </c>
      <c r="AA24" s="708">
        <v>1486</v>
      </c>
      <c r="AB24" s="705">
        <v>2104</v>
      </c>
      <c r="AC24" s="705">
        <v>2893</v>
      </c>
      <c r="AD24" s="705">
        <v>4679</v>
      </c>
      <c r="AE24" s="705">
        <v>3084</v>
      </c>
      <c r="AF24" s="705">
        <v>414</v>
      </c>
      <c r="AG24" s="705">
        <v>1300</v>
      </c>
      <c r="AH24" s="705">
        <v>2638</v>
      </c>
      <c r="AI24" s="705">
        <v>2649</v>
      </c>
      <c r="AJ24" s="705">
        <v>3228</v>
      </c>
      <c r="AK24" s="717">
        <v>2117</v>
      </c>
      <c r="AL24" s="259">
        <f t="shared" si="14"/>
        <v>-0.34417596034696407</v>
      </c>
      <c r="AM24" s="245" t="s">
        <v>52</v>
      </c>
    </row>
    <row r="25" spans="1:39" ht="12.75" customHeight="1" x14ac:dyDescent="0.2">
      <c r="A25" s="8"/>
      <c r="B25" s="479" t="s">
        <v>69</v>
      </c>
      <c r="C25" s="782">
        <v>2670</v>
      </c>
      <c r="D25" s="783">
        <v>3025</v>
      </c>
      <c r="E25" s="784">
        <v>3083</v>
      </c>
      <c r="F25" s="784">
        <v>3492</v>
      </c>
      <c r="G25" s="784">
        <v>4028</v>
      </c>
      <c r="H25" s="784">
        <v>3063</v>
      </c>
      <c r="I25" s="784">
        <v>3246</v>
      </c>
      <c r="J25" s="784">
        <v>3592</v>
      </c>
      <c r="K25" s="784">
        <v>3424</v>
      </c>
      <c r="L25" s="784">
        <v>3276</v>
      </c>
      <c r="M25" s="785">
        <v>3529</v>
      </c>
      <c r="N25" s="267">
        <f t="shared" si="9"/>
        <v>7.7228327228327176E-2</v>
      </c>
      <c r="O25" s="730">
        <v>159</v>
      </c>
      <c r="P25" s="728">
        <v>219</v>
      </c>
      <c r="Q25" s="728">
        <v>159</v>
      </c>
      <c r="R25" s="728">
        <v>175</v>
      </c>
      <c r="S25" s="728">
        <v>209</v>
      </c>
      <c r="T25" s="728">
        <v>135</v>
      </c>
      <c r="U25" s="728">
        <v>147</v>
      </c>
      <c r="V25" s="728">
        <v>193</v>
      </c>
      <c r="W25" s="728">
        <v>169</v>
      </c>
      <c r="X25" s="728">
        <v>163</v>
      </c>
      <c r="Y25" s="729">
        <v>170</v>
      </c>
      <c r="Z25" s="267">
        <f t="shared" si="13"/>
        <v>4.2944785276073594E-2</v>
      </c>
      <c r="AA25" s="730">
        <v>879</v>
      </c>
      <c r="AB25" s="728">
        <v>1361</v>
      </c>
      <c r="AC25" s="728">
        <v>1265</v>
      </c>
      <c r="AD25" s="728">
        <v>1472</v>
      </c>
      <c r="AE25" s="728">
        <v>1584</v>
      </c>
      <c r="AF25" s="728">
        <v>790</v>
      </c>
      <c r="AG25" s="728">
        <v>700</v>
      </c>
      <c r="AH25" s="728">
        <v>1153</v>
      </c>
      <c r="AI25" s="728">
        <v>899</v>
      </c>
      <c r="AJ25" s="728">
        <v>848</v>
      </c>
      <c r="AK25" s="729">
        <v>918</v>
      </c>
      <c r="AL25" s="267">
        <f t="shared" si="14"/>
        <v>8.2547169811320709E-2</v>
      </c>
      <c r="AM25" s="481" t="s">
        <v>69</v>
      </c>
    </row>
    <row r="26" spans="1:39" ht="12.75" customHeight="1" x14ac:dyDescent="0.2">
      <c r="A26" s="8"/>
      <c r="B26" s="244" t="s">
        <v>50</v>
      </c>
      <c r="C26" s="771">
        <v>29641</v>
      </c>
      <c r="D26" s="772">
        <v>35500</v>
      </c>
      <c r="E26" s="773">
        <v>21604</v>
      </c>
      <c r="F26" s="773">
        <v>21920</v>
      </c>
      <c r="G26" s="773">
        <v>21559</v>
      </c>
      <c r="H26" s="773">
        <v>10619</v>
      </c>
      <c r="I26" s="773">
        <v>9187</v>
      </c>
      <c r="J26" s="773">
        <v>11446</v>
      </c>
      <c r="K26" s="773">
        <v>10952</v>
      </c>
      <c r="L26" s="773">
        <v>11424</v>
      </c>
      <c r="M26" s="780">
        <v>15937</v>
      </c>
      <c r="N26" s="259">
        <f t="shared" si="9"/>
        <v>0.39504551820728295</v>
      </c>
      <c r="O26" s="720"/>
      <c r="P26" s="721"/>
      <c r="Q26" s="721"/>
      <c r="R26" s="721"/>
      <c r="S26" s="721"/>
      <c r="T26" s="705"/>
      <c r="U26" s="705">
        <v>313</v>
      </c>
      <c r="V26" s="705">
        <v>417</v>
      </c>
      <c r="W26" s="705">
        <v>371</v>
      </c>
      <c r="X26" s="705">
        <v>434</v>
      </c>
      <c r="Y26" s="717">
        <v>366</v>
      </c>
      <c r="Z26" s="259">
        <f t="shared" si="13"/>
        <v>-0.15668202764976957</v>
      </c>
      <c r="AA26" s="708">
        <v>5146</v>
      </c>
      <c r="AB26" s="705">
        <v>6171</v>
      </c>
      <c r="AC26" s="705"/>
      <c r="AD26" s="705"/>
      <c r="AE26" s="705"/>
      <c r="AF26" s="705"/>
      <c r="AG26" s="705">
        <v>1965</v>
      </c>
      <c r="AH26" s="705">
        <v>3884</v>
      </c>
      <c r="AI26" s="705">
        <v>3949</v>
      </c>
      <c r="AJ26" s="705">
        <v>4546</v>
      </c>
      <c r="AK26" s="717">
        <v>4473</v>
      </c>
      <c r="AL26" s="259">
        <f t="shared" si="14"/>
        <v>-1.6058073031236297E-2</v>
      </c>
      <c r="AM26" s="245" t="s">
        <v>50</v>
      </c>
    </row>
    <row r="27" spans="1:39" ht="12.75" customHeight="1" x14ac:dyDescent="0.2">
      <c r="A27" s="8"/>
      <c r="B27" s="479" t="s">
        <v>53</v>
      </c>
      <c r="C27" s="782">
        <v>375</v>
      </c>
      <c r="D27" s="783">
        <v>652</v>
      </c>
      <c r="E27" s="784">
        <v>564</v>
      </c>
      <c r="F27" s="784">
        <v>865</v>
      </c>
      <c r="G27" s="784">
        <v>783</v>
      </c>
      <c r="H27" s="784">
        <v>471</v>
      </c>
      <c r="I27" s="784">
        <v>924</v>
      </c>
      <c r="J27" s="784">
        <v>1392</v>
      </c>
      <c r="K27" s="784">
        <v>552</v>
      </c>
      <c r="L27" s="784">
        <v>536</v>
      </c>
      <c r="M27" s="785">
        <v>544</v>
      </c>
      <c r="N27" s="267">
        <f t="shared" si="9"/>
        <v>1.4925373134328401E-2</v>
      </c>
      <c r="O27" s="732" t="s">
        <v>81</v>
      </c>
      <c r="P27" s="733" t="s">
        <v>81</v>
      </c>
      <c r="Q27" s="733" t="s">
        <v>81</v>
      </c>
      <c r="R27" s="733" t="s">
        <v>81</v>
      </c>
      <c r="S27" s="733" t="s">
        <v>81</v>
      </c>
      <c r="T27" s="733" t="s">
        <v>81</v>
      </c>
      <c r="U27" s="733" t="s">
        <v>81</v>
      </c>
      <c r="V27" s="733" t="s">
        <v>81</v>
      </c>
      <c r="W27" s="733" t="s">
        <v>81</v>
      </c>
      <c r="X27" s="733" t="s">
        <v>81</v>
      </c>
      <c r="Y27" s="733" t="s">
        <v>81</v>
      </c>
      <c r="Z27" s="487"/>
      <c r="AA27" s="732" t="s">
        <v>81</v>
      </c>
      <c r="AB27" s="733" t="s">
        <v>81</v>
      </c>
      <c r="AC27" s="733" t="s">
        <v>81</v>
      </c>
      <c r="AD27" s="733" t="s">
        <v>81</v>
      </c>
      <c r="AE27" s="733" t="s">
        <v>81</v>
      </c>
      <c r="AF27" s="733" t="s">
        <v>81</v>
      </c>
      <c r="AG27" s="733" t="s">
        <v>81</v>
      </c>
      <c r="AH27" s="733" t="s">
        <v>81</v>
      </c>
      <c r="AI27" s="733" t="s">
        <v>81</v>
      </c>
      <c r="AJ27" s="733" t="s">
        <v>81</v>
      </c>
      <c r="AK27" s="734" t="s">
        <v>81</v>
      </c>
      <c r="AL27" s="487"/>
      <c r="AM27" s="481" t="s">
        <v>53</v>
      </c>
    </row>
    <row r="28" spans="1:39" ht="12.75" customHeight="1" x14ac:dyDescent="0.2">
      <c r="A28" s="8"/>
      <c r="B28" s="10" t="s">
        <v>61</v>
      </c>
      <c r="C28" s="771">
        <v>86126</v>
      </c>
      <c r="D28" s="772">
        <v>65224</v>
      </c>
      <c r="E28" s="773">
        <v>63913</v>
      </c>
      <c r="F28" s="773">
        <v>80830</v>
      </c>
      <c r="G28" s="773">
        <v>84654</v>
      </c>
      <c r="H28" s="773">
        <v>51281</v>
      </c>
      <c r="I28" s="773">
        <v>49564</v>
      </c>
      <c r="J28" s="773">
        <v>58653</v>
      </c>
      <c r="K28" s="773">
        <v>56543</v>
      </c>
      <c r="L28" s="773">
        <v>50246</v>
      </c>
      <c r="M28" s="780">
        <v>51539</v>
      </c>
      <c r="N28" s="259">
        <f t="shared" si="9"/>
        <v>2.5733391712773113E-2</v>
      </c>
      <c r="O28" s="708">
        <v>2799</v>
      </c>
      <c r="P28" s="705">
        <v>3255</v>
      </c>
      <c r="Q28" s="705">
        <v>3309</v>
      </c>
      <c r="R28" s="705">
        <v>2167</v>
      </c>
      <c r="S28" s="705">
        <v>2555</v>
      </c>
      <c r="T28" s="705">
        <v>1794</v>
      </c>
      <c r="U28" s="705">
        <v>1689</v>
      </c>
      <c r="V28" s="705">
        <v>1753</v>
      </c>
      <c r="W28" s="705">
        <v>1778</v>
      </c>
      <c r="X28" s="705">
        <v>1757</v>
      </c>
      <c r="Y28" s="717">
        <v>1259</v>
      </c>
      <c r="Z28" s="259">
        <f t="shared" si="13"/>
        <v>-0.28343767785998863</v>
      </c>
      <c r="AA28" s="708">
        <v>11588</v>
      </c>
      <c r="AB28" s="705">
        <v>12290</v>
      </c>
      <c r="AC28" s="705">
        <v>16695</v>
      </c>
      <c r="AD28" s="705">
        <v>13117</v>
      </c>
      <c r="AE28" s="705">
        <v>15719</v>
      </c>
      <c r="AF28" s="705">
        <v>9963</v>
      </c>
      <c r="AG28" s="705">
        <v>8959</v>
      </c>
      <c r="AH28" s="705">
        <v>11172</v>
      </c>
      <c r="AI28" s="705">
        <v>10569</v>
      </c>
      <c r="AJ28" s="705">
        <v>11810</v>
      </c>
      <c r="AK28" s="717">
        <v>9342</v>
      </c>
      <c r="AL28" s="259">
        <f t="shared" si="14"/>
        <v>-0.20897544453852668</v>
      </c>
      <c r="AM28" s="75" t="s">
        <v>61</v>
      </c>
    </row>
    <row r="29" spans="1:39" ht="12.75" customHeight="1" x14ac:dyDescent="0.2">
      <c r="A29" s="8"/>
      <c r="B29" s="479" t="s">
        <v>70</v>
      </c>
      <c r="C29" s="782">
        <v>28888</v>
      </c>
      <c r="D29" s="783">
        <v>28752</v>
      </c>
      <c r="E29" s="784">
        <v>30357</v>
      </c>
      <c r="F29" s="784">
        <v>32322</v>
      </c>
      <c r="G29" s="784">
        <v>32763</v>
      </c>
      <c r="H29" s="784">
        <v>25582</v>
      </c>
      <c r="I29" s="784">
        <v>27992</v>
      </c>
      <c r="J29" s="784">
        <v>32563</v>
      </c>
      <c r="K29" s="784">
        <v>31505</v>
      </c>
      <c r="L29" s="784">
        <v>30714</v>
      </c>
      <c r="M29" s="785">
        <v>31171</v>
      </c>
      <c r="N29" s="267">
        <f t="shared" si="9"/>
        <v>1.4879208178680825E-2</v>
      </c>
      <c r="O29" s="730">
        <v>1047</v>
      </c>
      <c r="P29" s="728">
        <v>1048</v>
      </c>
      <c r="Q29" s="728">
        <v>992</v>
      </c>
      <c r="R29" s="728">
        <v>1144</v>
      </c>
      <c r="S29" s="728">
        <v>1158</v>
      </c>
      <c r="T29" s="728">
        <v>864</v>
      </c>
      <c r="U29" s="728">
        <v>798</v>
      </c>
      <c r="V29" s="728">
        <v>899</v>
      </c>
      <c r="W29" s="728">
        <v>847</v>
      </c>
      <c r="X29" s="728">
        <v>794</v>
      </c>
      <c r="Y29" s="729">
        <v>791</v>
      </c>
      <c r="Z29" s="267">
        <f t="shared" si="13"/>
        <v>-3.7783375314861534E-3</v>
      </c>
      <c r="AA29" s="730">
        <v>8643</v>
      </c>
      <c r="AB29" s="728">
        <v>7878</v>
      </c>
      <c r="AC29" s="728">
        <v>6617</v>
      </c>
      <c r="AD29" s="728">
        <v>7273</v>
      </c>
      <c r="AE29" s="728">
        <v>7432</v>
      </c>
      <c r="AF29" s="728">
        <v>3926</v>
      </c>
      <c r="AG29" s="728">
        <v>4387</v>
      </c>
      <c r="AH29" s="728">
        <v>6446</v>
      </c>
      <c r="AI29" s="728">
        <v>5807</v>
      </c>
      <c r="AJ29" s="728">
        <v>6636</v>
      </c>
      <c r="AK29" s="729">
        <v>6035</v>
      </c>
      <c r="AL29" s="267">
        <f t="shared" si="14"/>
        <v>-9.056660638939118E-2</v>
      </c>
      <c r="AM29" s="481" t="s">
        <v>70</v>
      </c>
    </row>
    <row r="30" spans="1:39" ht="12.75" customHeight="1" x14ac:dyDescent="0.2">
      <c r="A30" s="8"/>
      <c r="B30" s="244" t="s">
        <v>54</v>
      </c>
      <c r="C30" s="771">
        <v>34508</v>
      </c>
      <c r="D30" s="772">
        <v>35270</v>
      </c>
      <c r="E30" s="773">
        <v>38618</v>
      </c>
      <c r="F30" s="773">
        <v>52048</v>
      </c>
      <c r="G30" s="773">
        <v>55896</v>
      </c>
      <c r="H30" s="773">
        <v>40232</v>
      </c>
      <c r="I30" s="773">
        <v>38647</v>
      </c>
      <c r="J30" s="773">
        <v>45511</v>
      </c>
      <c r="K30" s="773">
        <v>38425</v>
      </c>
      <c r="L30" s="773">
        <v>41143</v>
      </c>
      <c r="M30" s="780">
        <v>43986</v>
      </c>
      <c r="N30" s="259">
        <f t="shared" si="9"/>
        <v>6.9100454512310616E-2</v>
      </c>
      <c r="O30" s="708">
        <v>4092</v>
      </c>
      <c r="P30" s="705">
        <v>4377</v>
      </c>
      <c r="Q30" s="705">
        <v>5162</v>
      </c>
      <c r="R30" s="705">
        <v>6330</v>
      </c>
      <c r="S30" s="705">
        <v>6004</v>
      </c>
      <c r="T30" s="705">
        <v>3650</v>
      </c>
      <c r="U30" s="705">
        <v>4497</v>
      </c>
      <c r="V30" s="705">
        <v>2550</v>
      </c>
      <c r="W30" s="705">
        <v>2249</v>
      </c>
      <c r="X30" s="705">
        <v>2928</v>
      </c>
      <c r="Y30" s="717">
        <v>2316</v>
      </c>
      <c r="Z30" s="491">
        <f t="shared" si="13"/>
        <v>-0.20901639344262291</v>
      </c>
      <c r="AA30" s="708">
        <v>8449</v>
      </c>
      <c r="AB30" s="705">
        <v>7417</v>
      </c>
      <c r="AC30" s="705">
        <v>10734</v>
      </c>
      <c r="AD30" s="705">
        <v>18243</v>
      </c>
      <c r="AE30" s="705">
        <v>16401</v>
      </c>
      <c r="AF30" s="705">
        <v>6235</v>
      </c>
      <c r="AG30" s="705">
        <v>8516</v>
      </c>
      <c r="AH30" s="705">
        <v>14555</v>
      </c>
      <c r="AI30" s="705">
        <v>14389</v>
      </c>
      <c r="AJ30" s="705">
        <v>16775</v>
      </c>
      <c r="AK30" s="717">
        <v>15881</v>
      </c>
      <c r="AL30" s="259">
        <f t="shared" si="14"/>
        <v>-5.3293591654247408E-2</v>
      </c>
      <c r="AM30" s="245" t="s">
        <v>54</v>
      </c>
    </row>
    <row r="31" spans="1:39" ht="12.75" customHeight="1" x14ac:dyDescent="0.2">
      <c r="A31" s="8"/>
      <c r="B31" s="479" t="s">
        <v>71</v>
      </c>
      <c r="C31" s="782">
        <v>70890</v>
      </c>
      <c r="D31" s="783">
        <v>66632</v>
      </c>
      <c r="E31" s="784">
        <v>64342</v>
      </c>
      <c r="F31" s="784">
        <v>68418</v>
      </c>
      <c r="G31" s="784">
        <v>55398</v>
      </c>
      <c r="H31" s="784">
        <v>38905</v>
      </c>
      <c r="I31" s="784">
        <v>45650</v>
      </c>
      <c r="J31" s="784">
        <v>34877</v>
      </c>
      <c r="K31" s="784">
        <v>16002</v>
      </c>
      <c r="L31" s="784">
        <v>18202</v>
      </c>
      <c r="M31" s="785">
        <v>26166</v>
      </c>
      <c r="N31" s="267">
        <f t="shared" si="9"/>
        <v>0.43753433688605647</v>
      </c>
      <c r="O31" s="730">
        <v>1288</v>
      </c>
      <c r="P31" s="728">
        <v>1563</v>
      </c>
      <c r="Q31" s="728">
        <v>1329</v>
      </c>
      <c r="R31" s="728">
        <v>1398</v>
      </c>
      <c r="S31" s="728">
        <v>1048</v>
      </c>
      <c r="T31" s="728">
        <v>847</v>
      </c>
      <c r="U31" s="728">
        <v>745</v>
      </c>
      <c r="V31" s="728">
        <v>651</v>
      </c>
      <c r="W31" s="728">
        <v>336</v>
      </c>
      <c r="X31" s="728">
        <v>345</v>
      </c>
      <c r="Y31" s="729">
        <v>565</v>
      </c>
      <c r="Z31" s="267">
        <f t="shared" si="13"/>
        <v>0.6376811594202898</v>
      </c>
      <c r="AA31" s="730">
        <v>3399</v>
      </c>
      <c r="AB31" s="728">
        <v>3787</v>
      </c>
      <c r="AC31" s="728">
        <v>4082</v>
      </c>
      <c r="AD31" s="728">
        <v>4247</v>
      </c>
      <c r="AE31" s="728">
        <v>4486</v>
      </c>
      <c r="AF31" s="728">
        <v>2364</v>
      </c>
      <c r="AG31" s="728">
        <v>2389</v>
      </c>
      <c r="AH31" s="728">
        <v>2088</v>
      </c>
      <c r="AI31" s="728">
        <v>1558</v>
      </c>
      <c r="AJ31" s="728">
        <v>2049</v>
      </c>
      <c r="AK31" s="729">
        <v>2562</v>
      </c>
      <c r="AL31" s="267">
        <f t="shared" si="14"/>
        <v>0.25036603221083453</v>
      </c>
      <c r="AM31" s="481" t="s">
        <v>71</v>
      </c>
    </row>
    <row r="32" spans="1:39" ht="12.75" customHeight="1" x14ac:dyDescent="0.2">
      <c r="A32" s="8"/>
      <c r="B32" s="244" t="s">
        <v>55</v>
      </c>
      <c r="C32" s="771"/>
      <c r="D32" s="772"/>
      <c r="E32" s="773">
        <v>30508</v>
      </c>
      <c r="F32" s="773">
        <v>33229</v>
      </c>
      <c r="G32" s="773">
        <v>36414</v>
      </c>
      <c r="H32" s="773">
        <v>14086</v>
      </c>
      <c r="I32" s="773">
        <v>9238</v>
      </c>
      <c r="J32" s="773">
        <v>10531</v>
      </c>
      <c r="K32" s="773">
        <v>10741</v>
      </c>
      <c r="L32" s="773">
        <v>8880</v>
      </c>
      <c r="M32" s="780">
        <v>10252</v>
      </c>
      <c r="N32" s="259">
        <f t="shared" si="9"/>
        <v>0.15450450450450459</v>
      </c>
      <c r="O32" s="708"/>
      <c r="P32" s="705"/>
      <c r="Q32" s="705">
        <v>3612</v>
      </c>
      <c r="R32" s="705">
        <v>3468</v>
      </c>
      <c r="S32" s="705">
        <v>3744</v>
      </c>
      <c r="T32" s="705">
        <v>973</v>
      </c>
      <c r="U32" s="705">
        <v>746</v>
      </c>
      <c r="V32" s="705">
        <v>561</v>
      </c>
      <c r="W32" s="705">
        <v>776</v>
      </c>
      <c r="X32" s="705">
        <v>299</v>
      </c>
      <c r="Y32" s="717">
        <v>454</v>
      </c>
      <c r="Z32" s="259">
        <f t="shared" si="13"/>
        <v>0.51839464882943154</v>
      </c>
      <c r="AA32" s="708"/>
      <c r="AB32" s="705"/>
      <c r="AC32" s="705">
        <v>4170</v>
      </c>
      <c r="AD32" s="705">
        <v>11511</v>
      </c>
      <c r="AE32" s="705">
        <v>8762</v>
      </c>
      <c r="AF32" s="705">
        <v>1619</v>
      </c>
      <c r="AG32" s="705">
        <v>2160</v>
      </c>
      <c r="AH32" s="705">
        <v>1574</v>
      </c>
      <c r="AI32" s="705">
        <v>2702</v>
      </c>
      <c r="AJ32" s="705">
        <v>3032</v>
      </c>
      <c r="AK32" s="717">
        <v>3698</v>
      </c>
      <c r="AL32" s="259">
        <f t="shared" si="14"/>
        <v>0.21965699208443268</v>
      </c>
      <c r="AM32" s="245" t="s">
        <v>55</v>
      </c>
    </row>
    <row r="33" spans="1:39" ht="12.75" customHeight="1" x14ac:dyDescent="0.2">
      <c r="A33" s="8"/>
      <c r="B33" s="479" t="s">
        <v>57</v>
      </c>
      <c r="C33" s="782">
        <v>6998</v>
      </c>
      <c r="D33" s="783">
        <v>6881</v>
      </c>
      <c r="E33" s="784">
        <v>6048</v>
      </c>
      <c r="F33" s="784">
        <v>6813</v>
      </c>
      <c r="G33" s="784">
        <v>7282</v>
      </c>
      <c r="H33" s="784">
        <v>4426</v>
      </c>
      <c r="I33" s="784">
        <v>4703</v>
      </c>
      <c r="J33" s="784">
        <v>5753</v>
      </c>
      <c r="K33" s="784">
        <v>5760</v>
      </c>
      <c r="L33" s="784">
        <v>6165</v>
      </c>
      <c r="M33" s="785">
        <v>6318</v>
      </c>
      <c r="N33" s="267">
        <f t="shared" si="9"/>
        <v>2.481751824817513E-2</v>
      </c>
      <c r="O33" s="730">
        <v>408</v>
      </c>
      <c r="P33" s="728">
        <v>346</v>
      </c>
      <c r="Q33" s="728">
        <v>383</v>
      </c>
      <c r="R33" s="728">
        <v>391</v>
      </c>
      <c r="S33" s="728">
        <v>401</v>
      </c>
      <c r="T33" s="728">
        <v>227</v>
      </c>
      <c r="U33" s="728">
        <v>201</v>
      </c>
      <c r="V33" s="728">
        <v>173</v>
      </c>
      <c r="W33" s="728">
        <v>158</v>
      </c>
      <c r="X33" s="728">
        <v>132</v>
      </c>
      <c r="Y33" s="729">
        <v>149</v>
      </c>
      <c r="Z33" s="267">
        <f t="shared" si="13"/>
        <v>0.1287878787878789</v>
      </c>
      <c r="AA33" s="730">
        <v>1066</v>
      </c>
      <c r="AB33" s="728">
        <v>1305</v>
      </c>
      <c r="AC33" s="728">
        <v>1679</v>
      </c>
      <c r="AD33" s="728">
        <v>2326</v>
      </c>
      <c r="AE33" s="728">
        <v>2175</v>
      </c>
      <c r="AF33" s="728">
        <v>531</v>
      </c>
      <c r="AG33" s="728">
        <v>682</v>
      </c>
      <c r="AH33" s="728">
        <v>1209</v>
      </c>
      <c r="AI33" s="728">
        <v>939</v>
      </c>
      <c r="AJ33" s="728">
        <v>1063</v>
      </c>
      <c r="AK33" s="729">
        <v>1343</v>
      </c>
      <c r="AL33" s="267">
        <f t="shared" si="14"/>
        <v>0.26340545625587963</v>
      </c>
      <c r="AM33" s="481" t="s">
        <v>57</v>
      </c>
    </row>
    <row r="34" spans="1:39" ht="12.75" customHeight="1" x14ac:dyDescent="0.2">
      <c r="A34" s="8"/>
      <c r="B34" s="244" t="s">
        <v>56</v>
      </c>
      <c r="C34" s="771">
        <v>10204</v>
      </c>
      <c r="D34" s="772">
        <v>14425</v>
      </c>
      <c r="E34" s="773">
        <v>19502</v>
      </c>
      <c r="F34" s="773">
        <v>23618</v>
      </c>
      <c r="G34" s="773">
        <v>26900</v>
      </c>
      <c r="H34" s="773">
        <v>15709</v>
      </c>
      <c r="I34" s="773">
        <v>6952</v>
      </c>
      <c r="J34" s="773">
        <v>5716</v>
      </c>
      <c r="K34" s="773">
        <v>5165</v>
      </c>
      <c r="L34" s="773">
        <v>5076</v>
      </c>
      <c r="M34" s="780">
        <v>5628</v>
      </c>
      <c r="N34" s="259">
        <f t="shared" si="9"/>
        <v>0.10874704491725762</v>
      </c>
      <c r="O34" s="708">
        <v>774</v>
      </c>
      <c r="P34" s="705">
        <v>936</v>
      </c>
      <c r="Q34" s="705">
        <v>948</v>
      </c>
      <c r="R34" s="705">
        <v>1083</v>
      </c>
      <c r="S34" s="705">
        <v>1075</v>
      </c>
      <c r="T34" s="705">
        <v>473</v>
      </c>
      <c r="U34" s="705">
        <v>505</v>
      </c>
      <c r="V34" s="705">
        <v>596</v>
      </c>
      <c r="W34" s="705">
        <v>537</v>
      </c>
      <c r="X34" s="705">
        <v>454</v>
      </c>
      <c r="Y34" s="717">
        <v>448</v>
      </c>
      <c r="Z34" s="259">
        <f t="shared" si="13"/>
        <v>-1.3215859030836996E-2</v>
      </c>
      <c r="AA34" s="708">
        <v>2075</v>
      </c>
      <c r="AB34" s="705">
        <v>2821</v>
      </c>
      <c r="AC34" s="705">
        <v>3465</v>
      </c>
      <c r="AD34" s="705">
        <v>4360</v>
      </c>
      <c r="AE34" s="705">
        <v>3767</v>
      </c>
      <c r="AF34" s="705">
        <v>1188</v>
      </c>
      <c r="AG34" s="705">
        <v>1946</v>
      </c>
      <c r="AH34" s="705">
        <v>3211</v>
      </c>
      <c r="AI34" s="705">
        <v>2996</v>
      </c>
      <c r="AJ34" s="705">
        <v>3429</v>
      </c>
      <c r="AK34" s="717">
        <v>3201</v>
      </c>
      <c r="AL34" s="259">
        <f t="shared" si="14"/>
        <v>-6.6491688538932614E-2</v>
      </c>
      <c r="AM34" s="245" t="s">
        <v>56</v>
      </c>
    </row>
    <row r="35" spans="1:39" ht="12.75" customHeight="1" x14ac:dyDescent="0.2">
      <c r="A35" s="8"/>
      <c r="B35" s="479" t="s">
        <v>72</v>
      </c>
      <c r="C35" s="782">
        <v>17068</v>
      </c>
      <c r="D35" s="783">
        <v>15353</v>
      </c>
      <c r="E35" s="784">
        <v>16472</v>
      </c>
      <c r="F35" s="784">
        <v>17507</v>
      </c>
      <c r="G35" s="784">
        <v>16395</v>
      </c>
      <c r="H35" s="784">
        <v>8693</v>
      </c>
      <c r="I35" s="784">
        <v>10821</v>
      </c>
      <c r="J35" s="784">
        <v>14346</v>
      </c>
      <c r="K35" s="784">
        <v>11463</v>
      </c>
      <c r="L35" s="784">
        <v>10621</v>
      </c>
      <c r="M35" s="785">
        <v>10750</v>
      </c>
      <c r="N35" s="267">
        <f t="shared" si="9"/>
        <v>1.2145748987854255E-2</v>
      </c>
      <c r="O35" s="730">
        <v>1630</v>
      </c>
      <c r="P35" s="728">
        <v>1490</v>
      </c>
      <c r="Q35" s="728">
        <v>1305</v>
      </c>
      <c r="R35" s="728">
        <v>1395</v>
      </c>
      <c r="S35" s="728">
        <v>1149</v>
      </c>
      <c r="T35" s="728">
        <v>991</v>
      </c>
      <c r="U35" s="728">
        <v>1011</v>
      </c>
      <c r="V35" s="728">
        <v>1085</v>
      </c>
      <c r="W35" s="728">
        <v>853</v>
      </c>
      <c r="X35" s="728">
        <v>767</v>
      </c>
      <c r="Y35" s="729">
        <v>575</v>
      </c>
      <c r="Z35" s="267">
        <f t="shared" si="13"/>
        <v>-0.25032594524119944</v>
      </c>
      <c r="AA35" s="730">
        <v>2889</v>
      </c>
      <c r="AB35" s="728">
        <v>3112</v>
      </c>
      <c r="AC35" s="728">
        <v>2726</v>
      </c>
      <c r="AD35" s="728">
        <v>2779</v>
      </c>
      <c r="AE35" s="728">
        <v>3485</v>
      </c>
      <c r="AF35" s="728">
        <v>2178</v>
      </c>
      <c r="AG35" s="728">
        <v>1867</v>
      </c>
      <c r="AH35" s="728">
        <v>2345</v>
      </c>
      <c r="AI35" s="728">
        <v>2399</v>
      </c>
      <c r="AJ35" s="728">
        <v>2720</v>
      </c>
      <c r="AK35" s="729">
        <v>1947</v>
      </c>
      <c r="AL35" s="267">
        <f t="shared" si="14"/>
        <v>-0.28419117647058822</v>
      </c>
      <c r="AM35" s="481" t="s">
        <v>72</v>
      </c>
    </row>
    <row r="36" spans="1:39" ht="12.75" customHeight="1" x14ac:dyDescent="0.2">
      <c r="A36" s="8"/>
      <c r="B36" s="244" t="s">
        <v>73</v>
      </c>
      <c r="C36" s="771">
        <v>31002</v>
      </c>
      <c r="D36" s="772">
        <v>34789</v>
      </c>
      <c r="E36" s="773">
        <v>39618</v>
      </c>
      <c r="F36" s="773">
        <v>44222</v>
      </c>
      <c r="G36" s="773">
        <v>39269</v>
      </c>
      <c r="H36" s="773">
        <v>27432</v>
      </c>
      <c r="I36" s="773">
        <v>37778</v>
      </c>
      <c r="J36" s="773">
        <v>46280</v>
      </c>
      <c r="K36" s="773">
        <v>39294</v>
      </c>
      <c r="L36" s="773">
        <v>37370</v>
      </c>
      <c r="M36" s="780">
        <v>41935</v>
      </c>
      <c r="N36" s="259">
        <f t="shared" si="9"/>
        <v>0.12215681027562209</v>
      </c>
      <c r="O36" s="708">
        <v>836</v>
      </c>
      <c r="P36" s="705">
        <v>1255</v>
      </c>
      <c r="Q36" s="705">
        <v>866</v>
      </c>
      <c r="R36" s="705">
        <v>988</v>
      </c>
      <c r="S36" s="705">
        <v>1036</v>
      </c>
      <c r="T36" s="705">
        <v>714</v>
      </c>
      <c r="U36" s="705">
        <v>759</v>
      </c>
      <c r="V36" s="705">
        <v>934</v>
      </c>
      <c r="W36" s="705">
        <v>464</v>
      </c>
      <c r="X36" s="705">
        <v>363</v>
      </c>
      <c r="Y36" s="717">
        <v>527</v>
      </c>
      <c r="Z36" s="259">
        <f t="shared" si="13"/>
        <v>0.45179063360881533</v>
      </c>
      <c r="AA36" s="708">
        <v>4400</v>
      </c>
      <c r="AB36" s="705">
        <v>5763</v>
      </c>
      <c r="AC36" s="705">
        <v>5362</v>
      </c>
      <c r="AD36" s="705">
        <v>5722</v>
      </c>
      <c r="AE36" s="705">
        <v>5962</v>
      </c>
      <c r="AF36" s="705">
        <v>4783</v>
      </c>
      <c r="AG36" s="705">
        <v>4076</v>
      </c>
      <c r="AH36" s="705">
        <v>5018</v>
      </c>
      <c r="AI36" s="705">
        <v>5100</v>
      </c>
      <c r="AJ36" s="705">
        <v>4505</v>
      </c>
      <c r="AK36" s="717">
        <v>4722</v>
      </c>
      <c r="AL36" s="259">
        <f t="shared" si="14"/>
        <v>4.8168701442841355E-2</v>
      </c>
      <c r="AM36" s="245" t="s">
        <v>73</v>
      </c>
    </row>
    <row r="37" spans="1:39" ht="12.75" customHeight="1" x14ac:dyDescent="0.2">
      <c r="A37" s="8"/>
      <c r="B37" s="482" t="s">
        <v>62</v>
      </c>
      <c r="C37" s="786">
        <v>322901</v>
      </c>
      <c r="D37" s="787">
        <v>325372</v>
      </c>
      <c r="E37" s="788">
        <v>322338</v>
      </c>
      <c r="F37" s="788">
        <v>333339</v>
      </c>
      <c r="G37" s="788">
        <v>287158</v>
      </c>
      <c r="H37" s="788">
        <v>185317</v>
      </c>
      <c r="I37" s="788">
        <v>221877</v>
      </c>
      <c r="J37" s="788">
        <v>259532</v>
      </c>
      <c r="K37" s="788">
        <v>238782</v>
      </c>
      <c r="L37" s="788">
        <v>270238</v>
      </c>
      <c r="M37" s="789">
        <v>320916</v>
      </c>
      <c r="N37" s="492">
        <f t="shared" si="9"/>
        <v>0.18753099120034933</v>
      </c>
      <c r="O37" s="737">
        <v>20551</v>
      </c>
      <c r="P37" s="735">
        <v>24833</v>
      </c>
      <c r="Q37" s="735">
        <v>18329</v>
      </c>
      <c r="R37" s="735">
        <v>17519</v>
      </c>
      <c r="S37" s="735">
        <v>18615</v>
      </c>
      <c r="T37" s="735">
        <v>12493</v>
      </c>
      <c r="U37" s="735">
        <v>11103</v>
      </c>
      <c r="V37" s="735">
        <v>12185</v>
      </c>
      <c r="W37" s="735">
        <v>13339</v>
      </c>
      <c r="X37" s="735">
        <v>15196</v>
      </c>
      <c r="Y37" s="736">
        <v>11004</v>
      </c>
      <c r="Z37" s="492">
        <f t="shared" si="13"/>
        <v>-0.27586206896551724</v>
      </c>
      <c r="AA37" s="737">
        <v>34002</v>
      </c>
      <c r="AB37" s="735">
        <v>38205</v>
      </c>
      <c r="AC37" s="735">
        <v>34532</v>
      </c>
      <c r="AD37" s="735">
        <v>29328</v>
      </c>
      <c r="AE37" s="735">
        <v>35094</v>
      </c>
      <c r="AF37" s="735">
        <v>19326</v>
      </c>
      <c r="AG37" s="735">
        <v>20301</v>
      </c>
      <c r="AH37" s="735">
        <v>28940</v>
      </c>
      <c r="AI37" s="735">
        <v>29023</v>
      </c>
      <c r="AJ37" s="735">
        <v>37987</v>
      </c>
      <c r="AK37" s="736">
        <v>27604</v>
      </c>
      <c r="AL37" s="492">
        <f t="shared" si="14"/>
        <v>-0.27333034985652982</v>
      </c>
      <c r="AM37" s="484" t="s">
        <v>62</v>
      </c>
    </row>
    <row r="38" spans="1:39" ht="12.75" customHeight="1" x14ac:dyDescent="0.2">
      <c r="A38" s="8"/>
      <c r="B38" s="244" t="s">
        <v>44</v>
      </c>
      <c r="C38" s="771">
        <v>1627</v>
      </c>
      <c r="D38" s="790">
        <v>2172</v>
      </c>
      <c r="E38" s="774">
        <v>2490</v>
      </c>
      <c r="F38" s="774">
        <v>2782</v>
      </c>
      <c r="G38" s="774">
        <v>1227</v>
      </c>
      <c r="H38" s="774">
        <v>302</v>
      </c>
      <c r="I38" s="774">
        <v>220</v>
      </c>
      <c r="J38" s="774">
        <v>344</v>
      </c>
      <c r="K38" s="774">
        <v>417</v>
      </c>
      <c r="L38" s="774">
        <v>583</v>
      </c>
      <c r="M38" s="775">
        <v>851</v>
      </c>
      <c r="N38" s="257">
        <f t="shared" si="9"/>
        <v>0.45969125214408235</v>
      </c>
      <c r="O38" s="709">
        <v>119</v>
      </c>
      <c r="P38" s="706">
        <v>324</v>
      </c>
      <c r="Q38" s="706">
        <v>198</v>
      </c>
      <c r="R38" s="706">
        <v>234</v>
      </c>
      <c r="S38" s="706">
        <v>97</v>
      </c>
      <c r="T38" s="706">
        <v>18</v>
      </c>
      <c r="U38" s="706">
        <v>15</v>
      </c>
      <c r="V38" s="706">
        <v>17</v>
      </c>
      <c r="W38" s="706">
        <v>29</v>
      </c>
      <c r="X38" s="706">
        <v>39</v>
      </c>
      <c r="Y38" s="707">
        <v>54</v>
      </c>
      <c r="Z38" s="257">
        <f t="shared" si="13"/>
        <v>0.38461538461538458</v>
      </c>
      <c r="AA38" s="709">
        <v>181</v>
      </c>
      <c r="AB38" s="706">
        <v>314</v>
      </c>
      <c r="AC38" s="706">
        <v>325</v>
      </c>
      <c r="AD38" s="706">
        <v>301</v>
      </c>
      <c r="AE38" s="706">
        <v>178</v>
      </c>
      <c r="AF38" s="706">
        <v>30</v>
      </c>
      <c r="AG38" s="706">
        <v>26</v>
      </c>
      <c r="AH38" s="706">
        <v>29</v>
      </c>
      <c r="AI38" s="706">
        <v>57</v>
      </c>
      <c r="AJ38" s="706">
        <v>52</v>
      </c>
      <c r="AK38" s="707">
        <v>74</v>
      </c>
      <c r="AL38" s="257">
        <f t="shared" si="14"/>
        <v>0.42307692307692313</v>
      </c>
      <c r="AM38" s="245" t="s">
        <v>44</v>
      </c>
    </row>
    <row r="39" spans="1:39" ht="12.75" customHeight="1" x14ac:dyDescent="0.2">
      <c r="A39" s="8"/>
      <c r="B39" s="479" t="s">
        <v>74</v>
      </c>
      <c r="C39" s="782">
        <v>31114</v>
      </c>
      <c r="D39" s="783">
        <v>35185</v>
      </c>
      <c r="E39" s="784">
        <v>42611</v>
      </c>
      <c r="F39" s="784">
        <v>45609</v>
      </c>
      <c r="G39" s="784">
        <v>34870</v>
      </c>
      <c r="H39" s="784">
        <v>23504</v>
      </c>
      <c r="I39" s="784">
        <v>29040</v>
      </c>
      <c r="J39" s="784">
        <v>35513</v>
      </c>
      <c r="K39" s="784">
        <v>31848</v>
      </c>
      <c r="L39" s="784">
        <v>30854</v>
      </c>
      <c r="M39" s="785">
        <v>29613</v>
      </c>
      <c r="N39" s="267">
        <f t="shared" si="9"/>
        <v>-4.0221689246126902E-2</v>
      </c>
      <c r="O39" s="730">
        <v>3340</v>
      </c>
      <c r="P39" s="728">
        <v>3037</v>
      </c>
      <c r="Q39" s="728">
        <v>1801</v>
      </c>
      <c r="R39" s="728">
        <v>1670</v>
      </c>
      <c r="S39" s="728">
        <v>1869</v>
      </c>
      <c r="T39" s="728">
        <v>1276</v>
      </c>
      <c r="U39" s="728">
        <v>1553</v>
      </c>
      <c r="V39" s="728">
        <v>1842</v>
      </c>
      <c r="W39" s="728">
        <v>1780</v>
      </c>
      <c r="X39" s="728">
        <v>1732</v>
      </c>
      <c r="Y39" s="729">
        <v>1337</v>
      </c>
      <c r="Z39" s="267">
        <f t="shared" si="13"/>
        <v>-0.22806004618937648</v>
      </c>
      <c r="AA39" s="730">
        <v>3017</v>
      </c>
      <c r="AB39" s="728">
        <v>4459</v>
      </c>
      <c r="AC39" s="728">
        <v>3988</v>
      </c>
      <c r="AD39" s="728">
        <v>4591</v>
      </c>
      <c r="AE39" s="728">
        <v>4659</v>
      </c>
      <c r="AF39" s="728">
        <v>2822</v>
      </c>
      <c r="AG39" s="728">
        <v>2525</v>
      </c>
      <c r="AH39" s="728">
        <v>3268</v>
      </c>
      <c r="AI39" s="728">
        <v>4013</v>
      </c>
      <c r="AJ39" s="728">
        <v>4046</v>
      </c>
      <c r="AK39" s="729">
        <v>4106</v>
      </c>
      <c r="AL39" s="267">
        <f t="shared" si="14"/>
        <v>1.4829461196243177E-2</v>
      </c>
      <c r="AM39" s="481" t="s">
        <v>74</v>
      </c>
    </row>
    <row r="40" spans="1:39" ht="12.75" customHeight="1" x14ac:dyDescent="0.2">
      <c r="A40" s="8"/>
      <c r="B40" s="246" t="s">
        <v>45</v>
      </c>
      <c r="C40" s="791">
        <v>20602</v>
      </c>
      <c r="D40" s="792">
        <v>22254</v>
      </c>
      <c r="E40" s="793">
        <v>23015</v>
      </c>
      <c r="F40" s="793">
        <v>25386</v>
      </c>
      <c r="G40" s="793">
        <v>26275</v>
      </c>
      <c r="H40" s="793">
        <v>23110</v>
      </c>
      <c r="I40" s="793">
        <v>25697</v>
      </c>
      <c r="J40" s="793">
        <v>30387</v>
      </c>
      <c r="K40" s="793">
        <v>32509</v>
      </c>
      <c r="L40" s="793">
        <v>31199</v>
      </c>
      <c r="M40" s="794">
        <v>31013</v>
      </c>
      <c r="N40" s="260">
        <f t="shared" si="9"/>
        <v>-5.9617295426135364E-3</v>
      </c>
      <c r="O40" s="740">
        <v>921</v>
      </c>
      <c r="P40" s="738">
        <v>1058</v>
      </c>
      <c r="Q40" s="738">
        <v>1095</v>
      </c>
      <c r="R40" s="738">
        <v>1106</v>
      </c>
      <c r="S40" s="738">
        <v>1287</v>
      </c>
      <c r="T40" s="738">
        <v>1150</v>
      </c>
      <c r="U40" s="738">
        <v>1003</v>
      </c>
      <c r="V40" s="738">
        <v>1205</v>
      </c>
      <c r="W40" s="738">
        <v>1237</v>
      </c>
      <c r="X40" s="738">
        <v>1005</v>
      </c>
      <c r="Y40" s="739">
        <v>973</v>
      </c>
      <c r="Z40" s="260">
        <f t="shared" si="13"/>
        <v>-3.184079601990053E-2</v>
      </c>
      <c r="AA40" s="740">
        <v>2708</v>
      </c>
      <c r="AB40" s="738">
        <v>3390</v>
      </c>
      <c r="AC40" s="738">
        <v>3746</v>
      </c>
      <c r="AD40" s="738">
        <v>3290</v>
      </c>
      <c r="AE40" s="738">
        <v>3876</v>
      </c>
      <c r="AF40" s="738">
        <v>3292</v>
      </c>
      <c r="AG40" s="738">
        <v>2601</v>
      </c>
      <c r="AH40" s="738">
        <v>3275</v>
      </c>
      <c r="AI40" s="738">
        <v>2984</v>
      </c>
      <c r="AJ40" s="738">
        <v>2843</v>
      </c>
      <c r="AK40" s="739">
        <v>3778</v>
      </c>
      <c r="AL40" s="260">
        <f t="shared" si="14"/>
        <v>0.3288779458318678</v>
      </c>
      <c r="AM40" s="249" t="s">
        <v>45</v>
      </c>
    </row>
    <row r="41" spans="1:39" ht="15" customHeight="1" x14ac:dyDescent="0.2">
      <c r="A41" s="8"/>
      <c r="B41" s="987" t="s">
        <v>134</v>
      </c>
      <c r="C41" s="987"/>
      <c r="D41" s="987"/>
      <c r="E41" s="987"/>
      <c r="F41" s="987"/>
      <c r="G41" s="987"/>
      <c r="H41" s="987"/>
      <c r="I41" s="987"/>
      <c r="J41" s="987"/>
      <c r="K41" s="987"/>
      <c r="L41" s="987"/>
      <c r="M41" s="987"/>
      <c r="N41" s="987"/>
      <c r="O41" s="987"/>
      <c r="P41" s="987"/>
      <c r="Q41" s="987"/>
      <c r="R41" s="987"/>
      <c r="S41" s="987"/>
      <c r="T41" s="987"/>
      <c r="U41" s="987"/>
      <c r="V41" s="987"/>
      <c r="W41" s="987"/>
      <c r="X41" s="987"/>
      <c r="Y41" s="987"/>
      <c r="Z41" s="987"/>
      <c r="AA41" s="987"/>
      <c r="AB41" s="987"/>
      <c r="AC41" s="987"/>
      <c r="AD41" s="987"/>
      <c r="AE41" s="987"/>
      <c r="AF41" s="987"/>
      <c r="AG41" s="987"/>
      <c r="AH41" s="987"/>
      <c r="AI41" s="987"/>
      <c r="AJ41" s="987"/>
      <c r="AK41" s="987"/>
      <c r="AL41" s="987"/>
      <c r="AM41" s="987"/>
    </row>
    <row r="42" spans="1:39" ht="11.25" customHeight="1" x14ac:dyDescent="0.2">
      <c r="A42" s="8"/>
      <c r="B42" s="261" t="s">
        <v>82</v>
      </c>
      <c r="T42" s="70"/>
    </row>
    <row r="43" spans="1:39" ht="11.25" customHeight="1" x14ac:dyDescent="0.2">
      <c r="A43" s="8"/>
      <c r="B43" s="262" t="s">
        <v>141</v>
      </c>
    </row>
    <row r="44" spans="1:39" ht="11.25" customHeight="1" x14ac:dyDescent="0.2"/>
    <row r="46" spans="1:39" x14ac:dyDescent="0.2">
      <c r="P46" s="93"/>
    </row>
  </sheetData>
  <mergeCells count="9">
    <mergeCell ref="B2:AM2"/>
    <mergeCell ref="AA5:AJ5"/>
    <mergeCell ref="B3:AM3"/>
    <mergeCell ref="AA4:AG4"/>
    <mergeCell ref="B41:AM41"/>
    <mergeCell ref="C4:L4"/>
    <mergeCell ref="C5:L5"/>
    <mergeCell ref="O4:X4"/>
    <mergeCell ref="O5:X5"/>
  </mergeCells>
  <phoneticPr fontId="4" type="noConversion"/>
  <printOptions horizontalCentered="1"/>
  <pageMargins left="0.6692913385826772" right="0.6692913385826772" top="0.4" bottom="0.16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/>
  <dimension ref="A1:AW72"/>
  <sheetViews>
    <sheetView topLeftCell="V1" zoomScaleNormal="100" workbookViewId="0">
      <selection activeCell="AW11" sqref="AW11"/>
    </sheetView>
  </sheetViews>
  <sheetFormatPr defaultRowHeight="12.75" x14ac:dyDescent="0.2"/>
  <cols>
    <col min="1" max="1" width="3.7109375" customWidth="1"/>
    <col min="2" max="2" width="4" customWidth="1"/>
    <col min="3" max="6" width="6.7109375" customWidth="1"/>
    <col min="7" max="11" width="6" customWidth="1"/>
    <col min="12" max="12" width="7.28515625" customWidth="1"/>
    <col min="13" max="13" width="7.28515625" style="526" customWidth="1"/>
    <col min="14" max="19" width="6.7109375" customWidth="1"/>
    <col min="20" max="22" width="10.140625" customWidth="1"/>
    <col min="23" max="23" width="6.7109375" customWidth="1"/>
    <col min="24" max="24" width="6.7109375" style="526" customWidth="1"/>
    <col min="25" max="34" width="6.7109375" customWidth="1"/>
    <col min="35" max="35" width="6.7109375" style="526" customWidth="1"/>
    <col min="36" max="45" width="6.7109375" customWidth="1"/>
    <col min="46" max="46" width="6.7109375" style="526" customWidth="1"/>
    <col min="47" max="47" width="6.7109375" customWidth="1"/>
    <col min="48" max="48" width="4" customWidth="1"/>
    <col min="49" max="49" width="9.140625" customWidth="1"/>
  </cols>
  <sheetData>
    <row r="1" spans="1:49" ht="14.25" customHeight="1" x14ac:dyDescent="0.2">
      <c r="B1" s="32"/>
      <c r="C1" s="26"/>
      <c r="D1" s="26"/>
      <c r="E1" s="26"/>
      <c r="F1" s="26"/>
      <c r="G1" s="26"/>
      <c r="H1" s="26"/>
      <c r="I1" s="26"/>
      <c r="J1" s="26"/>
      <c r="K1" s="26"/>
      <c r="L1" s="26"/>
      <c r="M1" s="532"/>
      <c r="N1" s="26"/>
      <c r="W1" s="26"/>
      <c r="X1" s="532"/>
      <c r="AH1" s="26"/>
      <c r="AI1" s="532"/>
      <c r="AV1" s="33" t="s">
        <v>155</v>
      </c>
    </row>
    <row r="2" spans="1:49" s="46" customFormat="1" ht="30" customHeight="1" x14ac:dyDescent="0.2">
      <c r="B2" s="984" t="s">
        <v>13</v>
      </c>
      <c r="C2" s="984"/>
      <c r="D2" s="984"/>
      <c r="E2" s="984"/>
      <c r="F2" s="984"/>
      <c r="G2" s="984"/>
      <c r="H2" s="984"/>
      <c r="I2" s="984"/>
      <c r="J2" s="984"/>
      <c r="K2" s="984"/>
      <c r="L2" s="984"/>
      <c r="M2" s="984"/>
      <c r="N2" s="984"/>
      <c r="O2" s="984"/>
      <c r="P2" s="984"/>
      <c r="Q2" s="984"/>
      <c r="R2" s="984"/>
      <c r="S2" s="984"/>
      <c r="T2" s="984"/>
      <c r="U2" s="984"/>
      <c r="V2" s="984"/>
      <c r="W2" s="984"/>
      <c r="X2" s="984"/>
      <c r="Y2" s="984"/>
      <c r="Z2" s="984"/>
      <c r="AA2" s="984"/>
      <c r="AB2" s="984"/>
      <c r="AC2" s="984"/>
      <c r="AD2" s="984"/>
      <c r="AE2" s="984"/>
      <c r="AF2" s="984"/>
      <c r="AG2" s="984"/>
      <c r="AH2" s="984"/>
      <c r="AI2" s="984"/>
      <c r="AJ2" s="984"/>
      <c r="AK2" s="984"/>
      <c r="AL2" s="984"/>
      <c r="AM2" s="984"/>
      <c r="AN2" s="984"/>
      <c r="AO2" s="984"/>
      <c r="AP2" s="984"/>
      <c r="AQ2" s="984"/>
      <c r="AR2" s="984"/>
      <c r="AS2" s="984"/>
      <c r="AT2" s="984"/>
      <c r="AU2" s="984"/>
      <c r="AV2" s="984"/>
    </row>
    <row r="3" spans="1:49" ht="18" customHeight="1" x14ac:dyDescent="0.2">
      <c r="B3" s="990" t="s">
        <v>93</v>
      </c>
      <c r="C3" s="990"/>
      <c r="D3" s="990"/>
      <c r="E3" s="990"/>
      <c r="F3" s="990"/>
      <c r="G3" s="990"/>
      <c r="H3" s="990"/>
      <c r="I3" s="990"/>
      <c r="J3" s="990"/>
      <c r="K3" s="990"/>
      <c r="L3" s="990"/>
      <c r="M3" s="990"/>
      <c r="N3" s="990"/>
      <c r="O3" s="990"/>
      <c r="P3" s="990"/>
      <c r="Q3" s="990"/>
      <c r="R3" s="990"/>
      <c r="S3" s="990"/>
      <c r="T3" s="990"/>
      <c r="U3" s="990"/>
      <c r="V3" s="990"/>
      <c r="W3" s="990"/>
      <c r="X3" s="990"/>
      <c r="Y3" s="990"/>
      <c r="Z3" s="990"/>
      <c r="AA3" s="990"/>
      <c r="AB3" s="990"/>
      <c r="AC3" s="990"/>
      <c r="AD3" s="990"/>
      <c r="AE3" s="990"/>
      <c r="AF3" s="990"/>
      <c r="AG3" s="990"/>
      <c r="AH3" s="990"/>
      <c r="AI3" s="990"/>
      <c r="AJ3" s="990"/>
      <c r="AK3" s="990"/>
      <c r="AL3" s="990"/>
      <c r="AM3" s="990"/>
      <c r="AN3" s="990"/>
      <c r="AO3" s="990"/>
      <c r="AP3" s="990"/>
      <c r="AQ3" s="990"/>
      <c r="AR3" s="990"/>
      <c r="AS3" s="990"/>
      <c r="AT3" s="990"/>
      <c r="AU3" s="990"/>
      <c r="AV3" s="990"/>
    </row>
    <row r="4" spans="1:49" ht="61.5" customHeight="1" x14ac:dyDescent="0.2">
      <c r="B4" s="115"/>
      <c r="C4" s="991" t="s">
        <v>102</v>
      </c>
      <c r="D4" s="992"/>
      <c r="E4" s="992"/>
      <c r="F4" s="992"/>
      <c r="G4" s="992"/>
      <c r="H4" s="992"/>
      <c r="I4" s="992"/>
      <c r="J4" s="992"/>
      <c r="K4" s="992"/>
      <c r="L4" s="992"/>
      <c r="M4" s="997"/>
      <c r="N4" s="991" t="s">
        <v>103</v>
      </c>
      <c r="O4" s="992"/>
      <c r="P4" s="992"/>
      <c r="Q4" s="992"/>
      <c r="R4" s="992"/>
      <c r="S4" s="992"/>
      <c r="T4" s="992"/>
      <c r="U4" s="992"/>
      <c r="V4" s="992"/>
      <c r="W4" s="992"/>
      <c r="X4" s="997"/>
      <c r="Y4" s="991" t="s">
        <v>104</v>
      </c>
      <c r="Z4" s="992"/>
      <c r="AA4" s="992"/>
      <c r="AB4" s="992"/>
      <c r="AC4" s="992"/>
      <c r="AD4" s="992"/>
      <c r="AE4" s="992"/>
      <c r="AF4" s="992"/>
      <c r="AG4" s="992"/>
      <c r="AH4" s="992"/>
      <c r="AI4" s="672"/>
      <c r="AJ4" s="991" t="s">
        <v>79</v>
      </c>
      <c r="AK4" s="992"/>
      <c r="AL4" s="992"/>
      <c r="AM4" s="992"/>
      <c r="AN4" s="992"/>
      <c r="AO4" s="992"/>
      <c r="AP4" s="992"/>
      <c r="AQ4" s="992"/>
      <c r="AR4" s="992"/>
      <c r="AS4" s="992"/>
      <c r="AT4" s="997"/>
      <c r="AU4" s="268" t="s">
        <v>2</v>
      </c>
      <c r="AV4" s="65"/>
    </row>
    <row r="5" spans="1:49" ht="12" customHeight="1" x14ac:dyDescent="0.2">
      <c r="B5" s="115"/>
      <c r="C5" s="996" t="s">
        <v>105</v>
      </c>
      <c r="D5" s="995"/>
      <c r="E5" s="995"/>
      <c r="F5" s="995"/>
      <c r="G5" s="995"/>
      <c r="H5" s="995"/>
      <c r="I5" s="995"/>
      <c r="J5" s="995"/>
      <c r="K5" s="995"/>
      <c r="L5" s="995"/>
      <c r="M5" s="998"/>
      <c r="N5" s="996" t="s">
        <v>8</v>
      </c>
      <c r="O5" s="995"/>
      <c r="P5" s="995"/>
      <c r="Q5" s="995"/>
      <c r="R5" s="995"/>
      <c r="S5" s="995"/>
      <c r="T5" s="995"/>
      <c r="U5" s="995"/>
      <c r="V5" s="995"/>
      <c r="W5" s="995"/>
      <c r="X5" s="998"/>
      <c r="Y5" s="996" t="s">
        <v>9</v>
      </c>
      <c r="Z5" s="995"/>
      <c r="AA5" s="995"/>
      <c r="AB5" s="995"/>
      <c r="AC5" s="995"/>
      <c r="AD5" s="995"/>
      <c r="AE5" s="995"/>
      <c r="AF5" s="995"/>
      <c r="AG5" s="995"/>
      <c r="AH5" s="995"/>
      <c r="AI5" s="674"/>
      <c r="AJ5" s="265"/>
      <c r="AK5" s="265"/>
      <c r="AL5" s="265"/>
      <c r="AM5" s="265"/>
      <c r="AN5" s="995"/>
      <c r="AO5" s="995"/>
      <c r="AP5" s="995"/>
      <c r="AQ5" s="995"/>
      <c r="AR5" s="477"/>
      <c r="AS5" s="673"/>
      <c r="AT5" s="674"/>
      <c r="AU5" s="269" t="s">
        <v>106</v>
      </c>
      <c r="AV5" s="65"/>
    </row>
    <row r="6" spans="1:49" ht="15" customHeight="1" x14ac:dyDescent="0.2">
      <c r="B6" s="116"/>
      <c r="C6" s="47">
        <v>2004</v>
      </c>
      <c r="D6" s="48">
        <v>2005</v>
      </c>
      <c r="E6" s="48">
        <v>2006</v>
      </c>
      <c r="F6" s="48">
        <v>2007</v>
      </c>
      <c r="G6" s="48">
        <v>2008</v>
      </c>
      <c r="H6" s="48">
        <v>2009</v>
      </c>
      <c r="I6" s="48">
        <v>2010</v>
      </c>
      <c r="J6" s="48">
        <v>2011</v>
      </c>
      <c r="K6" s="48">
        <v>2012</v>
      </c>
      <c r="L6" s="48">
        <v>2013</v>
      </c>
      <c r="M6" s="49">
        <v>2014</v>
      </c>
      <c r="N6" s="47">
        <v>2004</v>
      </c>
      <c r="O6" s="48">
        <v>2005</v>
      </c>
      <c r="P6" s="48">
        <v>2006</v>
      </c>
      <c r="Q6" s="48">
        <v>2007</v>
      </c>
      <c r="R6" s="48">
        <v>2008</v>
      </c>
      <c r="S6" s="48">
        <v>2009</v>
      </c>
      <c r="T6" s="48">
        <v>2010</v>
      </c>
      <c r="U6" s="48">
        <v>2011</v>
      </c>
      <c r="V6" s="48">
        <v>2012</v>
      </c>
      <c r="W6" s="48">
        <v>2013</v>
      </c>
      <c r="X6" s="49">
        <v>2014</v>
      </c>
      <c r="Y6" s="47">
        <v>2004</v>
      </c>
      <c r="Z6" s="48">
        <v>2005</v>
      </c>
      <c r="AA6" s="48">
        <v>2006</v>
      </c>
      <c r="AB6" s="48">
        <v>2007</v>
      </c>
      <c r="AC6" s="48">
        <v>2008</v>
      </c>
      <c r="AD6" s="48">
        <v>2009</v>
      </c>
      <c r="AE6" s="48">
        <v>2010</v>
      </c>
      <c r="AF6" s="48">
        <v>2011</v>
      </c>
      <c r="AG6" s="48">
        <v>2012</v>
      </c>
      <c r="AH6" s="48">
        <v>2013</v>
      </c>
      <c r="AI6" s="49">
        <v>2014</v>
      </c>
      <c r="AJ6" s="48">
        <v>2004</v>
      </c>
      <c r="AK6" s="48">
        <v>2005</v>
      </c>
      <c r="AL6" s="48">
        <v>2006</v>
      </c>
      <c r="AM6" s="48">
        <v>2007</v>
      </c>
      <c r="AN6" s="48">
        <v>2008</v>
      </c>
      <c r="AO6" s="48">
        <v>2009</v>
      </c>
      <c r="AP6" s="100">
        <v>2010</v>
      </c>
      <c r="AQ6" s="100">
        <v>2011</v>
      </c>
      <c r="AR6" s="48">
        <v>2012</v>
      </c>
      <c r="AS6" s="48">
        <v>2013</v>
      </c>
      <c r="AT6" s="49">
        <v>2014</v>
      </c>
      <c r="AU6" s="270" t="s">
        <v>248</v>
      </c>
      <c r="AV6" s="6"/>
    </row>
    <row r="7" spans="1:49" ht="12.75" customHeight="1" x14ac:dyDescent="0.2">
      <c r="B7" s="59" t="s">
        <v>236</v>
      </c>
      <c r="C7" s="741"/>
      <c r="D7" s="695"/>
      <c r="E7" s="695"/>
      <c r="F7" s="695"/>
      <c r="G7" s="695"/>
      <c r="H7" s="695"/>
      <c r="I7" s="695"/>
      <c r="J7" s="695"/>
      <c r="K7" s="695"/>
      <c r="L7" s="695"/>
      <c r="M7" s="742"/>
      <c r="N7" s="741"/>
      <c r="O7" s="695"/>
      <c r="P7" s="695"/>
      <c r="Q7" s="695"/>
      <c r="R7" s="695"/>
      <c r="S7" s="695"/>
      <c r="T7" s="695"/>
      <c r="U7" s="695"/>
      <c r="V7" s="695"/>
      <c r="W7" s="695"/>
      <c r="X7" s="742"/>
      <c r="Y7" s="741"/>
      <c r="Z7" s="695"/>
      <c r="AA7" s="695"/>
      <c r="AB7" s="695"/>
      <c r="AC7" s="695"/>
      <c r="AD7" s="695"/>
      <c r="AE7" s="695"/>
      <c r="AF7" s="695"/>
      <c r="AG7" s="695"/>
      <c r="AH7" s="695"/>
      <c r="AI7" s="742"/>
      <c r="AJ7" s="695"/>
      <c r="AK7" s="695"/>
      <c r="AL7" s="695">
        <f>SUM(AL10:AL37)</f>
        <v>52685</v>
      </c>
      <c r="AM7" s="695">
        <f t="shared" ref="AM7:AQ7" si="0">SUM(AM10:AM37)</f>
        <v>55584</v>
      </c>
      <c r="AN7" s="695">
        <f t="shared" si="0"/>
        <v>53608</v>
      </c>
      <c r="AO7" s="695">
        <f t="shared" si="0"/>
        <v>43169</v>
      </c>
      <c r="AP7" s="695">
        <f t="shared" si="0"/>
        <v>39204</v>
      </c>
      <c r="AQ7" s="695">
        <f t="shared" si="0"/>
        <v>37690</v>
      </c>
      <c r="AR7" s="695">
        <f t="shared" ref="AR7" si="1">SUM(AR10:AR37)</f>
        <v>35460</v>
      </c>
      <c r="AS7" s="695">
        <f t="shared" ref="AS7" si="2">SUM(AS10:AS37)</f>
        <v>38330</v>
      </c>
      <c r="AT7" s="696">
        <f t="shared" ref="AT7" si="3">SUM(AT10:AT37)</f>
        <v>38368</v>
      </c>
      <c r="AU7" s="271">
        <f>AT7/AS7-1</f>
        <v>9.9139055570041101E-4</v>
      </c>
      <c r="AV7" s="59" t="s">
        <v>236</v>
      </c>
    </row>
    <row r="8" spans="1:49" ht="12.75" customHeight="1" x14ac:dyDescent="0.2">
      <c r="A8" s="8"/>
      <c r="B8" s="57" t="s">
        <v>241</v>
      </c>
      <c r="C8" s="699">
        <f>SUM(C10,C13,C14,C16:C19,C25,C28:C29,C31,C35:C37,C21)</f>
        <v>12073</v>
      </c>
      <c r="D8" s="700">
        <f t="shared" ref="D8:AQ8" si="4">SUM(D10,D13,D14,D16:D19,D25,D28:D29,D31,D35:D37,D21)</f>
        <v>11463</v>
      </c>
      <c r="E8" s="700">
        <f t="shared" si="4"/>
        <v>11328</v>
      </c>
      <c r="F8" s="700">
        <f t="shared" si="4"/>
        <v>12051</v>
      </c>
      <c r="G8" s="700">
        <f t="shared" si="4"/>
        <v>5908</v>
      </c>
      <c r="H8" s="700">
        <f t="shared" si="4"/>
        <v>3913</v>
      </c>
      <c r="I8" s="700">
        <f t="shared" si="4"/>
        <v>3970</v>
      </c>
      <c r="J8" s="700">
        <f t="shared" si="4"/>
        <v>3018</v>
      </c>
      <c r="K8" s="700">
        <f t="shared" si="4"/>
        <v>3044</v>
      </c>
      <c r="L8" s="700">
        <f t="shared" si="4"/>
        <v>2910</v>
      </c>
      <c r="M8" s="696">
        <f t="shared" si="4"/>
        <v>3083</v>
      </c>
      <c r="N8" s="699">
        <f t="shared" si="4"/>
        <v>9302</v>
      </c>
      <c r="O8" s="700">
        <f t="shared" si="4"/>
        <v>11385</v>
      </c>
      <c r="P8" s="700">
        <f t="shared" si="4"/>
        <v>10914</v>
      </c>
      <c r="Q8" s="700">
        <f t="shared" si="4"/>
        <v>12302</v>
      </c>
      <c r="R8" s="700">
        <f t="shared" si="4"/>
        <v>13993</v>
      </c>
      <c r="S8" s="700">
        <f t="shared" si="4"/>
        <v>11842</v>
      </c>
      <c r="T8" s="700">
        <f t="shared" si="4"/>
        <v>10881</v>
      </c>
      <c r="U8" s="700">
        <f t="shared" si="4"/>
        <v>8760</v>
      </c>
      <c r="V8" s="700">
        <f t="shared" si="4"/>
        <v>9972</v>
      </c>
      <c r="W8" s="700">
        <f t="shared" si="4"/>
        <v>10046</v>
      </c>
      <c r="X8" s="696">
        <f t="shared" si="4"/>
        <v>9086</v>
      </c>
      <c r="Y8" s="699">
        <f t="shared" si="4"/>
        <v>21818</v>
      </c>
      <c r="Z8" s="700">
        <f t="shared" si="4"/>
        <v>21604</v>
      </c>
      <c r="AA8" s="700">
        <f t="shared" si="4"/>
        <v>22119</v>
      </c>
      <c r="AB8" s="700">
        <f t="shared" si="4"/>
        <v>22006</v>
      </c>
      <c r="AC8" s="700">
        <f t="shared" si="4"/>
        <v>22537</v>
      </c>
      <c r="AD8" s="700">
        <f t="shared" si="4"/>
        <v>21490</v>
      </c>
      <c r="AE8" s="700">
        <f t="shared" si="4"/>
        <v>19153</v>
      </c>
      <c r="AF8" s="700">
        <f t="shared" si="4"/>
        <v>21402</v>
      </c>
      <c r="AG8" s="700">
        <f t="shared" si="4"/>
        <v>17912</v>
      </c>
      <c r="AH8" s="700">
        <f t="shared" si="4"/>
        <v>18428</v>
      </c>
      <c r="AI8" s="696"/>
      <c r="AJ8" s="700">
        <f t="shared" si="4"/>
        <v>43193</v>
      </c>
      <c r="AK8" s="700">
        <f t="shared" si="4"/>
        <v>44452</v>
      </c>
      <c r="AL8" s="700">
        <f t="shared" si="4"/>
        <v>44361</v>
      </c>
      <c r="AM8" s="700">
        <f t="shared" si="4"/>
        <v>46359</v>
      </c>
      <c r="AN8" s="700">
        <f t="shared" si="4"/>
        <v>42438</v>
      </c>
      <c r="AO8" s="700">
        <f t="shared" si="4"/>
        <v>37245</v>
      </c>
      <c r="AP8" s="700">
        <f t="shared" si="4"/>
        <v>34004</v>
      </c>
      <c r="AQ8" s="700">
        <f t="shared" si="4"/>
        <v>33180</v>
      </c>
      <c r="AR8" s="700">
        <f t="shared" ref="AR8" si="5">SUM(AR10,AR13,AR14,AR16:AR19,AR25,AR28:AR29,AR31,AR35:AR37,AR21)</f>
        <v>30928</v>
      </c>
      <c r="AS8" s="700">
        <f t="shared" ref="AS8" si="6">SUM(AS10,AS13,AS14,AS16:AS19,AS25,AS28:AS29,AS31,AS35:AS37,AS21)</f>
        <v>31384</v>
      </c>
      <c r="AT8" s="696">
        <f t="shared" ref="AT8" si="7">SUM(AT10,AT13,AT14,AT16:AT19,AT25,AT28:AT29,AT31,AT35:AT37,AT21)</f>
        <v>30576</v>
      </c>
      <c r="AU8" s="271">
        <f t="shared" ref="AU8:AU40" si="8">AT8/AS8-1</f>
        <v>-2.5745602854957972E-2</v>
      </c>
      <c r="AV8" s="57" t="s">
        <v>241</v>
      </c>
    </row>
    <row r="9" spans="1:49" ht="12.75" customHeight="1" x14ac:dyDescent="0.2">
      <c r="A9" s="8"/>
      <c r="B9" s="58" t="s">
        <v>245</v>
      </c>
      <c r="C9" s="701"/>
      <c r="D9" s="702"/>
      <c r="E9" s="702"/>
      <c r="F9" s="702"/>
      <c r="G9" s="702"/>
      <c r="H9" s="702"/>
      <c r="I9" s="702"/>
      <c r="J9" s="702"/>
      <c r="K9" s="702"/>
      <c r="L9" s="702"/>
      <c r="M9" s="743"/>
      <c r="N9" s="701"/>
      <c r="O9" s="702"/>
      <c r="P9" s="702"/>
      <c r="Q9" s="702"/>
      <c r="R9" s="702"/>
      <c r="S9" s="702"/>
      <c r="T9" s="702"/>
      <c r="U9" s="702"/>
      <c r="V9" s="702"/>
      <c r="W9" s="702"/>
      <c r="X9" s="743"/>
      <c r="Y9" s="701"/>
      <c r="Z9" s="702"/>
      <c r="AA9" s="702"/>
      <c r="AB9" s="702"/>
      <c r="AC9" s="702"/>
      <c r="AD9" s="702"/>
      <c r="AE9" s="702"/>
      <c r="AF9" s="702"/>
      <c r="AG9" s="702"/>
      <c r="AH9" s="702"/>
      <c r="AI9" s="743"/>
      <c r="AJ9" s="702"/>
      <c r="AK9" s="702"/>
      <c r="AL9" s="702">
        <f>AL7-AL8</f>
        <v>8324</v>
      </c>
      <c r="AM9" s="702">
        <f t="shared" ref="AM9:AQ9" si="9">AM7-AM8</f>
        <v>9225</v>
      </c>
      <c r="AN9" s="702">
        <f t="shared" si="9"/>
        <v>11170</v>
      </c>
      <c r="AO9" s="702">
        <f t="shared" si="9"/>
        <v>5924</v>
      </c>
      <c r="AP9" s="702">
        <f t="shared" si="9"/>
        <v>5200</v>
      </c>
      <c r="AQ9" s="702">
        <f t="shared" si="9"/>
        <v>4510</v>
      </c>
      <c r="AR9" s="702">
        <f t="shared" ref="AR9" si="10">AR7-AR8</f>
        <v>4532</v>
      </c>
      <c r="AS9" s="702">
        <f t="shared" ref="AS9" si="11">AS7-AS8</f>
        <v>6946</v>
      </c>
      <c r="AT9" s="696">
        <f t="shared" ref="AT9" si="12">AT7-AT8</f>
        <v>7792</v>
      </c>
      <c r="AU9" s="271">
        <f t="shared" si="8"/>
        <v>0.1217967175352721</v>
      </c>
      <c r="AV9" s="58" t="s">
        <v>245</v>
      </c>
    </row>
    <row r="10" spans="1:49" ht="12.75" customHeight="1" x14ac:dyDescent="0.2">
      <c r="A10" s="8"/>
      <c r="B10" s="10" t="s">
        <v>63</v>
      </c>
      <c r="C10" s="744">
        <v>294</v>
      </c>
      <c r="D10" s="585">
        <v>346</v>
      </c>
      <c r="E10" s="705">
        <v>237</v>
      </c>
      <c r="F10" s="705">
        <v>17</v>
      </c>
      <c r="G10" s="705">
        <v>31</v>
      </c>
      <c r="H10" s="706">
        <v>23</v>
      </c>
      <c r="I10" s="705">
        <v>3</v>
      </c>
      <c r="J10" s="705">
        <v>0</v>
      </c>
      <c r="K10" s="705">
        <v>4</v>
      </c>
      <c r="L10" s="705">
        <v>2</v>
      </c>
      <c r="M10" s="717">
        <v>2</v>
      </c>
      <c r="N10" s="708">
        <v>245</v>
      </c>
      <c r="O10" s="705">
        <v>243</v>
      </c>
      <c r="P10" s="705">
        <v>280</v>
      </c>
      <c r="Q10" s="705">
        <v>279</v>
      </c>
      <c r="R10" s="705">
        <v>369</v>
      </c>
      <c r="S10" s="706">
        <v>272</v>
      </c>
      <c r="T10" s="706">
        <v>257</v>
      </c>
      <c r="U10" s="706">
        <v>171</v>
      </c>
      <c r="V10" s="706">
        <f>270</f>
        <v>270</v>
      </c>
      <c r="W10" s="706">
        <v>305</v>
      </c>
      <c r="X10" s="707">
        <v>301</v>
      </c>
      <c r="Y10" s="709">
        <v>637</v>
      </c>
      <c r="Z10" s="706">
        <v>594</v>
      </c>
      <c r="AA10" s="706">
        <v>627</v>
      </c>
      <c r="AB10" s="706">
        <v>799</v>
      </c>
      <c r="AC10" s="706">
        <v>806</v>
      </c>
      <c r="AD10" s="706">
        <v>684</v>
      </c>
      <c r="AE10" s="706">
        <v>755</v>
      </c>
      <c r="AF10" s="706">
        <v>537</v>
      </c>
      <c r="AG10" s="706">
        <v>416</v>
      </c>
      <c r="AH10" s="706">
        <v>458</v>
      </c>
      <c r="AI10" s="707">
        <v>839</v>
      </c>
      <c r="AJ10" s="706">
        <f t="shared" ref="AJ10:AQ10" si="13">C10+N10+Y10</f>
        <v>1176</v>
      </c>
      <c r="AK10" s="706">
        <f t="shared" si="13"/>
        <v>1183</v>
      </c>
      <c r="AL10" s="706">
        <f t="shared" si="13"/>
        <v>1144</v>
      </c>
      <c r="AM10" s="706">
        <f t="shared" si="13"/>
        <v>1095</v>
      </c>
      <c r="AN10" s="706">
        <f t="shared" si="13"/>
        <v>1206</v>
      </c>
      <c r="AO10" s="706">
        <f t="shared" si="13"/>
        <v>979</v>
      </c>
      <c r="AP10" s="706">
        <f t="shared" si="13"/>
        <v>1015</v>
      </c>
      <c r="AQ10" s="706">
        <f t="shared" si="13"/>
        <v>708</v>
      </c>
      <c r="AR10" s="706">
        <f>SUM(K10,V10,AG10)</f>
        <v>690</v>
      </c>
      <c r="AS10" s="706">
        <f>L10+W10+AH10</f>
        <v>765</v>
      </c>
      <c r="AT10" s="707">
        <f>M10+X10+AI10</f>
        <v>1142</v>
      </c>
      <c r="AU10" s="257">
        <f t="shared" si="8"/>
        <v>0.49281045751633989</v>
      </c>
      <c r="AV10" s="10" t="s">
        <v>63</v>
      </c>
    </row>
    <row r="11" spans="1:49" ht="12.75" customHeight="1" x14ac:dyDescent="0.2">
      <c r="A11" s="8"/>
      <c r="B11" s="57" t="s">
        <v>46</v>
      </c>
      <c r="C11" s="745"/>
      <c r="D11" s="746">
        <v>856</v>
      </c>
      <c r="E11" s="710">
        <v>788</v>
      </c>
      <c r="F11" s="710">
        <v>525</v>
      </c>
      <c r="G11" s="710">
        <v>1047</v>
      </c>
      <c r="H11" s="710">
        <v>424</v>
      </c>
      <c r="I11" s="710">
        <v>107</v>
      </c>
      <c r="J11" s="710">
        <v>57</v>
      </c>
      <c r="K11" s="728">
        <v>46</v>
      </c>
      <c r="L11" s="728">
        <v>246</v>
      </c>
      <c r="M11" s="729">
        <v>361</v>
      </c>
      <c r="N11" s="712" t="s">
        <v>81</v>
      </c>
      <c r="O11" s="713" t="s">
        <v>81</v>
      </c>
      <c r="P11" s="713" t="s">
        <v>81</v>
      </c>
      <c r="Q11" s="713" t="s">
        <v>81</v>
      </c>
      <c r="R11" s="713" t="s">
        <v>81</v>
      </c>
      <c r="S11" s="713" t="s">
        <v>81</v>
      </c>
      <c r="T11" s="713" t="s">
        <v>81</v>
      </c>
      <c r="U11" s="713" t="s">
        <v>81</v>
      </c>
      <c r="V11" s="713" t="s">
        <v>81</v>
      </c>
      <c r="W11" s="733" t="s">
        <v>81</v>
      </c>
      <c r="X11" s="734" t="s">
        <v>81</v>
      </c>
      <c r="Y11" s="712" t="s">
        <v>81</v>
      </c>
      <c r="Z11" s="713" t="s">
        <v>81</v>
      </c>
      <c r="AA11" s="713" t="s">
        <v>81</v>
      </c>
      <c r="AB11" s="713" t="s">
        <v>81</v>
      </c>
      <c r="AC11" s="713" t="s">
        <v>81</v>
      </c>
      <c r="AD11" s="713" t="s">
        <v>81</v>
      </c>
      <c r="AE11" s="713" t="s">
        <v>81</v>
      </c>
      <c r="AF11" s="713" t="s">
        <v>81</v>
      </c>
      <c r="AG11" s="713" t="s">
        <v>81</v>
      </c>
      <c r="AH11" s="733" t="s">
        <v>81</v>
      </c>
      <c r="AI11" s="734" t="s">
        <v>81</v>
      </c>
      <c r="AJ11" s="710"/>
      <c r="AK11" s="710">
        <f t="shared" ref="AK11:AS11" si="14">D11</f>
        <v>856</v>
      </c>
      <c r="AL11" s="710">
        <f t="shared" si="14"/>
        <v>788</v>
      </c>
      <c r="AM11" s="710">
        <f t="shared" si="14"/>
        <v>525</v>
      </c>
      <c r="AN11" s="710">
        <f t="shared" si="14"/>
        <v>1047</v>
      </c>
      <c r="AO11" s="728">
        <f t="shared" si="14"/>
        <v>424</v>
      </c>
      <c r="AP11" s="728">
        <f t="shared" si="14"/>
        <v>107</v>
      </c>
      <c r="AQ11" s="728">
        <f t="shared" si="14"/>
        <v>57</v>
      </c>
      <c r="AR11" s="728">
        <f t="shared" si="14"/>
        <v>46</v>
      </c>
      <c r="AS11" s="728">
        <f t="shared" si="14"/>
        <v>246</v>
      </c>
      <c r="AT11" s="729">
        <f>M11</f>
        <v>361</v>
      </c>
      <c r="AU11" s="267">
        <f t="shared" si="8"/>
        <v>0.46747967479674801</v>
      </c>
      <c r="AV11" s="197" t="s">
        <v>46</v>
      </c>
      <c r="AW11" s="389"/>
    </row>
    <row r="12" spans="1:49" ht="12.75" customHeight="1" x14ac:dyDescent="0.2">
      <c r="A12" s="8"/>
      <c r="B12" s="10" t="s">
        <v>48</v>
      </c>
      <c r="C12" s="744">
        <v>71</v>
      </c>
      <c r="D12" s="585">
        <v>39</v>
      </c>
      <c r="E12" s="705"/>
      <c r="F12" s="705"/>
      <c r="G12" s="705">
        <v>1</v>
      </c>
      <c r="H12" s="705">
        <v>0</v>
      </c>
      <c r="I12" s="705">
        <v>0</v>
      </c>
      <c r="J12" s="705">
        <v>0</v>
      </c>
      <c r="K12" s="705">
        <v>7</v>
      </c>
      <c r="L12" s="705">
        <v>2</v>
      </c>
      <c r="M12" s="717">
        <v>0</v>
      </c>
      <c r="N12" s="708">
        <v>229</v>
      </c>
      <c r="O12" s="705">
        <v>207</v>
      </c>
      <c r="P12" s="705">
        <v>286</v>
      </c>
      <c r="Q12" s="705">
        <v>355</v>
      </c>
      <c r="R12" s="705">
        <v>335</v>
      </c>
      <c r="S12" s="705">
        <v>335</v>
      </c>
      <c r="T12" s="705">
        <v>140</v>
      </c>
      <c r="U12" s="705">
        <v>165</v>
      </c>
      <c r="V12" s="705">
        <v>130</v>
      </c>
      <c r="W12" s="705">
        <v>194</v>
      </c>
      <c r="X12" s="717">
        <v>86</v>
      </c>
      <c r="Y12" s="708">
        <v>624</v>
      </c>
      <c r="Z12" s="705">
        <v>630</v>
      </c>
      <c r="AA12" s="705">
        <v>680</v>
      </c>
      <c r="AB12" s="705">
        <v>614</v>
      </c>
      <c r="AC12" s="705">
        <v>888</v>
      </c>
      <c r="AD12" s="705">
        <v>611</v>
      </c>
      <c r="AE12" s="705">
        <v>525</v>
      </c>
      <c r="AF12" s="705">
        <v>554</v>
      </c>
      <c r="AG12" s="705">
        <v>451</v>
      </c>
      <c r="AH12" s="705">
        <v>613</v>
      </c>
      <c r="AI12" s="717">
        <v>816</v>
      </c>
      <c r="AJ12" s="705">
        <f t="shared" ref="AJ12:AQ19" si="15">C12+N12+Y12</f>
        <v>924</v>
      </c>
      <c r="AK12" s="705">
        <f t="shared" si="15"/>
        <v>876</v>
      </c>
      <c r="AL12" s="705">
        <f t="shared" si="15"/>
        <v>966</v>
      </c>
      <c r="AM12" s="705">
        <f t="shared" si="15"/>
        <v>969</v>
      </c>
      <c r="AN12" s="705">
        <f t="shared" si="15"/>
        <v>1224</v>
      </c>
      <c r="AO12" s="705">
        <f t="shared" si="15"/>
        <v>946</v>
      </c>
      <c r="AP12" s="705">
        <f t="shared" si="15"/>
        <v>665</v>
      </c>
      <c r="AQ12" s="705">
        <f t="shared" si="15"/>
        <v>719</v>
      </c>
      <c r="AR12" s="705">
        <f t="shared" ref="AR12:AR19" si="16">SUM(K12,V12,AG12)</f>
        <v>588</v>
      </c>
      <c r="AS12" s="705">
        <f t="shared" ref="AS12:AS21" si="17">L12+W12+AH12</f>
        <v>809</v>
      </c>
      <c r="AT12" s="717">
        <f t="shared" ref="AT12:AT21" si="18">M12+X12+AI12</f>
        <v>902</v>
      </c>
      <c r="AU12" s="259">
        <f t="shared" si="8"/>
        <v>0.11495673671199014</v>
      </c>
      <c r="AV12" s="10" t="s">
        <v>48</v>
      </c>
    </row>
    <row r="13" spans="1:49" ht="12.75" customHeight="1" x14ac:dyDescent="0.2">
      <c r="A13" s="8"/>
      <c r="B13" s="57" t="s">
        <v>59</v>
      </c>
      <c r="C13" s="745">
        <v>1343</v>
      </c>
      <c r="D13" s="746">
        <v>2022</v>
      </c>
      <c r="E13" s="710">
        <v>2704</v>
      </c>
      <c r="F13" s="710">
        <v>3459</v>
      </c>
      <c r="G13" s="710">
        <v>537</v>
      </c>
      <c r="H13" s="710">
        <v>348</v>
      </c>
      <c r="I13" s="710">
        <v>375</v>
      </c>
      <c r="J13" s="710">
        <v>344</v>
      </c>
      <c r="K13" s="710">
        <v>271</v>
      </c>
      <c r="L13" s="710">
        <v>338</v>
      </c>
      <c r="M13" s="711">
        <v>467</v>
      </c>
      <c r="N13" s="718">
        <v>95</v>
      </c>
      <c r="O13" s="710">
        <v>154</v>
      </c>
      <c r="P13" s="710">
        <v>94</v>
      </c>
      <c r="Q13" s="710">
        <v>158</v>
      </c>
      <c r="R13" s="710">
        <v>225</v>
      </c>
      <c r="S13" s="710">
        <v>300</v>
      </c>
      <c r="T13" s="710">
        <v>254</v>
      </c>
      <c r="U13" s="710">
        <v>164</v>
      </c>
      <c r="V13" s="710">
        <v>169</v>
      </c>
      <c r="W13" s="710">
        <v>137</v>
      </c>
      <c r="X13" s="711">
        <v>192</v>
      </c>
      <c r="Y13" s="718">
        <v>319</v>
      </c>
      <c r="Z13" s="710">
        <v>267</v>
      </c>
      <c r="AA13" s="710">
        <v>390</v>
      </c>
      <c r="AB13" s="710">
        <v>295</v>
      </c>
      <c r="AC13" s="710">
        <v>429</v>
      </c>
      <c r="AD13" s="710">
        <v>464</v>
      </c>
      <c r="AE13" s="710">
        <v>375</v>
      </c>
      <c r="AF13" s="710">
        <v>294</v>
      </c>
      <c r="AG13" s="710">
        <v>324</v>
      </c>
      <c r="AH13" s="710">
        <v>259</v>
      </c>
      <c r="AI13" s="711">
        <v>269</v>
      </c>
      <c r="AJ13" s="710">
        <f t="shared" si="15"/>
        <v>1757</v>
      </c>
      <c r="AK13" s="710">
        <f t="shared" si="15"/>
        <v>2443</v>
      </c>
      <c r="AL13" s="710">
        <f t="shared" si="15"/>
        <v>3188</v>
      </c>
      <c r="AM13" s="710">
        <f t="shared" si="15"/>
        <v>3912</v>
      </c>
      <c r="AN13" s="710">
        <f t="shared" si="15"/>
        <v>1191</v>
      </c>
      <c r="AO13" s="710">
        <f t="shared" si="15"/>
        <v>1112</v>
      </c>
      <c r="AP13" s="710">
        <f t="shared" si="15"/>
        <v>1004</v>
      </c>
      <c r="AQ13" s="728">
        <f t="shared" si="15"/>
        <v>802</v>
      </c>
      <c r="AR13" s="728">
        <f t="shared" si="16"/>
        <v>764</v>
      </c>
      <c r="AS13" s="728">
        <f t="shared" si="17"/>
        <v>734</v>
      </c>
      <c r="AT13" s="729">
        <f t="shared" si="18"/>
        <v>928</v>
      </c>
      <c r="AU13" s="258">
        <f t="shared" si="8"/>
        <v>0.26430517711171664</v>
      </c>
      <c r="AV13" s="57" t="s">
        <v>59</v>
      </c>
    </row>
    <row r="14" spans="1:49" ht="12.75" customHeight="1" x14ac:dyDescent="0.2">
      <c r="A14" s="8"/>
      <c r="B14" s="10" t="s">
        <v>64</v>
      </c>
      <c r="C14" s="744">
        <v>78</v>
      </c>
      <c r="D14" s="585">
        <v>98</v>
      </c>
      <c r="E14" s="705">
        <v>35</v>
      </c>
      <c r="F14" s="705">
        <v>30</v>
      </c>
      <c r="G14" s="705">
        <v>28</v>
      </c>
      <c r="H14" s="705">
        <v>12</v>
      </c>
      <c r="I14" s="705">
        <v>4</v>
      </c>
      <c r="J14" s="705">
        <v>18</v>
      </c>
      <c r="K14" s="705">
        <v>27</v>
      </c>
      <c r="L14" s="705">
        <v>18</v>
      </c>
      <c r="M14" s="717">
        <v>14</v>
      </c>
      <c r="N14" s="708">
        <v>997</v>
      </c>
      <c r="O14" s="705">
        <v>907</v>
      </c>
      <c r="P14" s="705">
        <v>966</v>
      </c>
      <c r="Q14" s="705">
        <v>907</v>
      </c>
      <c r="R14" s="705">
        <v>1226</v>
      </c>
      <c r="S14" s="705">
        <v>987</v>
      </c>
      <c r="T14" s="705">
        <v>928</v>
      </c>
      <c r="U14" s="705">
        <v>775</v>
      </c>
      <c r="V14" s="705">
        <v>986</v>
      </c>
      <c r="W14" s="705">
        <v>1321</v>
      </c>
      <c r="X14" s="717">
        <v>1009</v>
      </c>
      <c r="Y14" s="708">
        <v>4322</v>
      </c>
      <c r="Z14" s="705">
        <v>4421</v>
      </c>
      <c r="AA14" s="705">
        <v>4709</v>
      </c>
      <c r="AB14" s="705">
        <v>4534</v>
      </c>
      <c r="AC14" s="705">
        <v>4631</v>
      </c>
      <c r="AD14" s="705">
        <v>4613</v>
      </c>
      <c r="AE14" s="705">
        <v>4287</v>
      </c>
      <c r="AF14" s="705">
        <v>4249</v>
      </c>
      <c r="AG14" s="705">
        <v>4126</v>
      </c>
      <c r="AH14" s="705">
        <v>4485</v>
      </c>
      <c r="AI14" s="717">
        <v>4628</v>
      </c>
      <c r="AJ14" s="705">
        <f t="shared" si="15"/>
        <v>5397</v>
      </c>
      <c r="AK14" s="705">
        <f t="shared" si="15"/>
        <v>5426</v>
      </c>
      <c r="AL14" s="705">
        <f t="shared" si="15"/>
        <v>5710</v>
      </c>
      <c r="AM14" s="705">
        <f t="shared" si="15"/>
        <v>5471</v>
      </c>
      <c r="AN14" s="705">
        <f t="shared" si="15"/>
        <v>5885</v>
      </c>
      <c r="AO14" s="705">
        <f t="shared" si="15"/>
        <v>5612</v>
      </c>
      <c r="AP14" s="705">
        <f t="shared" si="15"/>
        <v>5219</v>
      </c>
      <c r="AQ14" s="705">
        <f t="shared" si="15"/>
        <v>5042</v>
      </c>
      <c r="AR14" s="705">
        <f t="shared" si="16"/>
        <v>5139</v>
      </c>
      <c r="AS14" s="705">
        <f t="shared" si="17"/>
        <v>5824</v>
      </c>
      <c r="AT14" s="717">
        <f t="shared" si="18"/>
        <v>5651</v>
      </c>
      <c r="AU14" s="259">
        <f t="shared" si="8"/>
        <v>-2.970467032967028E-2</v>
      </c>
      <c r="AV14" s="10" t="s">
        <v>64</v>
      </c>
    </row>
    <row r="15" spans="1:49" ht="12.75" customHeight="1" x14ac:dyDescent="0.2">
      <c r="A15" s="8"/>
      <c r="B15" s="57" t="s">
        <v>49</v>
      </c>
      <c r="C15" s="745">
        <v>14</v>
      </c>
      <c r="D15" s="746">
        <v>26</v>
      </c>
      <c r="E15" s="710">
        <v>21</v>
      </c>
      <c r="F15" s="710">
        <v>36</v>
      </c>
      <c r="G15" s="710">
        <v>26</v>
      </c>
      <c r="H15" s="710">
        <v>1</v>
      </c>
      <c r="I15" s="710">
        <v>0</v>
      </c>
      <c r="J15" s="710">
        <v>0</v>
      </c>
      <c r="K15" s="710">
        <v>1</v>
      </c>
      <c r="L15" s="710">
        <v>4</v>
      </c>
      <c r="M15" s="711">
        <v>1</v>
      </c>
      <c r="N15" s="718">
        <v>42</v>
      </c>
      <c r="O15" s="710">
        <v>53</v>
      </c>
      <c r="P15" s="710">
        <v>103</v>
      </c>
      <c r="Q15" s="710">
        <v>103</v>
      </c>
      <c r="R15" s="710">
        <v>96</v>
      </c>
      <c r="S15" s="710">
        <v>85</v>
      </c>
      <c r="T15" s="710">
        <v>120</v>
      </c>
      <c r="U15" s="710">
        <v>65</v>
      </c>
      <c r="V15" s="710">
        <v>55</v>
      </c>
      <c r="W15" s="710">
        <v>74</v>
      </c>
      <c r="X15" s="711">
        <v>124</v>
      </c>
      <c r="Y15" s="718">
        <v>1</v>
      </c>
      <c r="Z15" s="710">
        <v>17</v>
      </c>
      <c r="AA15" s="710">
        <v>37</v>
      </c>
      <c r="AB15" s="710">
        <v>101</v>
      </c>
      <c r="AC15" s="710">
        <v>22</v>
      </c>
      <c r="AD15" s="710">
        <v>26</v>
      </c>
      <c r="AE15" s="710">
        <v>48</v>
      </c>
      <c r="AF15" s="710">
        <v>30</v>
      </c>
      <c r="AG15" s="710">
        <v>100</v>
      </c>
      <c r="AH15" s="710">
        <v>158</v>
      </c>
      <c r="AI15" s="711">
        <v>62</v>
      </c>
      <c r="AJ15" s="710">
        <f t="shared" si="15"/>
        <v>57</v>
      </c>
      <c r="AK15" s="710">
        <f t="shared" si="15"/>
        <v>96</v>
      </c>
      <c r="AL15" s="710">
        <f t="shared" si="15"/>
        <v>161</v>
      </c>
      <c r="AM15" s="710">
        <f t="shared" si="15"/>
        <v>240</v>
      </c>
      <c r="AN15" s="710">
        <f t="shared" si="15"/>
        <v>144</v>
      </c>
      <c r="AO15" s="710">
        <f t="shared" si="15"/>
        <v>112</v>
      </c>
      <c r="AP15" s="710">
        <f t="shared" si="15"/>
        <v>168</v>
      </c>
      <c r="AQ15" s="728">
        <f t="shared" si="15"/>
        <v>95</v>
      </c>
      <c r="AR15" s="728">
        <f t="shared" si="16"/>
        <v>156</v>
      </c>
      <c r="AS15" s="728">
        <f t="shared" si="17"/>
        <v>236</v>
      </c>
      <c r="AT15" s="729">
        <f t="shared" si="18"/>
        <v>187</v>
      </c>
      <c r="AU15" s="258">
        <f t="shared" si="8"/>
        <v>-0.2076271186440678</v>
      </c>
      <c r="AV15" s="57" t="s">
        <v>49</v>
      </c>
    </row>
    <row r="16" spans="1:49" ht="12.75" customHeight="1" x14ac:dyDescent="0.2">
      <c r="A16" s="8"/>
      <c r="B16" s="10" t="s">
        <v>67</v>
      </c>
      <c r="C16" s="744">
        <v>475</v>
      </c>
      <c r="D16" s="585">
        <v>554</v>
      </c>
      <c r="E16" s="705">
        <v>485</v>
      </c>
      <c r="F16" s="705">
        <v>658</v>
      </c>
      <c r="G16" s="705">
        <v>600</v>
      </c>
      <c r="H16" s="705">
        <v>130</v>
      </c>
      <c r="I16" s="705">
        <v>88</v>
      </c>
      <c r="J16" s="705">
        <v>99</v>
      </c>
      <c r="K16" s="705">
        <v>58</v>
      </c>
      <c r="L16" s="705">
        <v>32</v>
      </c>
      <c r="M16" s="717">
        <v>22</v>
      </c>
      <c r="N16" s="708">
        <v>70</v>
      </c>
      <c r="O16" s="705">
        <v>106</v>
      </c>
      <c r="P16" s="705">
        <v>136</v>
      </c>
      <c r="Q16" s="705">
        <v>94</v>
      </c>
      <c r="R16" s="705">
        <v>116</v>
      </c>
      <c r="S16" s="705">
        <v>107</v>
      </c>
      <c r="T16" s="705">
        <v>48</v>
      </c>
      <c r="U16" s="705">
        <v>25</v>
      </c>
      <c r="V16" s="705">
        <v>39</v>
      </c>
      <c r="W16" s="705">
        <v>53</v>
      </c>
      <c r="X16" s="717">
        <v>48</v>
      </c>
      <c r="Y16" s="708">
        <v>284</v>
      </c>
      <c r="Z16" s="705">
        <v>205</v>
      </c>
      <c r="AA16" s="705">
        <v>327</v>
      </c>
      <c r="AB16" s="705">
        <v>311</v>
      </c>
      <c r="AC16" s="705">
        <v>436</v>
      </c>
      <c r="AD16" s="705">
        <v>130</v>
      </c>
      <c r="AE16" s="705">
        <v>36</v>
      </c>
      <c r="AF16" s="705">
        <v>58</v>
      </c>
      <c r="AG16" s="705">
        <v>222</v>
      </c>
      <c r="AH16" s="705">
        <v>157</v>
      </c>
      <c r="AI16" s="717">
        <v>205</v>
      </c>
      <c r="AJ16" s="705">
        <f t="shared" si="15"/>
        <v>829</v>
      </c>
      <c r="AK16" s="705">
        <f t="shared" si="15"/>
        <v>865</v>
      </c>
      <c r="AL16" s="705">
        <f t="shared" si="15"/>
        <v>948</v>
      </c>
      <c r="AM16" s="705">
        <f t="shared" si="15"/>
        <v>1063</v>
      </c>
      <c r="AN16" s="705">
        <f t="shared" si="15"/>
        <v>1152</v>
      </c>
      <c r="AO16" s="705">
        <f t="shared" si="15"/>
        <v>367</v>
      </c>
      <c r="AP16" s="705">
        <f t="shared" si="15"/>
        <v>172</v>
      </c>
      <c r="AQ16" s="705">
        <f t="shared" si="15"/>
        <v>182</v>
      </c>
      <c r="AR16" s="705">
        <f t="shared" si="16"/>
        <v>319</v>
      </c>
      <c r="AS16" s="705">
        <f t="shared" si="17"/>
        <v>242</v>
      </c>
      <c r="AT16" s="717">
        <f t="shared" si="18"/>
        <v>275</v>
      </c>
      <c r="AU16" s="259">
        <f t="shared" si="8"/>
        <v>0.13636363636363646</v>
      </c>
      <c r="AV16" s="10" t="s">
        <v>67</v>
      </c>
    </row>
    <row r="17" spans="1:48" ht="12.75" customHeight="1" x14ac:dyDescent="0.2">
      <c r="A17" s="8"/>
      <c r="B17" s="57" t="s">
        <v>60</v>
      </c>
      <c r="C17" s="745">
        <v>85</v>
      </c>
      <c r="D17" s="746">
        <v>45</v>
      </c>
      <c r="E17" s="710">
        <v>44</v>
      </c>
      <c r="F17" s="710">
        <v>50</v>
      </c>
      <c r="G17" s="710">
        <v>61</v>
      </c>
      <c r="H17" s="710">
        <v>57</v>
      </c>
      <c r="I17" s="710">
        <v>38</v>
      </c>
      <c r="J17" s="710">
        <v>8</v>
      </c>
      <c r="K17" s="710">
        <v>9</v>
      </c>
      <c r="L17" s="710">
        <v>52</v>
      </c>
      <c r="M17" s="711">
        <v>98</v>
      </c>
      <c r="N17" s="718">
        <v>101</v>
      </c>
      <c r="O17" s="710">
        <v>91</v>
      </c>
      <c r="P17" s="710">
        <v>122</v>
      </c>
      <c r="Q17" s="710">
        <v>132</v>
      </c>
      <c r="R17" s="710">
        <v>162</v>
      </c>
      <c r="S17" s="710">
        <v>318</v>
      </c>
      <c r="T17" s="710">
        <v>80</v>
      </c>
      <c r="U17" s="710">
        <v>47</v>
      </c>
      <c r="V17" s="710">
        <v>70</v>
      </c>
      <c r="W17" s="710">
        <v>38</v>
      </c>
      <c r="X17" s="711">
        <v>44</v>
      </c>
      <c r="Y17" s="718">
        <v>1323</v>
      </c>
      <c r="Z17" s="710">
        <v>524</v>
      </c>
      <c r="AA17" s="710">
        <v>308</v>
      </c>
      <c r="AB17" s="710">
        <v>444</v>
      </c>
      <c r="AC17" s="710">
        <v>352</v>
      </c>
      <c r="AD17" s="710">
        <v>637</v>
      </c>
      <c r="AE17" s="710">
        <v>285</v>
      </c>
      <c r="AF17" s="710">
        <v>43</v>
      </c>
      <c r="AG17" s="710">
        <v>39</v>
      </c>
      <c r="AH17" s="710">
        <v>10</v>
      </c>
      <c r="AI17" s="711">
        <v>30</v>
      </c>
      <c r="AJ17" s="710">
        <f t="shared" si="15"/>
        <v>1509</v>
      </c>
      <c r="AK17" s="710">
        <f t="shared" si="15"/>
        <v>660</v>
      </c>
      <c r="AL17" s="710">
        <f t="shared" si="15"/>
        <v>474</v>
      </c>
      <c r="AM17" s="710">
        <f t="shared" si="15"/>
        <v>626</v>
      </c>
      <c r="AN17" s="710">
        <f t="shared" si="15"/>
        <v>575</v>
      </c>
      <c r="AO17" s="710">
        <f t="shared" si="15"/>
        <v>1012</v>
      </c>
      <c r="AP17" s="710">
        <f t="shared" si="15"/>
        <v>403</v>
      </c>
      <c r="AQ17" s="728">
        <f t="shared" si="15"/>
        <v>98</v>
      </c>
      <c r="AR17" s="728">
        <f t="shared" si="16"/>
        <v>118</v>
      </c>
      <c r="AS17" s="728">
        <f t="shared" si="17"/>
        <v>100</v>
      </c>
      <c r="AT17" s="729">
        <f t="shared" si="18"/>
        <v>172</v>
      </c>
      <c r="AU17" s="258">
        <f t="shared" si="8"/>
        <v>0.72</v>
      </c>
      <c r="AV17" s="57" t="s">
        <v>60</v>
      </c>
    </row>
    <row r="18" spans="1:48" ht="12.75" customHeight="1" x14ac:dyDescent="0.2">
      <c r="A18" s="8"/>
      <c r="B18" s="10" t="s">
        <v>65</v>
      </c>
      <c r="C18" s="744"/>
      <c r="D18" s="585"/>
      <c r="E18" s="705"/>
      <c r="F18" s="705"/>
      <c r="G18" s="705"/>
      <c r="H18" s="705"/>
      <c r="I18" s="705"/>
      <c r="J18" s="705"/>
      <c r="K18" s="705"/>
      <c r="L18" s="705"/>
      <c r="M18" s="717"/>
      <c r="N18" s="708">
        <v>716</v>
      </c>
      <c r="O18" s="705">
        <v>1069</v>
      </c>
      <c r="P18" s="705">
        <v>867</v>
      </c>
      <c r="Q18" s="705">
        <v>861</v>
      </c>
      <c r="R18" s="705">
        <v>1172</v>
      </c>
      <c r="S18" s="705">
        <v>849</v>
      </c>
      <c r="T18" s="705">
        <v>723</v>
      </c>
      <c r="U18" s="705">
        <v>712</v>
      </c>
      <c r="V18" s="705">
        <v>613</v>
      </c>
      <c r="W18" s="705">
        <v>443</v>
      </c>
      <c r="X18" s="717">
        <v>510</v>
      </c>
      <c r="Y18" s="708">
        <v>2645</v>
      </c>
      <c r="Z18" s="705">
        <v>2781</v>
      </c>
      <c r="AA18" s="705">
        <v>2765</v>
      </c>
      <c r="AB18" s="705">
        <v>2942</v>
      </c>
      <c r="AC18" s="705">
        <v>2299</v>
      </c>
      <c r="AD18" s="705">
        <v>1795</v>
      </c>
      <c r="AE18" s="705">
        <v>1687</v>
      </c>
      <c r="AF18" s="705">
        <v>1961</v>
      </c>
      <c r="AG18" s="705">
        <v>1371</v>
      </c>
      <c r="AH18" s="705">
        <v>1212</v>
      </c>
      <c r="AI18" s="717">
        <v>1386</v>
      </c>
      <c r="AJ18" s="705">
        <f t="shared" si="15"/>
        <v>3361</v>
      </c>
      <c r="AK18" s="705">
        <f t="shared" si="15"/>
        <v>3850</v>
      </c>
      <c r="AL18" s="705">
        <f t="shared" si="15"/>
        <v>3632</v>
      </c>
      <c r="AM18" s="705">
        <f t="shared" si="15"/>
        <v>3803</v>
      </c>
      <c r="AN18" s="705">
        <f t="shared" si="15"/>
        <v>3471</v>
      </c>
      <c r="AO18" s="705">
        <f t="shared" si="15"/>
        <v>2644</v>
      </c>
      <c r="AP18" s="705">
        <f t="shared" si="15"/>
        <v>2410</v>
      </c>
      <c r="AQ18" s="705">
        <f t="shared" si="15"/>
        <v>2673</v>
      </c>
      <c r="AR18" s="705">
        <f t="shared" si="16"/>
        <v>1984</v>
      </c>
      <c r="AS18" s="705">
        <f t="shared" si="17"/>
        <v>1655</v>
      </c>
      <c r="AT18" s="717">
        <f t="shared" si="18"/>
        <v>1896</v>
      </c>
      <c r="AU18" s="259">
        <f t="shared" si="8"/>
        <v>0.14561933534743199</v>
      </c>
      <c r="AV18" s="10" t="s">
        <v>65</v>
      </c>
    </row>
    <row r="19" spans="1:48" ht="12.75" customHeight="1" x14ac:dyDescent="0.2">
      <c r="A19" s="8"/>
      <c r="B19" s="57" t="s">
        <v>66</v>
      </c>
      <c r="C19" s="745">
        <v>107</v>
      </c>
      <c r="D19" s="746">
        <v>75</v>
      </c>
      <c r="E19" s="710">
        <v>79</v>
      </c>
      <c r="F19" s="710">
        <v>39</v>
      </c>
      <c r="G19" s="710">
        <v>9</v>
      </c>
      <c r="H19" s="710">
        <v>2</v>
      </c>
      <c r="I19" s="710">
        <v>1</v>
      </c>
      <c r="J19" s="710">
        <v>3</v>
      </c>
      <c r="K19" s="710"/>
      <c r="L19" s="710"/>
      <c r="M19" s="711">
        <v>1</v>
      </c>
      <c r="N19" s="718">
        <v>1082</v>
      </c>
      <c r="O19" s="710">
        <v>1214</v>
      </c>
      <c r="P19" s="710">
        <v>1221</v>
      </c>
      <c r="Q19" s="710">
        <v>1335</v>
      </c>
      <c r="R19" s="710">
        <v>1689</v>
      </c>
      <c r="S19" s="710">
        <v>1659</v>
      </c>
      <c r="T19" s="710">
        <v>1240</v>
      </c>
      <c r="U19" s="710">
        <v>1295</v>
      </c>
      <c r="V19" s="710">
        <v>1203</v>
      </c>
      <c r="W19" s="710">
        <v>1518</v>
      </c>
      <c r="X19" s="711">
        <v>1145</v>
      </c>
      <c r="Y19" s="718">
        <v>3670</v>
      </c>
      <c r="Z19" s="710">
        <v>4153</v>
      </c>
      <c r="AA19" s="710">
        <v>4550</v>
      </c>
      <c r="AB19" s="710">
        <v>4797</v>
      </c>
      <c r="AC19" s="710">
        <v>4926</v>
      </c>
      <c r="AD19" s="710">
        <v>5773</v>
      </c>
      <c r="AE19" s="710">
        <v>4666</v>
      </c>
      <c r="AF19" s="710">
        <v>5508</v>
      </c>
      <c r="AG19" s="710">
        <v>4859</v>
      </c>
      <c r="AH19" s="710">
        <v>5445</v>
      </c>
      <c r="AI19" s="711">
        <v>4751</v>
      </c>
      <c r="AJ19" s="710">
        <f t="shared" si="15"/>
        <v>4859</v>
      </c>
      <c r="AK19" s="710">
        <f t="shared" si="15"/>
        <v>5442</v>
      </c>
      <c r="AL19" s="710">
        <f t="shared" si="15"/>
        <v>5850</v>
      </c>
      <c r="AM19" s="710">
        <f t="shared" si="15"/>
        <v>6171</v>
      </c>
      <c r="AN19" s="710">
        <f t="shared" si="15"/>
        <v>6624</v>
      </c>
      <c r="AO19" s="710">
        <f t="shared" si="15"/>
        <v>7434</v>
      </c>
      <c r="AP19" s="710">
        <f t="shared" si="15"/>
        <v>5907</v>
      </c>
      <c r="AQ19" s="728">
        <f t="shared" si="15"/>
        <v>6806</v>
      </c>
      <c r="AR19" s="728">
        <f t="shared" si="16"/>
        <v>6062</v>
      </c>
      <c r="AS19" s="728">
        <f t="shared" si="17"/>
        <v>6963</v>
      </c>
      <c r="AT19" s="729">
        <f t="shared" si="18"/>
        <v>5897</v>
      </c>
      <c r="AU19" s="258">
        <f t="shared" si="8"/>
        <v>-0.15309493034611521</v>
      </c>
      <c r="AV19" s="57" t="s">
        <v>66</v>
      </c>
    </row>
    <row r="20" spans="1:48" ht="12.75" customHeight="1" x14ac:dyDescent="0.2">
      <c r="A20" s="8"/>
      <c r="B20" s="10" t="s">
        <v>77</v>
      </c>
      <c r="C20" s="744">
        <v>288</v>
      </c>
      <c r="D20" s="585">
        <v>381</v>
      </c>
      <c r="E20" s="705">
        <v>376</v>
      </c>
      <c r="F20" s="705">
        <v>433</v>
      </c>
      <c r="G20" s="705">
        <v>391</v>
      </c>
      <c r="H20" s="705">
        <v>484</v>
      </c>
      <c r="I20" s="705">
        <v>195</v>
      </c>
      <c r="J20" s="705">
        <v>173</v>
      </c>
      <c r="K20" s="705">
        <v>217</v>
      </c>
      <c r="L20" s="719">
        <v>2</v>
      </c>
      <c r="M20" s="717">
        <v>1</v>
      </c>
      <c r="N20" s="747" t="s">
        <v>81</v>
      </c>
      <c r="O20" s="722" t="s">
        <v>81</v>
      </c>
      <c r="P20" s="722" t="s">
        <v>81</v>
      </c>
      <c r="Q20" s="722" t="s">
        <v>81</v>
      </c>
      <c r="R20" s="722" t="s">
        <v>81</v>
      </c>
      <c r="S20" s="722" t="s">
        <v>81</v>
      </c>
      <c r="T20" s="722" t="s">
        <v>81</v>
      </c>
      <c r="U20" s="722" t="s">
        <v>81</v>
      </c>
      <c r="V20" s="722" t="s">
        <v>81</v>
      </c>
      <c r="W20" s="722">
        <v>55</v>
      </c>
      <c r="X20" s="731">
        <v>38</v>
      </c>
      <c r="Y20" s="747" t="s">
        <v>81</v>
      </c>
      <c r="Z20" s="722" t="s">
        <v>81</v>
      </c>
      <c r="AA20" s="722" t="s">
        <v>81</v>
      </c>
      <c r="AB20" s="722" t="s">
        <v>81</v>
      </c>
      <c r="AC20" s="722" t="s">
        <v>81</v>
      </c>
      <c r="AD20" s="722" t="s">
        <v>81</v>
      </c>
      <c r="AE20" s="722" t="s">
        <v>81</v>
      </c>
      <c r="AF20" s="722" t="s">
        <v>81</v>
      </c>
      <c r="AG20" s="722" t="s">
        <v>81</v>
      </c>
      <c r="AH20" s="723">
        <v>54</v>
      </c>
      <c r="AI20" s="724">
        <v>58</v>
      </c>
      <c r="AJ20" s="705">
        <f t="shared" ref="AJ20:AR20" si="19">C20</f>
        <v>288</v>
      </c>
      <c r="AK20" s="705">
        <f t="shared" si="19"/>
        <v>381</v>
      </c>
      <c r="AL20" s="705">
        <f t="shared" si="19"/>
        <v>376</v>
      </c>
      <c r="AM20" s="705">
        <f t="shared" si="19"/>
        <v>433</v>
      </c>
      <c r="AN20" s="705">
        <f t="shared" si="19"/>
        <v>391</v>
      </c>
      <c r="AO20" s="705">
        <f t="shared" si="19"/>
        <v>484</v>
      </c>
      <c r="AP20" s="705">
        <f t="shared" si="19"/>
        <v>195</v>
      </c>
      <c r="AQ20" s="705">
        <f t="shared" si="19"/>
        <v>173</v>
      </c>
      <c r="AR20" s="705">
        <f t="shared" si="19"/>
        <v>217</v>
      </c>
      <c r="AS20" s="705">
        <f t="shared" si="17"/>
        <v>111</v>
      </c>
      <c r="AT20" s="717">
        <f t="shared" si="18"/>
        <v>97</v>
      </c>
      <c r="AU20" s="259">
        <f t="shared" si="8"/>
        <v>-0.12612612612612617</v>
      </c>
      <c r="AV20" s="10" t="s">
        <v>77</v>
      </c>
    </row>
    <row r="21" spans="1:48" ht="12.75" customHeight="1" x14ac:dyDescent="0.2">
      <c r="A21" s="8"/>
      <c r="B21" s="197" t="s">
        <v>68</v>
      </c>
      <c r="C21" s="748">
        <v>40</v>
      </c>
      <c r="D21" s="586">
        <v>32</v>
      </c>
      <c r="E21" s="728">
        <v>52</v>
      </c>
      <c r="F21" s="728">
        <v>79</v>
      </c>
      <c r="G21" s="728">
        <v>41</v>
      </c>
      <c r="H21" s="728">
        <v>26</v>
      </c>
      <c r="I21" s="728">
        <v>31</v>
      </c>
      <c r="J21" s="728">
        <v>0</v>
      </c>
      <c r="K21" s="728">
        <v>24</v>
      </c>
      <c r="L21" s="728">
        <v>99</v>
      </c>
      <c r="M21" s="729">
        <v>27</v>
      </c>
      <c r="N21" s="730">
        <v>1586</v>
      </c>
      <c r="O21" s="728">
        <v>1699</v>
      </c>
      <c r="P21" s="728">
        <v>1974</v>
      </c>
      <c r="Q21" s="728">
        <v>1624</v>
      </c>
      <c r="R21" s="728">
        <v>1932</v>
      </c>
      <c r="S21" s="728">
        <v>1770</v>
      </c>
      <c r="T21" s="728">
        <v>1829</v>
      </c>
      <c r="U21" s="728">
        <v>1878</v>
      </c>
      <c r="V21" s="728">
        <v>1120</v>
      </c>
      <c r="W21" s="728">
        <v>926</v>
      </c>
      <c r="X21" s="729">
        <v>745</v>
      </c>
      <c r="Y21" s="730">
        <v>3237</v>
      </c>
      <c r="Z21" s="728">
        <v>3311</v>
      </c>
      <c r="AA21" s="728">
        <v>2796</v>
      </c>
      <c r="AB21" s="728">
        <v>2770</v>
      </c>
      <c r="AC21" s="728">
        <v>2770</v>
      </c>
      <c r="AD21" s="728">
        <v>1473</v>
      </c>
      <c r="AE21" s="728">
        <v>2442</v>
      </c>
      <c r="AF21" s="728">
        <v>4030</v>
      </c>
      <c r="AG21" s="728">
        <v>1149</v>
      </c>
      <c r="AH21" s="728">
        <v>1676</v>
      </c>
      <c r="AI21" s="729">
        <v>1212</v>
      </c>
      <c r="AJ21" s="728">
        <f t="shared" ref="AJ21:AQ21" si="20">C21+N21+Y21</f>
        <v>4863</v>
      </c>
      <c r="AK21" s="728">
        <f t="shared" si="20"/>
        <v>5042</v>
      </c>
      <c r="AL21" s="728">
        <f t="shared" si="20"/>
        <v>4822</v>
      </c>
      <c r="AM21" s="728">
        <f t="shared" si="20"/>
        <v>4473</v>
      </c>
      <c r="AN21" s="728">
        <f t="shared" si="20"/>
        <v>4743</v>
      </c>
      <c r="AO21" s="728">
        <f t="shared" si="20"/>
        <v>3269</v>
      </c>
      <c r="AP21" s="728">
        <f t="shared" si="20"/>
        <v>4302</v>
      </c>
      <c r="AQ21" s="728">
        <f t="shared" si="20"/>
        <v>5908</v>
      </c>
      <c r="AR21" s="728">
        <f>SUM(K21,V21,AG21)</f>
        <v>2293</v>
      </c>
      <c r="AS21" s="728">
        <f t="shared" si="17"/>
        <v>2701</v>
      </c>
      <c r="AT21" s="729">
        <f t="shared" si="18"/>
        <v>1984</v>
      </c>
      <c r="AU21" s="267">
        <f t="shared" si="8"/>
        <v>-0.26545723805997778</v>
      </c>
      <c r="AV21" s="197" t="s">
        <v>68</v>
      </c>
    </row>
    <row r="22" spans="1:48" ht="12.75" customHeight="1" x14ac:dyDescent="0.2">
      <c r="A22" s="8"/>
      <c r="B22" s="10" t="s">
        <v>47</v>
      </c>
      <c r="C22" s="744">
        <v>59</v>
      </c>
      <c r="D22" s="585">
        <v>66</v>
      </c>
      <c r="E22" s="705">
        <v>47</v>
      </c>
      <c r="F22" s="705">
        <v>61</v>
      </c>
      <c r="G22" s="705">
        <v>64</v>
      </c>
      <c r="H22" s="705">
        <v>41</v>
      </c>
      <c r="I22" s="705">
        <v>248</v>
      </c>
      <c r="J22" s="705">
        <v>44</v>
      </c>
      <c r="K22" s="705">
        <v>45</v>
      </c>
      <c r="L22" s="705">
        <v>64</v>
      </c>
      <c r="M22" s="717">
        <v>47</v>
      </c>
      <c r="N22" s="747" t="s">
        <v>81</v>
      </c>
      <c r="O22" s="722" t="s">
        <v>81</v>
      </c>
      <c r="P22" s="722" t="s">
        <v>81</v>
      </c>
      <c r="Q22" s="722" t="s">
        <v>81</v>
      </c>
      <c r="R22" s="722" t="s">
        <v>81</v>
      </c>
      <c r="S22" s="722" t="s">
        <v>81</v>
      </c>
      <c r="T22" s="722" t="s">
        <v>81</v>
      </c>
      <c r="U22" s="722" t="s">
        <v>81</v>
      </c>
      <c r="V22" s="722" t="s">
        <v>81</v>
      </c>
      <c r="W22" s="722" t="s">
        <v>81</v>
      </c>
      <c r="X22" s="731" t="s">
        <v>81</v>
      </c>
      <c r="Y22" s="747" t="s">
        <v>81</v>
      </c>
      <c r="Z22" s="722" t="s">
        <v>81</v>
      </c>
      <c r="AA22" s="722" t="s">
        <v>81</v>
      </c>
      <c r="AB22" s="722" t="s">
        <v>81</v>
      </c>
      <c r="AC22" s="722" t="s">
        <v>81</v>
      </c>
      <c r="AD22" s="722" t="s">
        <v>81</v>
      </c>
      <c r="AE22" s="722" t="s">
        <v>81</v>
      </c>
      <c r="AF22" s="722" t="s">
        <v>81</v>
      </c>
      <c r="AG22" s="722" t="s">
        <v>81</v>
      </c>
      <c r="AH22" s="722" t="s">
        <v>81</v>
      </c>
      <c r="AI22" s="731" t="s">
        <v>81</v>
      </c>
      <c r="AJ22" s="705">
        <f t="shared" ref="AJ22:AT22" si="21">C22</f>
        <v>59</v>
      </c>
      <c r="AK22" s="705">
        <f t="shared" si="21"/>
        <v>66</v>
      </c>
      <c r="AL22" s="705">
        <f t="shared" si="21"/>
        <v>47</v>
      </c>
      <c r="AM22" s="705">
        <f t="shared" si="21"/>
        <v>61</v>
      </c>
      <c r="AN22" s="705">
        <f t="shared" si="21"/>
        <v>64</v>
      </c>
      <c r="AO22" s="705">
        <f t="shared" si="21"/>
        <v>41</v>
      </c>
      <c r="AP22" s="705">
        <f t="shared" si="21"/>
        <v>248</v>
      </c>
      <c r="AQ22" s="723">
        <f t="shared" si="21"/>
        <v>44</v>
      </c>
      <c r="AR22" s="723">
        <f t="shared" si="21"/>
        <v>45</v>
      </c>
      <c r="AS22" s="723">
        <f t="shared" si="21"/>
        <v>64</v>
      </c>
      <c r="AT22" s="724">
        <f t="shared" si="21"/>
        <v>47</v>
      </c>
      <c r="AU22" s="259">
        <f t="shared" si="8"/>
        <v>-0.265625</v>
      </c>
      <c r="AV22" s="10" t="s">
        <v>47</v>
      </c>
    </row>
    <row r="23" spans="1:48" ht="18" customHeight="1" x14ac:dyDescent="0.2">
      <c r="A23" s="8"/>
      <c r="B23" s="197" t="s">
        <v>51</v>
      </c>
      <c r="C23" s="748">
        <v>2</v>
      </c>
      <c r="D23" s="586">
        <v>13</v>
      </c>
      <c r="E23" s="728">
        <v>116</v>
      </c>
      <c r="F23" s="728">
        <v>154</v>
      </c>
      <c r="G23" s="728">
        <v>26</v>
      </c>
      <c r="H23" s="728">
        <v>5</v>
      </c>
      <c r="I23" s="728">
        <v>0</v>
      </c>
      <c r="J23" s="728">
        <v>1</v>
      </c>
      <c r="K23" s="728">
        <v>11</v>
      </c>
      <c r="L23" s="728">
        <v>2</v>
      </c>
      <c r="M23" s="729">
        <v>1</v>
      </c>
      <c r="N23" s="730">
        <v>151</v>
      </c>
      <c r="O23" s="728">
        <v>127</v>
      </c>
      <c r="P23" s="728">
        <v>38</v>
      </c>
      <c r="Q23" s="728">
        <v>29</v>
      </c>
      <c r="R23" s="728">
        <v>140</v>
      </c>
      <c r="S23" s="728">
        <v>30</v>
      </c>
      <c r="T23" s="728">
        <v>82</v>
      </c>
      <c r="U23" s="728">
        <v>170</v>
      </c>
      <c r="V23" s="728">
        <v>67</v>
      </c>
      <c r="W23" s="728">
        <v>201</v>
      </c>
      <c r="X23" s="729">
        <v>145</v>
      </c>
      <c r="Y23" s="730">
        <v>89</v>
      </c>
      <c r="Z23" s="728">
        <v>24</v>
      </c>
      <c r="AA23" s="728">
        <v>52</v>
      </c>
      <c r="AB23" s="728">
        <v>17</v>
      </c>
      <c r="AC23" s="728">
        <v>57</v>
      </c>
      <c r="AD23" s="728">
        <v>22</v>
      </c>
      <c r="AE23" s="728">
        <v>47</v>
      </c>
      <c r="AF23" s="728">
        <v>16</v>
      </c>
      <c r="AG23" s="728">
        <v>9</v>
      </c>
      <c r="AH23" s="728">
        <v>25</v>
      </c>
      <c r="AI23" s="729">
        <v>57</v>
      </c>
      <c r="AJ23" s="728">
        <f t="shared" ref="AJ23:AQ25" si="22">C23+N23+Y23</f>
        <v>242</v>
      </c>
      <c r="AK23" s="728">
        <f t="shared" si="22"/>
        <v>164</v>
      </c>
      <c r="AL23" s="728">
        <f t="shared" si="22"/>
        <v>206</v>
      </c>
      <c r="AM23" s="728">
        <f t="shared" si="22"/>
        <v>200</v>
      </c>
      <c r="AN23" s="728">
        <f t="shared" si="22"/>
        <v>223</v>
      </c>
      <c r="AO23" s="728">
        <f t="shared" si="22"/>
        <v>57</v>
      </c>
      <c r="AP23" s="728">
        <f t="shared" si="22"/>
        <v>129</v>
      </c>
      <c r="AQ23" s="728">
        <f t="shared" si="22"/>
        <v>187</v>
      </c>
      <c r="AR23" s="728">
        <f t="shared" ref="AR23:AR40" si="23">SUM(K23,V23,AG23)</f>
        <v>87</v>
      </c>
      <c r="AS23" s="728">
        <f t="shared" ref="AS23:AS40" si="24">L23+W23+AH23</f>
        <v>228</v>
      </c>
      <c r="AT23" s="729">
        <f t="shared" ref="AT23:AT40" si="25">M23+X23+AI23</f>
        <v>203</v>
      </c>
      <c r="AU23" s="267">
        <f t="shared" si="8"/>
        <v>-0.10964912280701755</v>
      </c>
      <c r="AV23" s="197" t="s">
        <v>51</v>
      </c>
    </row>
    <row r="24" spans="1:48" ht="12.75" customHeight="1" x14ac:dyDescent="0.2">
      <c r="A24" s="8"/>
      <c r="B24" s="10" t="s">
        <v>52</v>
      </c>
      <c r="C24" s="744">
        <v>219</v>
      </c>
      <c r="D24" s="585">
        <v>334</v>
      </c>
      <c r="E24" s="705">
        <v>189</v>
      </c>
      <c r="F24" s="705">
        <v>61</v>
      </c>
      <c r="G24" s="705">
        <v>95</v>
      </c>
      <c r="H24" s="705">
        <v>21</v>
      </c>
      <c r="I24" s="705">
        <v>4</v>
      </c>
      <c r="J24" s="705">
        <v>5</v>
      </c>
      <c r="K24" s="705"/>
      <c r="L24" s="705">
        <v>3</v>
      </c>
      <c r="M24" s="717">
        <v>3</v>
      </c>
      <c r="N24" s="708">
        <v>53</v>
      </c>
      <c r="O24" s="705">
        <v>18</v>
      </c>
      <c r="P24" s="705">
        <v>30</v>
      </c>
      <c r="Q24" s="705">
        <v>141</v>
      </c>
      <c r="R24" s="705">
        <v>95</v>
      </c>
      <c r="S24" s="705">
        <v>91</v>
      </c>
      <c r="T24" s="705">
        <v>86</v>
      </c>
      <c r="U24" s="705">
        <v>86</v>
      </c>
      <c r="V24" s="705">
        <v>106</v>
      </c>
      <c r="W24" s="705">
        <v>125</v>
      </c>
      <c r="X24" s="717">
        <v>163</v>
      </c>
      <c r="Y24" s="708">
        <v>67</v>
      </c>
      <c r="Z24" s="705">
        <v>80</v>
      </c>
      <c r="AA24" s="705">
        <v>60</v>
      </c>
      <c r="AB24" s="705">
        <v>25</v>
      </c>
      <c r="AC24" s="705">
        <v>4</v>
      </c>
      <c r="AD24" s="705">
        <v>1</v>
      </c>
      <c r="AE24" s="705">
        <v>4</v>
      </c>
      <c r="AF24" s="705">
        <v>18</v>
      </c>
      <c r="AG24" s="705">
        <v>39</v>
      </c>
      <c r="AH24" s="705">
        <v>51</v>
      </c>
      <c r="AI24" s="717">
        <v>125</v>
      </c>
      <c r="AJ24" s="705">
        <f t="shared" si="22"/>
        <v>339</v>
      </c>
      <c r="AK24" s="705">
        <f t="shared" si="22"/>
        <v>432</v>
      </c>
      <c r="AL24" s="705">
        <f t="shared" si="22"/>
        <v>279</v>
      </c>
      <c r="AM24" s="705">
        <f t="shared" si="22"/>
        <v>227</v>
      </c>
      <c r="AN24" s="705">
        <f t="shared" si="22"/>
        <v>194</v>
      </c>
      <c r="AO24" s="705">
        <f t="shared" si="22"/>
        <v>113</v>
      </c>
      <c r="AP24" s="705">
        <f t="shared" si="22"/>
        <v>94</v>
      </c>
      <c r="AQ24" s="705">
        <f t="shared" si="22"/>
        <v>109</v>
      </c>
      <c r="AR24" s="705">
        <f t="shared" si="23"/>
        <v>145</v>
      </c>
      <c r="AS24" s="705">
        <f t="shared" si="24"/>
        <v>179</v>
      </c>
      <c r="AT24" s="717">
        <f t="shared" si="25"/>
        <v>291</v>
      </c>
      <c r="AU24" s="259">
        <f t="shared" si="8"/>
        <v>0.62569832402234637</v>
      </c>
      <c r="AV24" s="10" t="s">
        <v>52</v>
      </c>
    </row>
    <row r="25" spans="1:48" ht="12.75" customHeight="1" x14ac:dyDescent="0.2">
      <c r="A25" s="8"/>
      <c r="B25" s="197" t="s">
        <v>69</v>
      </c>
      <c r="C25" s="748"/>
      <c r="D25" s="586"/>
      <c r="E25" s="728"/>
      <c r="F25" s="728"/>
      <c r="G25" s="728"/>
      <c r="H25" s="728"/>
      <c r="I25" s="728"/>
      <c r="J25" s="728"/>
      <c r="K25" s="728"/>
      <c r="L25" s="728"/>
      <c r="M25" s="729">
        <v>0</v>
      </c>
      <c r="N25" s="730">
        <v>16</v>
      </c>
      <c r="O25" s="728">
        <v>22</v>
      </c>
      <c r="P25" s="728">
        <v>14</v>
      </c>
      <c r="Q25" s="728">
        <v>20</v>
      </c>
      <c r="R25" s="728">
        <v>19</v>
      </c>
      <c r="S25" s="728">
        <v>34</v>
      </c>
      <c r="T25" s="728">
        <v>15</v>
      </c>
      <c r="U25" s="728">
        <v>26</v>
      </c>
      <c r="V25" s="728">
        <v>10</v>
      </c>
      <c r="W25" s="728">
        <v>30</v>
      </c>
      <c r="X25" s="729">
        <v>13</v>
      </c>
      <c r="Y25" s="730">
        <v>110</v>
      </c>
      <c r="Z25" s="728">
        <v>136</v>
      </c>
      <c r="AA25" s="728">
        <v>154</v>
      </c>
      <c r="AB25" s="728">
        <v>156</v>
      </c>
      <c r="AC25" s="728">
        <v>206</v>
      </c>
      <c r="AD25" s="728">
        <v>175</v>
      </c>
      <c r="AE25" s="728">
        <v>159</v>
      </c>
      <c r="AF25" s="728">
        <v>162</v>
      </c>
      <c r="AG25" s="728">
        <v>149</v>
      </c>
      <c r="AH25" s="728">
        <v>141</v>
      </c>
      <c r="AI25" s="729">
        <v>146</v>
      </c>
      <c r="AJ25" s="728">
        <f t="shared" si="22"/>
        <v>126</v>
      </c>
      <c r="AK25" s="728">
        <f t="shared" si="22"/>
        <v>158</v>
      </c>
      <c r="AL25" s="728">
        <f t="shared" si="22"/>
        <v>168</v>
      </c>
      <c r="AM25" s="728">
        <f t="shared" si="22"/>
        <v>176</v>
      </c>
      <c r="AN25" s="728">
        <f t="shared" si="22"/>
        <v>225</v>
      </c>
      <c r="AO25" s="728">
        <f t="shared" si="22"/>
        <v>209</v>
      </c>
      <c r="AP25" s="728">
        <f t="shared" si="22"/>
        <v>174</v>
      </c>
      <c r="AQ25" s="728">
        <f t="shared" si="22"/>
        <v>188</v>
      </c>
      <c r="AR25" s="728">
        <f t="shared" si="23"/>
        <v>159</v>
      </c>
      <c r="AS25" s="728">
        <f t="shared" si="24"/>
        <v>171</v>
      </c>
      <c r="AT25" s="729">
        <f t="shared" si="25"/>
        <v>159</v>
      </c>
      <c r="AU25" s="267">
        <f t="shared" si="8"/>
        <v>-7.0175438596491224E-2</v>
      </c>
      <c r="AV25" s="197" t="s">
        <v>69</v>
      </c>
    </row>
    <row r="26" spans="1:48" ht="12.75" customHeight="1" x14ac:dyDescent="0.2">
      <c r="A26" s="8"/>
      <c r="B26" s="10" t="s">
        <v>50</v>
      </c>
      <c r="C26" s="744"/>
      <c r="D26" s="585"/>
      <c r="E26" s="705"/>
      <c r="F26" s="705"/>
      <c r="G26" s="705"/>
      <c r="H26" s="705"/>
      <c r="I26" s="705">
        <v>8</v>
      </c>
      <c r="J26" s="705">
        <v>3</v>
      </c>
      <c r="K26" s="705">
        <v>2</v>
      </c>
      <c r="L26" s="705">
        <v>7</v>
      </c>
      <c r="M26" s="717">
        <v>14</v>
      </c>
      <c r="N26" s="708"/>
      <c r="O26" s="705"/>
      <c r="P26" s="705"/>
      <c r="Q26" s="705"/>
      <c r="R26" s="705"/>
      <c r="S26" s="705"/>
      <c r="T26" s="705">
        <v>105</v>
      </c>
      <c r="U26" s="705">
        <v>52</v>
      </c>
      <c r="V26" s="705">
        <v>29</v>
      </c>
      <c r="W26" s="705">
        <v>33</v>
      </c>
      <c r="X26" s="717">
        <v>55</v>
      </c>
      <c r="Y26" s="708"/>
      <c r="Z26" s="705"/>
      <c r="AA26" s="705"/>
      <c r="AB26" s="705"/>
      <c r="AC26" s="705"/>
      <c r="AD26" s="705"/>
      <c r="AE26" s="705">
        <v>167</v>
      </c>
      <c r="AF26" s="705">
        <v>97</v>
      </c>
      <c r="AG26" s="705">
        <v>19</v>
      </c>
      <c r="AH26" s="705">
        <v>392</v>
      </c>
      <c r="AI26" s="717">
        <v>309</v>
      </c>
      <c r="AJ26" s="705"/>
      <c r="AK26" s="705">
        <v>600</v>
      </c>
      <c r="AL26" s="705">
        <v>814</v>
      </c>
      <c r="AM26" s="705">
        <v>734</v>
      </c>
      <c r="AN26" s="705">
        <f t="shared" ref="AN26:AN40" si="26">G26+R26+AC26</f>
        <v>0</v>
      </c>
      <c r="AO26" s="705">
        <f t="shared" ref="AO26:AO40" si="27">H26+S26+AD26</f>
        <v>0</v>
      </c>
      <c r="AP26" s="705">
        <f t="shared" ref="AP26:AP40" si="28">I26+T26+AE26</f>
        <v>280</v>
      </c>
      <c r="AQ26" s="705">
        <f t="shared" ref="AQ26:AQ40" si="29">J26+U26+AF26</f>
        <v>152</v>
      </c>
      <c r="AR26" s="705">
        <f t="shared" si="23"/>
        <v>50</v>
      </c>
      <c r="AS26" s="705">
        <f t="shared" si="24"/>
        <v>432</v>
      </c>
      <c r="AT26" s="717">
        <f t="shared" si="25"/>
        <v>378</v>
      </c>
      <c r="AU26" s="259">
        <f t="shared" si="8"/>
        <v>-0.125</v>
      </c>
      <c r="AV26" s="10" t="s">
        <v>50</v>
      </c>
    </row>
    <row r="27" spans="1:48" ht="12.75" customHeight="1" x14ac:dyDescent="0.2">
      <c r="A27" s="8"/>
      <c r="B27" s="197" t="s">
        <v>53</v>
      </c>
      <c r="C27" s="748">
        <v>21</v>
      </c>
      <c r="D27" s="586">
        <v>23</v>
      </c>
      <c r="E27" s="728">
        <v>10</v>
      </c>
      <c r="F27" s="728">
        <v>13</v>
      </c>
      <c r="G27" s="728">
        <v>21</v>
      </c>
      <c r="H27" s="728">
        <v>26</v>
      </c>
      <c r="I27" s="728">
        <v>15</v>
      </c>
      <c r="J27" s="728">
        <v>7</v>
      </c>
      <c r="K27" s="728">
        <v>10</v>
      </c>
      <c r="L27" s="728">
        <v>12</v>
      </c>
      <c r="M27" s="729">
        <v>8</v>
      </c>
      <c r="N27" s="730">
        <v>0</v>
      </c>
      <c r="O27" s="728">
        <v>0</v>
      </c>
      <c r="P27" s="728">
        <v>0</v>
      </c>
      <c r="Q27" s="728">
        <v>0</v>
      </c>
      <c r="R27" s="728">
        <v>0</v>
      </c>
      <c r="S27" s="728">
        <v>0</v>
      </c>
      <c r="T27" s="728">
        <v>0</v>
      </c>
      <c r="U27" s="728">
        <v>184</v>
      </c>
      <c r="V27" s="728">
        <v>0</v>
      </c>
      <c r="W27" s="728">
        <v>0</v>
      </c>
      <c r="X27" s="729">
        <v>0</v>
      </c>
      <c r="Y27" s="730">
        <v>0</v>
      </c>
      <c r="Z27" s="728">
        <v>0</v>
      </c>
      <c r="AA27" s="728">
        <v>0</v>
      </c>
      <c r="AB27" s="728">
        <v>0</v>
      </c>
      <c r="AC27" s="728">
        <v>1</v>
      </c>
      <c r="AD27" s="728">
        <v>4</v>
      </c>
      <c r="AE27" s="728">
        <v>8</v>
      </c>
      <c r="AF27" s="728">
        <v>19</v>
      </c>
      <c r="AG27" s="728">
        <v>9</v>
      </c>
      <c r="AH27" s="728">
        <v>3</v>
      </c>
      <c r="AI27" s="729">
        <v>2</v>
      </c>
      <c r="AJ27" s="728">
        <f t="shared" ref="AJ27:AM31" si="30">C27+N27+Y27</f>
        <v>21</v>
      </c>
      <c r="AK27" s="728">
        <f t="shared" si="30"/>
        <v>23</v>
      </c>
      <c r="AL27" s="728">
        <f t="shared" si="30"/>
        <v>10</v>
      </c>
      <c r="AM27" s="728">
        <f t="shared" si="30"/>
        <v>13</v>
      </c>
      <c r="AN27" s="728">
        <f t="shared" si="26"/>
        <v>22</v>
      </c>
      <c r="AO27" s="728">
        <f t="shared" si="27"/>
        <v>30</v>
      </c>
      <c r="AP27" s="728">
        <f t="shared" si="28"/>
        <v>23</v>
      </c>
      <c r="AQ27" s="728">
        <f t="shared" si="29"/>
        <v>210</v>
      </c>
      <c r="AR27" s="728">
        <f t="shared" si="23"/>
        <v>19</v>
      </c>
      <c r="AS27" s="728">
        <f t="shared" si="24"/>
        <v>15</v>
      </c>
      <c r="AT27" s="729">
        <f t="shared" si="25"/>
        <v>10</v>
      </c>
      <c r="AU27" s="267">
        <f t="shared" si="8"/>
        <v>-0.33333333333333337</v>
      </c>
      <c r="AV27" s="197" t="s">
        <v>53</v>
      </c>
    </row>
    <row r="28" spans="1:48" ht="12.75" customHeight="1" x14ac:dyDescent="0.2">
      <c r="A28" s="8"/>
      <c r="B28" s="10" t="s">
        <v>61</v>
      </c>
      <c r="C28" s="744">
        <v>7</v>
      </c>
      <c r="D28" s="585">
        <v>1</v>
      </c>
      <c r="E28" s="705">
        <v>4</v>
      </c>
      <c r="F28" s="705"/>
      <c r="G28" s="705"/>
      <c r="H28" s="705"/>
      <c r="I28" s="705"/>
      <c r="J28" s="705"/>
      <c r="K28" s="705"/>
      <c r="L28" s="705"/>
      <c r="M28" s="717"/>
      <c r="N28" s="708">
        <v>242</v>
      </c>
      <c r="O28" s="705">
        <v>531</v>
      </c>
      <c r="P28" s="705">
        <v>47</v>
      </c>
      <c r="Q28" s="705">
        <v>459</v>
      </c>
      <c r="R28" s="705">
        <v>487</v>
      </c>
      <c r="S28" s="705">
        <v>110</v>
      </c>
      <c r="T28" s="705">
        <v>260</v>
      </c>
      <c r="U28" s="705">
        <v>3</v>
      </c>
      <c r="V28" s="705">
        <v>79</v>
      </c>
      <c r="W28" s="705">
        <v>48</v>
      </c>
      <c r="X28" s="717">
        <v>128</v>
      </c>
      <c r="Y28" s="708">
        <v>691</v>
      </c>
      <c r="Z28" s="705">
        <v>612</v>
      </c>
      <c r="AA28" s="705">
        <v>745</v>
      </c>
      <c r="AB28" s="705">
        <v>699</v>
      </c>
      <c r="AC28" s="705">
        <v>724</v>
      </c>
      <c r="AD28" s="705">
        <v>1052</v>
      </c>
      <c r="AE28" s="705">
        <v>312</v>
      </c>
      <c r="AF28" s="705">
        <v>226</v>
      </c>
      <c r="AG28" s="705">
        <v>705</v>
      </c>
      <c r="AH28" s="705">
        <v>547</v>
      </c>
      <c r="AI28" s="717">
        <v>538</v>
      </c>
      <c r="AJ28" s="705">
        <f t="shared" si="30"/>
        <v>940</v>
      </c>
      <c r="AK28" s="705">
        <f t="shared" si="30"/>
        <v>1144</v>
      </c>
      <c r="AL28" s="705">
        <f t="shared" si="30"/>
        <v>796</v>
      </c>
      <c r="AM28" s="705">
        <f t="shared" si="30"/>
        <v>1158</v>
      </c>
      <c r="AN28" s="705">
        <f t="shared" si="26"/>
        <v>1211</v>
      </c>
      <c r="AO28" s="705">
        <f t="shared" si="27"/>
        <v>1162</v>
      </c>
      <c r="AP28" s="705">
        <f t="shared" si="28"/>
        <v>572</v>
      </c>
      <c r="AQ28" s="705">
        <f t="shared" si="29"/>
        <v>229</v>
      </c>
      <c r="AR28" s="705">
        <f t="shared" si="23"/>
        <v>784</v>
      </c>
      <c r="AS28" s="705">
        <f t="shared" si="24"/>
        <v>595</v>
      </c>
      <c r="AT28" s="717">
        <f t="shared" si="25"/>
        <v>666</v>
      </c>
      <c r="AU28" s="259">
        <f t="shared" si="8"/>
        <v>0.11932773109243699</v>
      </c>
      <c r="AV28" s="10" t="s">
        <v>61</v>
      </c>
    </row>
    <row r="29" spans="1:48" ht="12.75" customHeight="1" x14ac:dyDescent="0.2">
      <c r="A29" s="8"/>
      <c r="B29" s="197" t="s">
        <v>70</v>
      </c>
      <c r="C29" s="748">
        <v>19</v>
      </c>
      <c r="D29" s="586">
        <v>28</v>
      </c>
      <c r="E29" s="728">
        <v>22</v>
      </c>
      <c r="F29" s="728">
        <v>13</v>
      </c>
      <c r="G29" s="728">
        <v>12</v>
      </c>
      <c r="H29" s="728"/>
      <c r="I29" s="728">
        <v>10</v>
      </c>
      <c r="J29" s="728">
        <v>6</v>
      </c>
      <c r="K29" s="728">
        <v>4</v>
      </c>
      <c r="L29" s="728">
        <v>6</v>
      </c>
      <c r="M29" s="729">
        <v>2</v>
      </c>
      <c r="N29" s="730">
        <v>145</v>
      </c>
      <c r="O29" s="728">
        <v>124</v>
      </c>
      <c r="P29" s="728">
        <v>91</v>
      </c>
      <c r="Q29" s="728">
        <v>100</v>
      </c>
      <c r="R29" s="728">
        <v>155</v>
      </c>
      <c r="S29" s="728">
        <v>116</v>
      </c>
      <c r="T29" s="728">
        <v>119</v>
      </c>
      <c r="U29" s="728">
        <v>109</v>
      </c>
      <c r="V29" s="728">
        <v>118</v>
      </c>
      <c r="W29" s="728">
        <v>97</v>
      </c>
      <c r="X29" s="729">
        <v>119</v>
      </c>
      <c r="Y29" s="730">
        <v>765</v>
      </c>
      <c r="Z29" s="728">
        <v>506</v>
      </c>
      <c r="AA29" s="728">
        <v>714</v>
      </c>
      <c r="AB29" s="728">
        <v>657</v>
      </c>
      <c r="AC29" s="728">
        <v>783</v>
      </c>
      <c r="AD29" s="728">
        <v>528</v>
      </c>
      <c r="AE29" s="728">
        <v>580</v>
      </c>
      <c r="AF29" s="728">
        <v>487</v>
      </c>
      <c r="AG29" s="728">
        <v>610</v>
      </c>
      <c r="AH29" s="728">
        <v>610</v>
      </c>
      <c r="AI29" s="729">
        <v>779</v>
      </c>
      <c r="AJ29" s="728">
        <f t="shared" si="30"/>
        <v>929</v>
      </c>
      <c r="AK29" s="728">
        <f t="shared" si="30"/>
        <v>658</v>
      </c>
      <c r="AL29" s="728">
        <f t="shared" si="30"/>
        <v>827</v>
      </c>
      <c r="AM29" s="728">
        <f t="shared" si="30"/>
        <v>770</v>
      </c>
      <c r="AN29" s="728">
        <f t="shared" si="26"/>
        <v>950</v>
      </c>
      <c r="AO29" s="728">
        <f t="shared" si="27"/>
        <v>644</v>
      </c>
      <c r="AP29" s="728">
        <f t="shared" si="28"/>
        <v>709</v>
      </c>
      <c r="AQ29" s="728">
        <f t="shared" si="29"/>
        <v>602</v>
      </c>
      <c r="AR29" s="728">
        <f t="shared" si="23"/>
        <v>732</v>
      </c>
      <c r="AS29" s="728">
        <f t="shared" si="24"/>
        <v>713</v>
      </c>
      <c r="AT29" s="729">
        <f t="shared" si="25"/>
        <v>900</v>
      </c>
      <c r="AU29" s="267">
        <f t="shared" si="8"/>
        <v>0.2622720897615709</v>
      </c>
      <c r="AV29" s="197" t="s">
        <v>70</v>
      </c>
    </row>
    <row r="30" spans="1:48" ht="12.75" customHeight="1" x14ac:dyDescent="0.2">
      <c r="A30" s="8"/>
      <c r="B30" s="10" t="s">
        <v>54</v>
      </c>
      <c r="C30" s="744">
        <v>1841</v>
      </c>
      <c r="D30" s="585">
        <v>1505</v>
      </c>
      <c r="E30" s="705">
        <v>1501</v>
      </c>
      <c r="F30" s="705">
        <v>2352</v>
      </c>
      <c r="G30" s="705">
        <v>2891</v>
      </c>
      <c r="H30" s="705">
        <v>1817</v>
      </c>
      <c r="I30" s="705">
        <v>1877</v>
      </c>
      <c r="J30" s="705">
        <v>1555</v>
      </c>
      <c r="K30" s="705">
        <v>1713</v>
      </c>
      <c r="L30" s="705">
        <v>2633</v>
      </c>
      <c r="M30" s="717">
        <v>3002</v>
      </c>
      <c r="N30" s="708"/>
      <c r="O30" s="705"/>
      <c r="P30" s="705"/>
      <c r="Q30" s="705">
        <v>0</v>
      </c>
      <c r="R30" s="705">
        <v>0</v>
      </c>
      <c r="S30" s="705">
        <v>2</v>
      </c>
      <c r="T30" s="705">
        <v>21</v>
      </c>
      <c r="U30" s="705">
        <v>0</v>
      </c>
      <c r="V30" s="705">
        <v>352</v>
      </c>
      <c r="W30" s="705">
        <v>435</v>
      </c>
      <c r="X30" s="717">
        <v>534</v>
      </c>
      <c r="Y30" s="708"/>
      <c r="Z30" s="705"/>
      <c r="AA30" s="705"/>
      <c r="AB30" s="705"/>
      <c r="AC30" s="705"/>
      <c r="AD30" s="705"/>
      <c r="AE30" s="705"/>
      <c r="AF30" s="705"/>
      <c r="AG30" s="705"/>
      <c r="AH30" s="705"/>
      <c r="AI30" s="717"/>
      <c r="AJ30" s="705">
        <f t="shared" si="30"/>
        <v>1841</v>
      </c>
      <c r="AK30" s="705">
        <f t="shared" si="30"/>
        <v>1505</v>
      </c>
      <c r="AL30" s="705">
        <f t="shared" si="30"/>
        <v>1501</v>
      </c>
      <c r="AM30" s="705">
        <f t="shared" si="30"/>
        <v>2352</v>
      </c>
      <c r="AN30" s="705">
        <f t="shared" si="26"/>
        <v>2891</v>
      </c>
      <c r="AO30" s="705">
        <f t="shared" si="27"/>
        <v>1819</v>
      </c>
      <c r="AP30" s="705">
        <f t="shared" si="28"/>
        <v>1898</v>
      </c>
      <c r="AQ30" s="705">
        <f t="shared" si="29"/>
        <v>1555</v>
      </c>
      <c r="AR30" s="705">
        <f t="shared" si="23"/>
        <v>2065</v>
      </c>
      <c r="AS30" s="705">
        <f t="shared" si="24"/>
        <v>3068</v>
      </c>
      <c r="AT30" s="717">
        <f t="shared" si="25"/>
        <v>3536</v>
      </c>
      <c r="AU30" s="259">
        <f t="shared" si="8"/>
        <v>0.15254237288135597</v>
      </c>
      <c r="AV30" s="10" t="s">
        <v>54</v>
      </c>
    </row>
    <row r="31" spans="1:48" ht="12.75" customHeight="1" x14ac:dyDescent="0.2">
      <c r="A31" s="8"/>
      <c r="B31" s="197" t="s">
        <v>71</v>
      </c>
      <c r="C31" s="748">
        <v>393</v>
      </c>
      <c r="D31" s="586">
        <v>298</v>
      </c>
      <c r="E31" s="728">
        <v>140</v>
      </c>
      <c r="F31" s="728"/>
      <c r="G31" s="728"/>
      <c r="H31" s="728"/>
      <c r="I31" s="728"/>
      <c r="J31" s="728"/>
      <c r="K31" s="728"/>
      <c r="L31" s="728">
        <v>2</v>
      </c>
      <c r="M31" s="729">
        <v>5</v>
      </c>
      <c r="N31" s="730">
        <v>331</v>
      </c>
      <c r="O31" s="728">
        <v>323</v>
      </c>
      <c r="P31" s="728">
        <v>312</v>
      </c>
      <c r="Q31" s="728">
        <v>407</v>
      </c>
      <c r="R31" s="728">
        <v>438</v>
      </c>
      <c r="S31" s="728">
        <v>311</v>
      </c>
      <c r="T31" s="728">
        <v>238</v>
      </c>
      <c r="U31" s="728">
        <v>151</v>
      </c>
      <c r="V31" s="728">
        <v>94</v>
      </c>
      <c r="W31" s="728">
        <v>51</v>
      </c>
      <c r="X31" s="729">
        <v>97</v>
      </c>
      <c r="Y31" s="730">
        <v>310</v>
      </c>
      <c r="Z31" s="728">
        <v>405</v>
      </c>
      <c r="AA31" s="728">
        <v>267</v>
      </c>
      <c r="AB31" s="728">
        <v>320</v>
      </c>
      <c r="AC31" s="728">
        <v>358</v>
      </c>
      <c r="AD31" s="728">
        <v>318</v>
      </c>
      <c r="AE31" s="728">
        <v>254</v>
      </c>
      <c r="AF31" s="728">
        <v>187</v>
      </c>
      <c r="AG31" s="728">
        <v>133</v>
      </c>
      <c r="AH31" s="728">
        <v>119</v>
      </c>
      <c r="AI31" s="729">
        <v>135</v>
      </c>
      <c r="AJ31" s="728">
        <f t="shared" si="30"/>
        <v>1034</v>
      </c>
      <c r="AK31" s="728">
        <f t="shared" si="30"/>
        <v>1026</v>
      </c>
      <c r="AL31" s="728">
        <f t="shared" si="30"/>
        <v>719</v>
      </c>
      <c r="AM31" s="728">
        <f t="shared" si="30"/>
        <v>727</v>
      </c>
      <c r="AN31" s="728">
        <f t="shared" si="26"/>
        <v>796</v>
      </c>
      <c r="AO31" s="728">
        <f t="shared" si="27"/>
        <v>629</v>
      </c>
      <c r="AP31" s="728">
        <f t="shared" si="28"/>
        <v>492</v>
      </c>
      <c r="AQ31" s="728">
        <f t="shared" si="29"/>
        <v>338</v>
      </c>
      <c r="AR31" s="728">
        <f t="shared" si="23"/>
        <v>227</v>
      </c>
      <c r="AS31" s="728">
        <f t="shared" si="24"/>
        <v>172</v>
      </c>
      <c r="AT31" s="729">
        <f t="shared" si="25"/>
        <v>237</v>
      </c>
      <c r="AU31" s="267">
        <f t="shared" si="8"/>
        <v>0.37790697674418605</v>
      </c>
      <c r="AV31" s="197" t="s">
        <v>71</v>
      </c>
    </row>
    <row r="32" spans="1:48" ht="12.75" customHeight="1" x14ac:dyDescent="0.2">
      <c r="A32" s="8"/>
      <c r="B32" s="10" t="s">
        <v>55</v>
      </c>
      <c r="C32" s="744"/>
      <c r="D32" s="585"/>
      <c r="E32" s="705">
        <v>1161</v>
      </c>
      <c r="F32" s="705">
        <v>1790</v>
      </c>
      <c r="G32" s="705">
        <v>2686</v>
      </c>
      <c r="H32" s="705">
        <v>877</v>
      </c>
      <c r="I32" s="705">
        <v>717</v>
      </c>
      <c r="J32" s="705">
        <v>688</v>
      </c>
      <c r="K32" s="705">
        <v>618</v>
      </c>
      <c r="L32" s="705">
        <v>634</v>
      </c>
      <c r="M32" s="717">
        <v>480</v>
      </c>
      <c r="N32" s="708"/>
      <c r="O32" s="705"/>
      <c r="P32" s="705">
        <v>519</v>
      </c>
      <c r="Q32" s="705">
        <v>674</v>
      </c>
      <c r="R32" s="705">
        <v>522</v>
      </c>
      <c r="S32" s="705">
        <v>8</v>
      </c>
      <c r="T32" s="705">
        <v>8</v>
      </c>
      <c r="U32" s="705">
        <v>46</v>
      </c>
      <c r="V32" s="705">
        <v>109</v>
      </c>
      <c r="W32" s="705">
        <v>474</v>
      </c>
      <c r="X32" s="717">
        <v>630</v>
      </c>
      <c r="Y32" s="708"/>
      <c r="Z32" s="705"/>
      <c r="AA32" s="705">
        <v>828</v>
      </c>
      <c r="AB32" s="705">
        <v>525</v>
      </c>
      <c r="AC32" s="705">
        <v>968</v>
      </c>
      <c r="AD32" s="705">
        <v>204</v>
      </c>
      <c r="AE32" s="705">
        <v>97</v>
      </c>
      <c r="AF32" s="705">
        <v>48</v>
      </c>
      <c r="AG32" s="705">
        <v>14</v>
      </c>
      <c r="AH32" s="705">
        <v>30</v>
      </c>
      <c r="AI32" s="717">
        <v>53</v>
      </c>
      <c r="AJ32" s="705"/>
      <c r="AK32" s="705"/>
      <c r="AL32" s="705">
        <f t="shared" ref="AL32:AL40" si="31">E32+P32+AA32</f>
        <v>2508</v>
      </c>
      <c r="AM32" s="705">
        <f t="shared" ref="AM32:AM40" si="32">F32+Q32+AB32</f>
        <v>2989</v>
      </c>
      <c r="AN32" s="705">
        <f t="shared" si="26"/>
        <v>4176</v>
      </c>
      <c r="AO32" s="705">
        <f t="shared" si="27"/>
        <v>1089</v>
      </c>
      <c r="AP32" s="705">
        <f t="shared" si="28"/>
        <v>822</v>
      </c>
      <c r="AQ32" s="705">
        <f t="shared" si="29"/>
        <v>782</v>
      </c>
      <c r="AR32" s="705">
        <f t="shared" si="23"/>
        <v>741</v>
      </c>
      <c r="AS32" s="705">
        <f t="shared" si="24"/>
        <v>1138</v>
      </c>
      <c r="AT32" s="717">
        <f t="shared" si="25"/>
        <v>1163</v>
      </c>
      <c r="AU32" s="259">
        <f t="shared" si="8"/>
        <v>2.1968365553602709E-2</v>
      </c>
      <c r="AV32" s="10" t="s">
        <v>55</v>
      </c>
    </row>
    <row r="33" spans="1:48" ht="12.75" customHeight="1" x14ac:dyDescent="0.2">
      <c r="A33" s="8"/>
      <c r="B33" s="197" t="s">
        <v>57</v>
      </c>
      <c r="C33" s="748">
        <v>12</v>
      </c>
      <c r="D33" s="586">
        <v>16</v>
      </c>
      <c r="E33" s="728">
        <v>16</v>
      </c>
      <c r="F33" s="728">
        <v>9</v>
      </c>
      <c r="G33" s="728">
        <v>8</v>
      </c>
      <c r="H33" s="728">
        <v>9</v>
      </c>
      <c r="I33" s="728">
        <v>1</v>
      </c>
      <c r="J33" s="728">
        <v>0</v>
      </c>
      <c r="K33" s="728">
        <v>2</v>
      </c>
      <c r="L33" s="728"/>
      <c r="M33" s="729">
        <v>2</v>
      </c>
      <c r="N33" s="730">
        <v>29</v>
      </c>
      <c r="O33" s="728">
        <v>21</v>
      </c>
      <c r="P33" s="728">
        <v>24</v>
      </c>
      <c r="Q33" s="728">
        <v>41</v>
      </c>
      <c r="R33" s="728">
        <v>59</v>
      </c>
      <c r="S33" s="728">
        <v>51</v>
      </c>
      <c r="T33" s="728">
        <v>46</v>
      </c>
      <c r="U33" s="728">
        <v>45</v>
      </c>
      <c r="V33" s="728">
        <v>59</v>
      </c>
      <c r="W33" s="728">
        <v>46</v>
      </c>
      <c r="X33" s="729">
        <v>65</v>
      </c>
      <c r="Y33" s="730">
        <v>88</v>
      </c>
      <c r="Z33" s="728">
        <v>77</v>
      </c>
      <c r="AA33" s="728">
        <v>108</v>
      </c>
      <c r="AB33" s="728">
        <v>99</v>
      </c>
      <c r="AC33" s="728">
        <v>131</v>
      </c>
      <c r="AD33" s="728">
        <v>75</v>
      </c>
      <c r="AE33" s="728">
        <v>96</v>
      </c>
      <c r="AF33" s="728">
        <v>78</v>
      </c>
      <c r="AG33" s="728">
        <v>33</v>
      </c>
      <c r="AH33" s="728">
        <v>108</v>
      </c>
      <c r="AI33" s="729">
        <v>103</v>
      </c>
      <c r="AJ33" s="728">
        <f t="shared" ref="AJ33:AK40" si="33">C33+N33+Y33</f>
        <v>129</v>
      </c>
      <c r="AK33" s="728">
        <f t="shared" si="33"/>
        <v>114</v>
      </c>
      <c r="AL33" s="728">
        <f t="shared" si="31"/>
        <v>148</v>
      </c>
      <c r="AM33" s="728">
        <f t="shared" si="32"/>
        <v>149</v>
      </c>
      <c r="AN33" s="728">
        <f t="shared" si="26"/>
        <v>198</v>
      </c>
      <c r="AO33" s="728">
        <f t="shared" si="27"/>
        <v>135</v>
      </c>
      <c r="AP33" s="728">
        <f t="shared" si="28"/>
        <v>143</v>
      </c>
      <c r="AQ33" s="728">
        <f t="shared" si="29"/>
        <v>123</v>
      </c>
      <c r="AR33" s="728">
        <f t="shared" si="23"/>
        <v>94</v>
      </c>
      <c r="AS33" s="728">
        <f t="shared" si="24"/>
        <v>154</v>
      </c>
      <c r="AT33" s="729">
        <f t="shared" si="25"/>
        <v>170</v>
      </c>
      <c r="AU33" s="267">
        <f t="shared" si="8"/>
        <v>0.10389610389610393</v>
      </c>
      <c r="AV33" s="197" t="s">
        <v>57</v>
      </c>
    </row>
    <row r="34" spans="1:48" ht="12.75" customHeight="1" x14ac:dyDescent="0.2">
      <c r="A34" s="8"/>
      <c r="B34" s="10" t="s">
        <v>56</v>
      </c>
      <c r="C34" s="744">
        <v>0</v>
      </c>
      <c r="D34" s="585">
        <v>2</v>
      </c>
      <c r="E34" s="705">
        <v>2</v>
      </c>
      <c r="F34" s="705"/>
      <c r="G34" s="705">
        <v>5</v>
      </c>
      <c r="H34" s="705">
        <v>7</v>
      </c>
      <c r="I34" s="705">
        <v>0</v>
      </c>
      <c r="J34" s="705">
        <v>0</v>
      </c>
      <c r="K34" s="705"/>
      <c r="L34" s="705"/>
      <c r="M34" s="717"/>
      <c r="N34" s="708">
        <v>70</v>
      </c>
      <c r="O34" s="705">
        <v>133</v>
      </c>
      <c r="P34" s="705">
        <v>199</v>
      </c>
      <c r="Q34" s="705">
        <v>145</v>
      </c>
      <c r="R34" s="705">
        <v>246</v>
      </c>
      <c r="S34" s="705">
        <v>225</v>
      </c>
      <c r="T34" s="705">
        <v>105</v>
      </c>
      <c r="U34" s="705">
        <v>69</v>
      </c>
      <c r="V34" s="705">
        <v>99</v>
      </c>
      <c r="W34" s="705">
        <v>82</v>
      </c>
      <c r="X34" s="717">
        <v>89</v>
      </c>
      <c r="Y34" s="708">
        <v>186</v>
      </c>
      <c r="Z34" s="705">
        <v>142</v>
      </c>
      <c r="AA34" s="705">
        <v>319</v>
      </c>
      <c r="AB34" s="705">
        <v>188</v>
      </c>
      <c r="AC34" s="705">
        <v>345</v>
      </c>
      <c r="AD34" s="705">
        <v>442</v>
      </c>
      <c r="AE34" s="705">
        <v>323</v>
      </c>
      <c r="AF34" s="705">
        <v>235</v>
      </c>
      <c r="AG34" s="705">
        <v>180</v>
      </c>
      <c r="AH34" s="705">
        <v>184</v>
      </c>
      <c r="AI34" s="717">
        <v>358</v>
      </c>
      <c r="AJ34" s="705">
        <f t="shared" si="33"/>
        <v>256</v>
      </c>
      <c r="AK34" s="705">
        <f t="shared" si="33"/>
        <v>277</v>
      </c>
      <c r="AL34" s="705">
        <f t="shared" si="31"/>
        <v>520</v>
      </c>
      <c r="AM34" s="705">
        <f t="shared" si="32"/>
        <v>333</v>
      </c>
      <c r="AN34" s="705">
        <f t="shared" si="26"/>
        <v>596</v>
      </c>
      <c r="AO34" s="705">
        <f t="shared" si="27"/>
        <v>674</v>
      </c>
      <c r="AP34" s="705">
        <f t="shared" si="28"/>
        <v>428</v>
      </c>
      <c r="AQ34" s="705">
        <f t="shared" si="29"/>
        <v>304</v>
      </c>
      <c r="AR34" s="705">
        <f t="shared" si="23"/>
        <v>279</v>
      </c>
      <c r="AS34" s="705">
        <f t="shared" si="24"/>
        <v>266</v>
      </c>
      <c r="AT34" s="717">
        <f t="shared" si="25"/>
        <v>447</v>
      </c>
      <c r="AU34" s="259">
        <f t="shared" si="8"/>
        <v>0.68045112781954886</v>
      </c>
      <c r="AV34" s="10" t="s">
        <v>56</v>
      </c>
    </row>
    <row r="35" spans="1:48" ht="12.75" customHeight="1" x14ac:dyDescent="0.2">
      <c r="A35" s="8"/>
      <c r="B35" s="197" t="s">
        <v>72</v>
      </c>
      <c r="C35" s="748">
        <v>98</v>
      </c>
      <c r="D35" s="586">
        <v>81</v>
      </c>
      <c r="E35" s="728">
        <v>89</v>
      </c>
      <c r="F35" s="728">
        <v>86</v>
      </c>
      <c r="G35" s="728">
        <v>72</v>
      </c>
      <c r="H35" s="728">
        <v>21</v>
      </c>
      <c r="I35" s="728">
        <v>16</v>
      </c>
      <c r="J35" s="728">
        <v>14</v>
      </c>
      <c r="K35" s="728">
        <v>17</v>
      </c>
      <c r="L35" s="728">
        <v>4</v>
      </c>
      <c r="M35" s="729">
        <v>5</v>
      </c>
      <c r="N35" s="730">
        <v>155</v>
      </c>
      <c r="O35" s="728">
        <v>125</v>
      </c>
      <c r="P35" s="728">
        <v>127</v>
      </c>
      <c r="Q35" s="728">
        <v>163</v>
      </c>
      <c r="R35" s="728">
        <v>261</v>
      </c>
      <c r="S35" s="728">
        <v>302</v>
      </c>
      <c r="T35" s="728">
        <v>247</v>
      </c>
      <c r="U35" s="728">
        <v>196</v>
      </c>
      <c r="V35" s="728">
        <v>258</v>
      </c>
      <c r="W35" s="728">
        <v>211</v>
      </c>
      <c r="X35" s="729">
        <v>395</v>
      </c>
      <c r="Y35" s="730">
        <v>256</v>
      </c>
      <c r="Z35" s="728">
        <v>207</v>
      </c>
      <c r="AA35" s="728">
        <v>222</v>
      </c>
      <c r="AB35" s="728">
        <v>247</v>
      </c>
      <c r="AC35" s="728">
        <v>270</v>
      </c>
      <c r="AD35" s="728">
        <v>266</v>
      </c>
      <c r="AE35" s="728">
        <v>256</v>
      </c>
      <c r="AF35" s="728">
        <v>191</v>
      </c>
      <c r="AG35" s="728">
        <v>264</v>
      </c>
      <c r="AH35" s="728">
        <v>172</v>
      </c>
      <c r="AI35" s="729">
        <v>291</v>
      </c>
      <c r="AJ35" s="728">
        <f t="shared" si="33"/>
        <v>509</v>
      </c>
      <c r="AK35" s="728">
        <f t="shared" si="33"/>
        <v>413</v>
      </c>
      <c r="AL35" s="728">
        <f t="shared" si="31"/>
        <v>438</v>
      </c>
      <c r="AM35" s="728">
        <f t="shared" si="32"/>
        <v>496</v>
      </c>
      <c r="AN35" s="728">
        <f t="shared" si="26"/>
        <v>603</v>
      </c>
      <c r="AO35" s="728">
        <f t="shared" si="27"/>
        <v>589</v>
      </c>
      <c r="AP35" s="728">
        <f t="shared" si="28"/>
        <v>519</v>
      </c>
      <c r="AQ35" s="728">
        <f t="shared" si="29"/>
        <v>401</v>
      </c>
      <c r="AR35" s="728">
        <f t="shared" si="23"/>
        <v>539</v>
      </c>
      <c r="AS35" s="728">
        <f t="shared" si="24"/>
        <v>387</v>
      </c>
      <c r="AT35" s="729">
        <f t="shared" si="25"/>
        <v>691</v>
      </c>
      <c r="AU35" s="267">
        <f t="shared" si="8"/>
        <v>0.78552971576227382</v>
      </c>
      <c r="AV35" s="197" t="s">
        <v>72</v>
      </c>
    </row>
    <row r="36" spans="1:48" ht="12.75" customHeight="1" x14ac:dyDescent="0.2">
      <c r="A36" s="8"/>
      <c r="B36" s="10" t="s">
        <v>73</v>
      </c>
      <c r="C36" s="744">
        <v>134</v>
      </c>
      <c r="D36" s="585">
        <v>30</v>
      </c>
      <c r="E36" s="705">
        <v>84</v>
      </c>
      <c r="F36" s="705">
        <v>90</v>
      </c>
      <c r="G36" s="705">
        <v>134</v>
      </c>
      <c r="H36" s="705">
        <v>134</v>
      </c>
      <c r="I36" s="705">
        <v>235</v>
      </c>
      <c r="J36" s="705">
        <v>161</v>
      </c>
      <c r="K36" s="705">
        <v>135</v>
      </c>
      <c r="L36" s="705">
        <v>71</v>
      </c>
      <c r="M36" s="717"/>
      <c r="N36" s="708">
        <v>338</v>
      </c>
      <c r="O36" s="705">
        <v>290</v>
      </c>
      <c r="P36" s="705">
        <v>330</v>
      </c>
      <c r="Q36" s="705">
        <v>205</v>
      </c>
      <c r="R36" s="705">
        <v>396</v>
      </c>
      <c r="S36" s="705">
        <v>260</v>
      </c>
      <c r="T36" s="705">
        <v>317</v>
      </c>
      <c r="U36" s="705">
        <v>200</v>
      </c>
      <c r="V36" s="705">
        <v>363</v>
      </c>
      <c r="W36" s="705">
        <v>304</v>
      </c>
      <c r="X36" s="717">
        <v>275</v>
      </c>
      <c r="Y36" s="708">
        <v>661</v>
      </c>
      <c r="Z36" s="705">
        <v>852</v>
      </c>
      <c r="AA36" s="705">
        <v>934</v>
      </c>
      <c r="AB36" s="705">
        <v>696</v>
      </c>
      <c r="AC36" s="705">
        <v>680</v>
      </c>
      <c r="AD36" s="705">
        <v>782</v>
      </c>
      <c r="AE36" s="705">
        <v>1105</v>
      </c>
      <c r="AF36" s="705">
        <v>1269</v>
      </c>
      <c r="AG36" s="705">
        <v>1020</v>
      </c>
      <c r="AH36" s="705">
        <v>1007</v>
      </c>
      <c r="AI36" s="717">
        <v>1060</v>
      </c>
      <c r="AJ36" s="705">
        <f t="shared" si="33"/>
        <v>1133</v>
      </c>
      <c r="AK36" s="705">
        <f t="shared" si="33"/>
        <v>1172</v>
      </c>
      <c r="AL36" s="705">
        <f t="shared" si="31"/>
        <v>1348</v>
      </c>
      <c r="AM36" s="705">
        <f t="shared" si="32"/>
        <v>991</v>
      </c>
      <c r="AN36" s="705">
        <f t="shared" si="26"/>
        <v>1210</v>
      </c>
      <c r="AO36" s="705">
        <f t="shared" si="27"/>
        <v>1176</v>
      </c>
      <c r="AP36" s="705">
        <f t="shared" si="28"/>
        <v>1657</v>
      </c>
      <c r="AQ36" s="705">
        <f t="shared" si="29"/>
        <v>1630</v>
      </c>
      <c r="AR36" s="705">
        <f t="shared" si="23"/>
        <v>1518</v>
      </c>
      <c r="AS36" s="705">
        <f t="shared" si="24"/>
        <v>1382</v>
      </c>
      <c r="AT36" s="717">
        <f t="shared" si="25"/>
        <v>1335</v>
      </c>
      <c r="AU36" s="259">
        <f t="shared" si="8"/>
        <v>-3.4008683068017409E-2</v>
      </c>
      <c r="AV36" s="10" t="s">
        <v>73</v>
      </c>
    </row>
    <row r="37" spans="1:48" ht="12.75" customHeight="1" x14ac:dyDescent="0.2">
      <c r="A37" s="8"/>
      <c r="B37" s="199" t="s">
        <v>62</v>
      </c>
      <c r="C37" s="749">
        <v>9000</v>
      </c>
      <c r="D37" s="596">
        <v>7853</v>
      </c>
      <c r="E37" s="735">
        <v>7353</v>
      </c>
      <c r="F37" s="735">
        <v>7530</v>
      </c>
      <c r="G37" s="735">
        <v>4383</v>
      </c>
      <c r="H37" s="735">
        <v>3160</v>
      </c>
      <c r="I37" s="735">
        <v>3169</v>
      </c>
      <c r="J37" s="735">
        <v>2365</v>
      </c>
      <c r="K37" s="735">
        <v>2495</v>
      </c>
      <c r="L37" s="735">
        <v>2286</v>
      </c>
      <c r="M37" s="736">
        <v>2440</v>
      </c>
      <c r="N37" s="737">
        <v>3183</v>
      </c>
      <c r="O37" s="735">
        <v>4487</v>
      </c>
      <c r="P37" s="735">
        <v>4333</v>
      </c>
      <c r="Q37" s="735">
        <v>5558</v>
      </c>
      <c r="R37" s="735">
        <v>5346</v>
      </c>
      <c r="S37" s="735">
        <v>4447</v>
      </c>
      <c r="T37" s="735">
        <v>4326</v>
      </c>
      <c r="U37" s="735">
        <v>3008</v>
      </c>
      <c r="V37" s="735">
        <v>4580</v>
      </c>
      <c r="W37" s="735">
        <v>4564</v>
      </c>
      <c r="X37" s="736">
        <v>4065</v>
      </c>
      <c r="Y37" s="737">
        <v>2588</v>
      </c>
      <c r="Z37" s="735">
        <v>2630</v>
      </c>
      <c r="AA37" s="735">
        <v>2611</v>
      </c>
      <c r="AB37" s="735">
        <v>2339</v>
      </c>
      <c r="AC37" s="735">
        <v>2867</v>
      </c>
      <c r="AD37" s="735">
        <v>2800</v>
      </c>
      <c r="AE37" s="735">
        <v>1954</v>
      </c>
      <c r="AF37" s="735">
        <v>2200</v>
      </c>
      <c r="AG37" s="735">
        <v>2525</v>
      </c>
      <c r="AH37" s="735">
        <v>2130</v>
      </c>
      <c r="AI37" s="729">
        <v>2138</v>
      </c>
      <c r="AJ37" s="728">
        <f t="shared" si="33"/>
        <v>14771</v>
      </c>
      <c r="AK37" s="728">
        <f t="shared" si="33"/>
        <v>14970</v>
      </c>
      <c r="AL37" s="728">
        <f t="shared" si="31"/>
        <v>14297</v>
      </c>
      <c r="AM37" s="728">
        <f t="shared" si="32"/>
        <v>15427</v>
      </c>
      <c r="AN37" s="735">
        <f t="shared" si="26"/>
        <v>12596</v>
      </c>
      <c r="AO37" s="735">
        <f t="shared" si="27"/>
        <v>10407</v>
      </c>
      <c r="AP37" s="735">
        <f t="shared" si="28"/>
        <v>9449</v>
      </c>
      <c r="AQ37" s="735">
        <f t="shared" si="29"/>
        <v>7573</v>
      </c>
      <c r="AR37" s="735">
        <f t="shared" si="23"/>
        <v>9600</v>
      </c>
      <c r="AS37" s="735">
        <f t="shared" si="24"/>
        <v>8980</v>
      </c>
      <c r="AT37" s="736">
        <f t="shared" si="25"/>
        <v>8643</v>
      </c>
      <c r="AU37" s="492">
        <f t="shared" si="8"/>
        <v>-3.7527839643652583E-2</v>
      </c>
      <c r="AV37" s="199" t="s">
        <v>62</v>
      </c>
    </row>
    <row r="38" spans="1:48" ht="12.75" customHeight="1" x14ac:dyDescent="0.2">
      <c r="A38" s="8"/>
      <c r="B38" s="10" t="s">
        <v>44</v>
      </c>
      <c r="C38" s="750">
        <v>38</v>
      </c>
      <c r="D38" s="751">
        <v>54</v>
      </c>
      <c r="E38" s="705">
        <v>30</v>
      </c>
      <c r="F38" s="705">
        <v>23</v>
      </c>
      <c r="G38" s="705">
        <v>26</v>
      </c>
      <c r="H38" s="705">
        <v>6</v>
      </c>
      <c r="I38" s="705">
        <v>10</v>
      </c>
      <c r="J38" s="705">
        <v>22</v>
      </c>
      <c r="K38" s="705">
        <v>36</v>
      </c>
      <c r="L38" s="705">
        <v>20</v>
      </c>
      <c r="M38" s="717">
        <v>39</v>
      </c>
      <c r="N38" s="708">
        <v>11</v>
      </c>
      <c r="O38" s="705">
        <v>17</v>
      </c>
      <c r="P38" s="705">
        <v>12</v>
      </c>
      <c r="Q38" s="705">
        <v>12</v>
      </c>
      <c r="R38" s="705">
        <v>11</v>
      </c>
      <c r="S38" s="705">
        <v>2</v>
      </c>
      <c r="T38" s="705">
        <v>7</v>
      </c>
      <c r="U38" s="705">
        <v>8</v>
      </c>
      <c r="V38" s="705">
        <v>4</v>
      </c>
      <c r="W38" s="705">
        <v>19</v>
      </c>
      <c r="X38" s="717">
        <v>10</v>
      </c>
      <c r="Y38" s="708">
        <v>7</v>
      </c>
      <c r="Z38" s="705">
        <v>35</v>
      </c>
      <c r="AA38" s="705">
        <v>14</v>
      </c>
      <c r="AB38" s="705">
        <v>11</v>
      </c>
      <c r="AC38" s="705">
        <v>7</v>
      </c>
      <c r="AD38" s="705">
        <v>0</v>
      </c>
      <c r="AE38" s="705">
        <v>11</v>
      </c>
      <c r="AF38" s="705">
        <v>4</v>
      </c>
      <c r="AG38" s="705">
        <v>28</v>
      </c>
      <c r="AH38" s="705">
        <v>35</v>
      </c>
      <c r="AI38" s="707">
        <v>20</v>
      </c>
      <c r="AJ38" s="706">
        <f t="shared" si="33"/>
        <v>56</v>
      </c>
      <c r="AK38" s="706">
        <f t="shared" si="33"/>
        <v>106</v>
      </c>
      <c r="AL38" s="706">
        <f t="shared" si="31"/>
        <v>56</v>
      </c>
      <c r="AM38" s="706">
        <f t="shared" si="32"/>
        <v>46</v>
      </c>
      <c r="AN38" s="705">
        <f t="shared" si="26"/>
        <v>44</v>
      </c>
      <c r="AO38" s="705">
        <f t="shared" si="27"/>
        <v>8</v>
      </c>
      <c r="AP38" s="705">
        <f t="shared" si="28"/>
        <v>28</v>
      </c>
      <c r="AQ38" s="705">
        <f t="shared" si="29"/>
        <v>34</v>
      </c>
      <c r="AR38" s="705">
        <f t="shared" si="23"/>
        <v>68</v>
      </c>
      <c r="AS38" s="705">
        <f t="shared" si="24"/>
        <v>74</v>
      </c>
      <c r="AT38" s="717">
        <f t="shared" si="25"/>
        <v>69</v>
      </c>
      <c r="AU38" s="257">
        <f t="shared" si="8"/>
        <v>-6.7567567567567544E-2</v>
      </c>
      <c r="AV38" s="10" t="s">
        <v>44</v>
      </c>
    </row>
    <row r="39" spans="1:48" ht="12.75" customHeight="1" x14ac:dyDescent="0.2">
      <c r="A39" s="8"/>
      <c r="B39" s="197" t="s">
        <v>74</v>
      </c>
      <c r="C39" s="752">
        <v>127</v>
      </c>
      <c r="D39" s="753">
        <v>138</v>
      </c>
      <c r="E39" s="728">
        <v>105</v>
      </c>
      <c r="F39" s="728">
        <v>55</v>
      </c>
      <c r="G39" s="728">
        <v>58</v>
      </c>
      <c r="H39" s="728">
        <v>55</v>
      </c>
      <c r="I39" s="728">
        <v>37</v>
      </c>
      <c r="J39" s="728">
        <v>6</v>
      </c>
      <c r="K39" s="728">
        <v>44</v>
      </c>
      <c r="L39" s="728">
        <v>36</v>
      </c>
      <c r="M39" s="729">
        <v>39</v>
      </c>
      <c r="N39" s="730">
        <v>308</v>
      </c>
      <c r="O39" s="728">
        <v>430</v>
      </c>
      <c r="P39" s="728">
        <v>315</v>
      </c>
      <c r="Q39" s="728">
        <v>462</v>
      </c>
      <c r="R39" s="728">
        <v>483</v>
      </c>
      <c r="S39" s="728">
        <v>396</v>
      </c>
      <c r="T39" s="728">
        <v>466</v>
      </c>
      <c r="U39" s="728">
        <v>401</v>
      </c>
      <c r="V39" s="728">
        <v>412</v>
      </c>
      <c r="W39" s="728">
        <v>438</v>
      </c>
      <c r="X39" s="729">
        <v>377</v>
      </c>
      <c r="Y39" s="730">
        <v>502</v>
      </c>
      <c r="Z39" s="728">
        <v>600</v>
      </c>
      <c r="AA39" s="728">
        <v>423</v>
      </c>
      <c r="AB39" s="728">
        <v>621</v>
      </c>
      <c r="AC39" s="728">
        <v>691</v>
      </c>
      <c r="AD39" s="728">
        <v>709</v>
      </c>
      <c r="AE39" s="728">
        <v>979</v>
      </c>
      <c r="AF39" s="728">
        <v>938</v>
      </c>
      <c r="AG39" s="728">
        <v>775</v>
      </c>
      <c r="AH39" s="728">
        <v>785</v>
      </c>
      <c r="AI39" s="729">
        <v>599</v>
      </c>
      <c r="AJ39" s="728">
        <f t="shared" si="33"/>
        <v>937</v>
      </c>
      <c r="AK39" s="728">
        <f t="shared" si="33"/>
        <v>1168</v>
      </c>
      <c r="AL39" s="728">
        <f t="shared" si="31"/>
        <v>843</v>
      </c>
      <c r="AM39" s="728">
        <f t="shared" si="32"/>
        <v>1138</v>
      </c>
      <c r="AN39" s="728">
        <f t="shared" si="26"/>
        <v>1232</v>
      </c>
      <c r="AO39" s="728">
        <f t="shared" si="27"/>
        <v>1160</v>
      </c>
      <c r="AP39" s="728">
        <f t="shared" si="28"/>
        <v>1482</v>
      </c>
      <c r="AQ39" s="728">
        <f t="shared" si="29"/>
        <v>1345</v>
      </c>
      <c r="AR39" s="728">
        <f t="shared" si="23"/>
        <v>1231</v>
      </c>
      <c r="AS39" s="728">
        <f t="shared" si="24"/>
        <v>1259</v>
      </c>
      <c r="AT39" s="729">
        <f t="shared" si="25"/>
        <v>1015</v>
      </c>
      <c r="AU39" s="267">
        <f t="shared" si="8"/>
        <v>-0.19380460683081813</v>
      </c>
      <c r="AV39" s="197" t="s">
        <v>74</v>
      </c>
    </row>
    <row r="40" spans="1:48" ht="12.75" customHeight="1" x14ac:dyDescent="0.2">
      <c r="A40" s="8"/>
      <c r="B40" s="11" t="s">
        <v>45</v>
      </c>
      <c r="C40" s="754">
        <v>777</v>
      </c>
      <c r="D40" s="755">
        <v>822</v>
      </c>
      <c r="E40" s="738">
        <v>521</v>
      </c>
      <c r="F40" s="738">
        <v>408</v>
      </c>
      <c r="G40" s="738">
        <v>470</v>
      </c>
      <c r="H40" s="738">
        <v>514</v>
      </c>
      <c r="I40" s="738">
        <v>453</v>
      </c>
      <c r="J40" s="738">
        <v>313</v>
      </c>
      <c r="K40" s="738">
        <v>468</v>
      </c>
      <c r="L40" s="738">
        <v>347</v>
      </c>
      <c r="M40" s="739">
        <v>174</v>
      </c>
      <c r="N40" s="740">
        <v>111</v>
      </c>
      <c r="O40" s="738">
        <v>99</v>
      </c>
      <c r="P40" s="738">
        <v>124</v>
      </c>
      <c r="Q40" s="738">
        <v>133</v>
      </c>
      <c r="R40" s="738">
        <v>154</v>
      </c>
      <c r="S40" s="738">
        <v>191</v>
      </c>
      <c r="T40" s="738">
        <v>115</v>
      </c>
      <c r="U40" s="738">
        <v>113</v>
      </c>
      <c r="V40" s="738">
        <v>123</v>
      </c>
      <c r="W40" s="738">
        <v>129</v>
      </c>
      <c r="X40" s="739">
        <v>122</v>
      </c>
      <c r="Y40" s="740">
        <v>487</v>
      </c>
      <c r="Z40" s="738">
        <v>402</v>
      </c>
      <c r="AA40" s="738">
        <v>431</v>
      </c>
      <c r="AB40" s="738">
        <v>397</v>
      </c>
      <c r="AC40" s="738">
        <v>727</v>
      </c>
      <c r="AD40" s="738">
        <v>418</v>
      </c>
      <c r="AE40" s="738">
        <v>372</v>
      </c>
      <c r="AF40" s="738">
        <v>511</v>
      </c>
      <c r="AG40" s="738">
        <v>347</v>
      </c>
      <c r="AH40" s="738">
        <v>452</v>
      </c>
      <c r="AI40" s="739">
        <v>456</v>
      </c>
      <c r="AJ40" s="738">
        <f t="shared" si="33"/>
        <v>1375</v>
      </c>
      <c r="AK40" s="738">
        <f t="shared" si="33"/>
        <v>1323</v>
      </c>
      <c r="AL40" s="738">
        <f t="shared" si="31"/>
        <v>1076</v>
      </c>
      <c r="AM40" s="738">
        <f t="shared" si="32"/>
        <v>938</v>
      </c>
      <c r="AN40" s="738">
        <f t="shared" si="26"/>
        <v>1351</v>
      </c>
      <c r="AO40" s="738">
        <f t="shared" si="27"/>
        <v>1123</v>
      </c>
      <c r="AP40" s="738">
        <f t="shared" si="28"/>
        <v>940</v>
      </c>
      <c r="AQ40" s="738">
        <f t="shared" si="29"/>
        <v>937</v>
      </c>
      <c r="AR40" s="738">
        <f t="shared" si="23"/>
        <v>938</v>
      </c>
      <c r="AS40" s="738">
        <f t="shared" si="24"/>
        <v>928</v>
      </c>
      <c r="AT40" s="739">
        <f t="shared" si="25"/>
        <v>752</v>
      </c>
      <c r="AU40" s="260">
        <f t="shared" si="8"/>
        <v>-0.18965517241379315</v>
      </c>
      <c r="AV40" s="11" t="s">
        <v>45</v>
      </c>
    </row>
    <row r="41" spans="1:48" ht="27.75" customHeight="1" x14ac:dyDescent="0.2">
      <c r="B41" s="986" t="s">
        <v>221</v>
      </c>
      <c r="C41" s="986"/>
      <c r="D41" s="986"/>
      <c r="E41" s="986"/>
      <c r="F41" s="986"/>
      <c r="G41" s="986"/>
      <c r="H41" s="986"/>
      <c r="I41" s="986"/>
      <c r="J41" s="986"/>
      <c r="K41" s="986"/>
      <c r="L41" s="986"/>
      <c r="M41" s="986"/>
      <c r="N41" s="986"/>
      <c r="O41" s="986"/>
      <c r="P41" s="986"/>
      <c r="Q41" s="986"/>
      <c r="R41" s="986"/>
      <c r="S41" s="986"/>
      <c r="T41" s="986"/>
      <c r="U41" s="986"/>
      <c r="V41" s="986"/>
      <c r="W41" s="986"/>
      <c r="X41" s="986"/>
      <c r="Y41" s="986"/>
      <c r="Z41" s="986"/>
      <c r="AA41" s="986"/>
      <c r="AB41" s="986"/>
      <c r="AC41" s="986"/>
      <c r="AD41" s="986"/>
      <c r="AE41" s="986"/>
      <c r="AF41" s="986"/>
      <c r="AG41" s="986"/>
      <c r="AH41" s="986"/>
      <c r="AI41" s="986"/>
      <c r="AJ41" s="986"/>
      <c r="AK41" s="986"/>
      <c r="AL41" s="986"/>
      <c r="AM41" s="986"/>
      <c r="AN41" s="986"/>
      <c r="AO41" s="986"/>
      <c r="AP41" s="986"/>
      <c r="AQ41" s="986"/>
      <c r="AR41" s="986"/>
      <c r="AS41" s="986"/>
      <c r="AT41" s="986"/>
      <c r="AU41" s="986"/>
      <c r="AV41" s="986"/>
    </row>
    <row r="42" spans="1:48" x14ac:dyDescent="0.2">
      <c r="B42" s="261" t="s">
        <v>82</v>
      </c>
    </row>
    <row r="43" spans="1:48" x14ac:dyDescent="0.2">
      <c r="B43" s="63" t="s">
        <v>140</v>
      </c>
    </row>
    <row r="44" spans="1:48" x14ac:dyDescent="0.2">
      <c r="N44" s="526"/>
      <c r="O44" s="526"/>
      <c r="P44" s="526"/>
      <c r="Q44" s="526"/>
      <c r="R44" s="526"/>
      <c r="S44" s="526"/>
      <c r="T44" s="526"/>
      <c r="U44" s="526"/>
      <c r="V44" s="526"/>
      <c r="W44" s="526"/>
      <c r="Y44" s="526"/>
      <c r="Z44" s="526"/>
      <c r="AA44" s="526"/>
      <c r="AB44" s="526"/>
      <c r="AC44" s="526"/>
      <c r="AD44" s="526"/>
      <c r="AE44" s="526"/>
      <c r="AF44" s="526"/>
      <c r="AG44" s="526"/>
      <c r="AH44" s="526"/>
      <c r="AJ44" s="526"/>
      <c r="AK44" s="526"/>
      <c r="AL44" s="526"/>
      <c r="AM44" s="526"/>
      <c r="AN44" s="526"/>
      <c r="AO44" s="526"/>
      <c r="AP44" s="526"/>
    </row>
    <row r="45" spans="1:48" x14ac:dyDescent="0.2">
      <c r="N45" s="526"/>
      <c r="O45" s="526"/>
      <c r="P45" s="526"/>
      <c r="Q45" s="526"/>
      <c r="R45" s="526"/>
      <c r="S45" s="526"/>
      <c r="T45" s="526"/>
      <c r="U45" s="526"/>
      <c r="V45" s="526"/>
      <c r="W45" s="526"/>
      <c r="Y45" s="526"/>
      <c r="Z45" s="526"/>
      <c r="AA45" s="526"/>
      <c r="AB45" s="526"/>
      <c r="AC45" s="526"/>
      <c r="AD45" s="526"/>
      <c r="AE45" s="526"/>
      <c r="AF45" s="526"/>
      <c r="AG45" s="526"/>
      <c r="AH45" s="526"/>
      <c r="AJ45" s="526"/>
      <c r="AK45" s="526"/>
      <c r="AL45" s="526"/>
      <c r="AM45" s="526"/>
      <c r="AN45" s="526"/>
      <c r="AO45" s="526"/>
      <c r="AP45" s="526"/>
    </row>
    <row r="46" spans="1:48" x14ac:dyDescent="0.2">
      <c r="N46" s="526"/>
      <c r="O46" s="526"/>
      <c r="P46" s="526"/>
      <c r="Q46" s="526"/>
      <c r="R46" s="526"/>
      <c r="S46" s="526"/>
      <c r="T46" s="526"/>
      <c r="U46" s="526"/>
      <c r="V46" s="526"/>
      <c r="W46" s="526"/>
      <c r="Y46" s="526"/>
      <c r="Z46" s="526"/>
      <c r="AA46" s="526"/>
      <c r="AB46" s="526"/>
      <c r="AC46" s="526"/>
      <c r="AD46" s="526"/>
      <c r="AE46" s="526"/>
      <c r="AF46" s="526"/>
      <c r="AG46" s="526"/>
      <c r="AH46" s="526"/>
      <c r="AJ46" s="526"/>
      <c r="AK46" s="526"/>
      <c r="AL46" s="526"/>
      <c r="AM46" s="526"/>
      <c r="AN46" s="526"/>
      <c r="AO46" s="526"/>
      <c r="AP46" s="526"/>
    </row>
    <row r="47" spans="1:48" x14ac:dyDescent="0.2">
      <c r="N47" s="526"/>
      <c r="O47" s="526"/>
      <c r="P47" s="526"/>
      <c r="Q47" s="526"/>
      <c r="R47" s="526"/>
      <c r="S47" s="526"/>
      <c r="T47" s="526"/>
      <c r="U47" s="526"/>
      <c r="V47" s="526"/>
      <c r="W47" s="526"/>
      <c r="Y47" s="526"/>
      <c r="Z47" s="526"/>
      <c r="AA47" s="526"/>
      <c r="AB47" s="526"/>
      <c r="AC47" s="526"/>
      <c r="AD47" s="526"/>
      <c r="AE47" s="526"/>
      <c r="AF47" s="526"/>
      <c r="AG47" s="526"/>
      <c r="AH47" s="526"/>
      <c r="AJ47" s="526"/>
      <c r="AK47" s="526"/>
      <c r="AL47" s="526"/>
      <c r="AM47" s="526"/>
      <c r="AN47" s="526"/>
      <c r="AO47" s="526"/>
      <c r="AP47" s="526"/>
    </row>
    <row r="48" spans="1:48" x14ac:dyDescent="0.2">
      <c r="N48" s="526"/>
      <c r="O48" s="526"/>
      <c r="P48" s="526"/>
      <c r="Q48" s="526"/>
      <c r="R48" s="526"/>
      <c r="S48" s="526"/>
      <c r="T48" s="526"/>
      <c r="U48" s="526"/>
      <c r="V48" s="526"/>
      <c r="W48" s="526"/>
      <c r="Y48" s="526"/>
      <c r="Z48" s="526"/>
      <c r="AA48" s="526"/>
      <c r="AB48" s="526"/>
      <c r="AC48" s="526"/>
      <c r="AD48" s="526"/>
      <c r="AE48" s="526"/>
      <c r="AF48" s="526"/>
      <c r="AG48" s="526"/>
      <c r="AH48" s="526"/>
      <c r="AJ48" s="526"/>
      <c r="AK48" s="526"/>
      <c r="AL48" s="526"/>
      <c r="AM48" s="526"/>
      <c r="AN48" s="526"/>
      <c r="AO48" s="526"/>
      <c r="AP48" s="526"/>
    </row>
    <row r="49" spans="14:42" x14ac:dyDescent="0.2">
      <c r="N49" s="526"/>
      <c r="O49" s="526"/>
      <c r="P49" s="526"/>
      <c r="Q49" s="526"/>
      <c r="R49" s="526"/>
      <c r="S49" s="526"/>
      <c r="T49" s="526"/>
      <c r="U49" s="526"/>
      <c r="V49" s="526"/>
      <c r="W49" s="526"/>
      <c r="Y49" s="526"/>
      <c r="Z49" s="526"/>
      <c r="AA49" s="526"/>
      <c r="AB49" s="526"/>
      <c r="AC49" s="526"/>
      <c r="AD49" s="526"/>
      <c r="AE49" s="526"/>
      <c r="AF49" s="526"/>
      <c r="AG49" s="526"/>
      <c r="AH49" s="526"/>
      <c r="AJ49" s="526"/>
      <c r="AK49" s="526"/>
      <c r="AL49" s="526"/>
      <c r="AM49" s="526"/>
      <c r="AN49" s="526"/>
      <c r="AO49" s="526"/>
      <c r="AP49" s="526"/>
    </row>
    <row r="50" spans="14:42" x14ac:dyDescent="0.2">
      <c r="N50" s="526"/>
      <c r="O50" s="526"/>
      <c r="P50" s="526"/>
      <c r="Q50" s="526"/>
      <c r="R50" s="526"/>
      <c r="S50" s="526"/>
      <c r="T50" s="526"/>
      <c r="U50" s="526"/>
      <c r="V50" s="526"/>
      <c r="W50" s="526"/>
      <c r="Y50" s="526"/>
      <c r="Z50" s="526"/>
      <c r="AA50" s="526"/>
      <c r="AB50" s="526"/>
      <c r="AC50" s="526"/>
      <c r="AD50" s="526"/>
      <c r="AE50" s="526"/>
      <c r="AF50" s="526"/>
      <c r="AG50" s="526"/>
      <c r="AH50" s="526"/>
      <c r="AJ50" s="526"/>
      <c r="AK50" s="526"/>
      <c r="AL50" s="526"/>
      <c r="AM50" s="526"/>
      <c r="AN50" s="526"/>
      <c r="AO50" s="526"/>
      <c r="AP50" s="526"/>
    </row>
    <row r="51" spans="14:42" x14ac:dyDescent="0.2">
      <c r="N51" s="526"/>
      <c r="O51" s="526"/>
      <c r="P51" s="526"/>
      <c r="Q51" s="526"/>
      <c r="R51" s="526"/>
      <c r="S51" s="526"/>
      <c r="T51" s="526"/>
      <c r="U51" s="526"/>
      <c r="V51" s="526"/>
      <c r="W51" s="526"/>
      <c r="Y51" s="526"/>
      <c r="Z51" s="526"/>
      <c r="AA51" s="526"/>
      <c r="AB51" s="526"/>
      <c r="AC51" s="526"/>
      <c r="AD51" s="526"/>
      <c r="AE51" s="526"/>
      <c r="AF51" s="526"/>
      <c r="AG51" s="526"/>
      <c r="AH51" s="526"/>
      <c r="AJ51" s="526"/>
      <c r="AK51" s="526"/>
      <c r="AL51" s="526"/>
      <c r="AM51" s="526"/>
      <c r="AN51" s="526"/>
      <c r="AO51" s="526"/>
      <c r="AP51" s="526"/>
    </row>
    <row r="52" spans="14:42" x14ac:dyDescent="0.2">
      <c r="N52" s="526"/>
      <c r="O52" s="526"/>
      <c r="P52" s="526"/>
      <c r="Q52" s="526"/>
      <c r="R52" s="526"/>
      <c r="S52" s="526"/>
      <c r="T52" s="526"/>
      <c r="U52" s="526"/>
      <c r="V52" s="526"/>
      <c r="W52" s="526"/>
      <c r="Y52" s="526"/>
      <c r="Z52" s="526"/>
      <c r="AA52" s="526"/>
      <c r="AB52" s="526"/>
      <c r="AC52" s="526"/>
      <c r="AD52" s="526"/>
      <c r="AE52" s="526"/>
      <c r="AF52" s="526"/>
      <c r="AG52" s="526"/>
      <c r="AH52" s="526"/>
      <c r="AJ52" s="526"/>
      <c r="AK52" s="526"/>
      <c r="AL52" s="526"/>
      <c r="AM52" s="526"/>
      <c r="AN52" s="526"/>
      <c r="AO52" s="526"/>
      <c r="AP52" s="526"/>
    </row>
    <row r="53" spans="14:42" x14ac:dyDescent="0.2">
      <c r="N53" s="526"/>
      <c r="O53" s="526"/>
      <c r="P53" s="526"/>
      <c r="Q53" s="526"/>
      <c r="R53" s="526"/>
      <c r="S53" s="526"/>
      <c r="T53" s="526"/>
      <c r="U53" s="526"/>
      <c r="V53" s="526"/>
      <c r="W53" s="526"/>
      <c r="Y53" s="526"/>
      <c r="Z53" s="526"/>
      <c r="AA53" s="526"/>
      <c r="AB53" s="526"/>
      <c r="AC53" s="526"/>
      <c r="AD53" s="526"/>
      <c r="AE53" s="526"/>
      <c r="AF53" s="526"/>
      <c r="AG53" s="526"/>
      <c r="AH53" s="526"/>
      <c r="AJ53" s="526"/>
      <c r="AK53" s="526"/>
      <c r="AL53" s="526"/>
      <c r="AM53" s="526"/>
      <c r="AN53" s="526"/>
      <c r="AO53" s="526"/>
      <c r="AP53" s="526"/>
    </row>
    <row r="54" spans="14:42" x14ac:dyDescent="0.2">
      <c r="N54" s="526"/>
      <c r="O54" s="526"/>
      <c r="P54" s="526"/>
      <c r="Q54" s="526"/>
      <c r="R54" s="526"/>
      <c r="S54" s="526"/>
      <c r="T54" s="526"/>
      <c r="U54" s="526"/>
      <c r="V54" s="526"/>
      <c r="W54" s="526"/>
      <c r="Y54" s="526"/>
      <c r="Z54" s="526"/>
      <c r="AA54" s="526"/>
      <c r="AB54" s="526"/>
      <c r="AC54" s="526"/>
      <c r="AD54" s="526"/>
      <c r="AE54" s="526"/>
      <c r="AF54" s="526"/>
      <c r="AG54" s="526"/>
      <c r="AH54" s="526"/>
      <c r="AJ54" s="526"/>
      <c r="AK54" s="526"/>
      <c r="AL54" s="526"/>
      <c r="AM54" s="526"/>
      <c r="AN54" s="526"/>
      <c r="AO54" s="526"/>
      <c r="AP54" s="526"/>
    </row>
    <row r="55" spans="14:42" x14ac:dyDescent="0.2">
      <c r="N55" s="526"/>
      <c r="O55" s="526"/>
      <c r="P55" s="526"/>
      <c r="Q55" s="526"/>
      <c r="R55" s="526"/>
      <c r="S55" s="526"/>
      <c r="T55" s="526"/>
      <c r="U55" s="526"/>
      <c r="V55" s="526"/>
      <c r="W55" s="526"/>
      <c r="Y55" s="526"/>
      <c r="Z55" s="526"/>
      <c r="AA55" s="526"/>
      <c r="AB55" s="526"/>
      <c r="AC55" s="526"/>
      <c r="AD55" s="526"/>
      <c r="AE55" s="526"/>
      <c r="AF55" s="526"/>
      <c r="AG55" s="526"/>
      <c r="AH55" s="526"/>
      <c r="AJ55" s="526"/>
      <c r="AK55" s="526"/>
      <c r="AL55" s="526"/>
      <c r="AM55" s="526"/>
      <c r="AN55" s="526"/>
      <c r="AO55" s="526"/>
      <c r="AP55" s="526"/>
    </row>
    <row r="56" spans="14:42" x14ac:dyDescent="0.2">
      <c r="N56" s="526"/>
      <c r="O56" s="526"/>
      <c r="P56" s="526"/>
      <c r="Q56" s="526"/>
      <c r="R56" s="526"/>
      <c r="S56" s="526"/>
      <c r="T56" s="526"/>
      <c r="U56" s="526"/>
      <c r="V56" s="526"/>
      <c r="W56" s="526"/>
      <c r="Y56" s="526"/>
      <c r="Z56" s="526"/>
      <c r="AA56" s="526"/>
      <c r="AB56" s="526"/>
      <c r="AC56" s="526"/>
      <c r="AD56" s="526"/>
      <c r="AE56" s="526"/>
      <c r="AF56" s="526"/>
      <c r="AG56" s="526"/>
      <c r="AH56" s="526"/>
      <c r="AJ56" s="526"/>
      <c r="AK56" s="526"/>
      <c r="AL56" s="526"/>
      <c r="AM56" s="526"/>
      <c r="AN56" s="526"/>
      <c r="AO56" s="526"/>
      <c r="AP56" s="526"/>
    </row>
    <row r="57" spans="14:42" x14ac:dyDescent="0.2">
      <c r="N57" s="526"/>
      <c r="O57" s="526"/>
      <c r="P57" s="526"/>
      <c r="Q57" s="526"/>
      <c r="R57" s="526"/>
      <c r="S57" s="526"/>
      <c r="T57" s="526"/>
      <c r="U57" s="526"/>
      <c r="V57" s="526"/>
      <c r="W57" s="526"/>
      <c r="Y57" s="526"/>
      <c r="Z57" s="526"/>
      <c r="AA57" s="526"/>
      <c r="AB57" s="526"/>
      <c r="AC57" s="526"/>
      <c r="AD57" s="526"/>
      <c r="AE57" s="526"/>
      <c r="AF57" s="526"/>
      <c r="AG57" s="526"/>
      <c r="AH57" s="526"/>
      <c r="AJ57" s="526"/>
      <c r="AK57" s="526"/>
      <c r="AL57" s="526"/>
      <c r="AM57" s="526"/>
      <c r="AN57" s="526"/>
      <c r="AO57" s="526"/>
      <c r="AP57" s="526"/>
    </row>
    <row r="58" spans="14:42" x14ac:dyDescent="0.2">
      <c r="N58" s="526"/>
      <c r="O58" s="526"/>
      <c r="P58" s="526"/>
      <c r="Q58" s="526"/>
      <c r="R58" s="526"/>
      <c r="S58" s="526"/>
      <c r="T58" s="526"/>
      <c r="U58" s="526"/>
      <c r="V58" s="526"/>
      <c r="W58" s="526"/>
      <c r="Y58" s="526"/>
      <c r="Z58" s="526"/>
      <c r="AA58" s="526"/>
      <c r="AB58" s="526"/>
      <c r="AC58" s="526"/>
      <c r="AD58" s="526"/>
      <c r="AE58" s="526"/>
      <c r="AF58" s="526"/>
      <c r="AG58" s="526"/>
      <c r="AH58" s="526"/>
      <c r="AJ58" s="526"/>
      <c r="AK58" s="526"/>
      <c r="AL58" s="526"/>
      <c r="AM58" s="526"/>
      <c r="AN58" s="526"/>
      <c r="AO58" s="526"/>
      <c r="AP58" s="526"/>
    </row>
    <row r="59" spans="14:42" x14ac:dyDescent="0.2">
      <c r="N59" s="526"/>
      <c r="O59" s="526"/>
      <c r="P59" s="526"/>
      <c r="Q59" s="526"/>
      <c r="R59" s="526"/>
      <c r="S59" s="526"/>
      <c r="T59" s="526"/>
      <c r="U59" s="526"/>
      <c r="V59" s="526"/>
      <c r="W59" s="526"/>
      <c r="Y59" s="526"/>
      <c r="Z59" s="526"/>
      <c r="AA59" s="526"/>
      <c r="AB59" s="526"/>
      <c r="AC59" s="526"/>
      <c r="AD59" s="526"/>
      <c r="AE59" s="526"/>
      <c r="AF59" s="526"/>
      <c r="AG59" s="526"/>
      <c r="AH59" s="526"/>
      <c r="AJ59" s="526"/>
      <c r="AK59" s="526"/>
      <c r="AL59" s="526"/>
      <c r="AM59" s="526"/>
      <c r="AN59" s="526"/>
      <c r="AO59" s="526"/>
      <c r="AP59" s="526"/>
    </row>
    <row r="60" spans="14:42" x14ac:dyDescent="0.2">
      <c r="N60" s="526"/>
      <c r="O60" s="526"/>
      <c r="P60" s="526"/>
      <c r="Q60" s="526"/>
      <c r="R60" s="526"/>
      <c r="S60" s="526"/>
      <c r="T60" s="526"/>
      <c r="U60" s="526"/>
      <c r="V60" s="526"/>
      <c r="W60" s="526"/>
      <c r="Y60" s="526"/>
      <c r="Z60" s="526"/>
      <c r="AA60" s="526"/>
      <c r="AB60" s="526"/>
      <c r="AC60" s="526"/>
      <c r="AD60" s="526"/>
      <c r="AE60" s="526"/>
      <c r="AF60" s="526"/>
      <c r="AG60" s="526"/>
      <c r="AH60" s="526"/>
      <c r="AJ60" s="526"/>
      <c r="AK60" s="526"/>
      <c r="AL60" s="526"/>
      <c r="AM60" s="526"/>
      <c r="AN60" s="526"/>
      <c r="AO60" s="526"/>
      <c r="AP60" s="526"/>
    </row>
    <row r="61" spans="14:42" x14ac:dyDescent="0.2">
      <c r="N61" s="526"/>
      <c r="O61" s="526"/>
      <c r="P61" s="526"/>
      <c r="Q61" s="526"/>
      <c r="R61" s="526"/>
      <c r="S61" s="526"/>
      <c r="T61" s="526"/>
      <c r="U61" s="526"/>
      <c r="V61" s="526"/>
      <c r="W61" s="526"/>
      <c r="Y61" s="526"/>
      <c r="Z61" s="526"/>
      <c r="AA61" s="526"/>
      <c r="AB61" s="526"/>
      <c r="AC61" s="526"/>
      <c r="AD61" s="526"/>
      <c r="AE61" s="526"/>
      <c r="AF61" s="526"/>
      <c r="AG61" s="526"/>
      <c r="AH61" s="526"/>
      <c r="AJ61" s="526"/>
      <c r="AK61" s="526"/>
      <c r="AL61" s="526"/>
      <c r="AM61" s="526"/>
      <c r="AN61" s="526"/>
      <c r="AO61" s="526"/>
      <c r="AP61" s="526"/>
    </row>
    <row r="62" spans="14:42" x14ac:dyDescent="0.2">
      <c r="N62" s="526"/>
      <c r="O62" s="526"/>
      <c r="P62" s="526"/>
      <c r="Q62" s="526"/>
      <c r="R62" s="526"/>
      <c r="S62" s="526"/>
      <c r="T62" s="526"/>
      <c r="U62" s="526"/>
      <c r="V62" s="526"/>
      <c r="W62" s="526"/>
      <c r="Y62" s="526"/>
      <c r="Z62" s="526"/>
      <c r="AA62" s="526"/>
      <c r="AB62" s="526"/>
      <c r="AC62" s="526"/>
      <c r="AD62" s="526"/>
      <c r="AE62" s="526"/>
      <c r="AF62" s="526"/>
      <c r="AG62" s="526"/>
      <c r="AH62" s="526"/>
      <c r="AJ62" s="526"/>
      <c r="AK62" s="526"/>
      <c r="AL62" s="526"/>
      <c r="AM62" s="526"/>
      <c r="AN62" s="526"/>
      <c r="AO62" s="526"/>
      <c r="AP62" s="526"/>
    </row>
    <row r="63" spans="14:42" x14ac:dyDescent="0.2">
      <c r="N63" s="526"/>
      <c r="O63" s="526"/>
      <c r="P63" s="526"/>
      <c r="Q63" s="526"/>
      <c r="R63" s="526"/>
      <c r="S63" s="526"/>
      <c r="T63" s="526"/>
      <c r="U63" s="526"/>
      <c r="V63" s="526"/>
      <c r="W63" s="526"/>
      <c r="Y63" s="526"/>
      <c r="Z63" s="526"/>
      <c r="AA63" s="526"/>
      <c r="AB63" s="526"/>
      <c r="AC63" s="526"/>
      <c r="AD63" s="526"/>
      <c r="AE63" s="526"/>
      <c r="AF63" s="526"/>
      <c r="AG63" s="526"/>
      <c r="AH63" s="526"/>
      <c r="AJ63" s="526"/>
      <c r="AK63" s="526"/>
      <c r="AL63" s="526"/>
      <c r="AM63" s="526"/>
      <c r="AN63" s="526"/>
      <c r="AO63" s="526"/>
      <c r="AP63" s="526"/>
    </row>
    <row r="64" spans="14:42" x14ac:dyDescent="0.2">
      <c r="N64" s="526"/>
      <c r="O64" s="526"/>
      <c r="P64" s="526"/>
      <c r="Q64" s="526"/>
      <c r="R64" s="526"/>
      <c r="S64" s="526"/>
      <c r="T64" s="526"/>
      <c r="U64" s="526"/>
      <c r="V64" s="526"/>
      <c r="W64" s="526"/>
      <c r="Y64" s="526"/>
      <c r="Z64" s="526"/>
      <c r="AA64" s="526"/>
      <c r="AB64" s="526"/>
      <c r="AC64" s="526"/>
      <c r="AD64" s="526"/>
      <c r="AE64" s="526"/>
      <c r="AF64" s="526"/>
      <c r="AG64" s="526"/>
      <c r="AH64" s="526"/>
      <c r="AJ64" s="526"/>
      <c r="AK64" s="526"/>
      <c r="AL64" s="526"/>
      <c r="AM64" s="526"/>
      <c r="AN64" s="526"/>
      <c r="AO64" s="526"/>
      <c r="AP64" s="526"/>
    </row>
    <row r="65" spans="14:42" x14ac:dyDescent="0.2">
      <c r="N65" s="526"/>
      <c r="O65" s="526"/>
      <c r="P65" s="526"/>
      <c r="Q65" s="526"/>
      <c r="R65" s="526"/>
      <c r="S65" s="526"/>
      <c r="T65" s="526"/>
      <c r="U65" s="526"/>
      <c r="V65" s="526"/>
      <c r="W65" s="526"/>
      <c r="Y65" s="526"/>
      <c r="Z65" s="526"/>
      <c r="AA65" s="526"/>
      <c r="AB65" s="526"/>
      <c r="AC65" s="526"/>
      <c r="AD65" s="526"/>
      <c r="AE65" s="526"/>
      <c r="AF65" s="526"/>
      <c r="AG65" s="526"/>
      <c r="AH65" s="526"/>
      <c r="AJ65" s="526"/>
      <c r="AK65" s="526"/>
      <c r="AL65" s="526"/>
      <c r="AM65" s="526"/>
      <c r="AN65" s="526"/>
      <c r="AO65" s="526"/>
      <c r="AP65" s="526"/>
    </row>
    <row r="66" spans="14:42" x14ac:dyDescent="0.2">
      <c r="N66" s="526"/>
      <c r="O66" s="526"/>
      <c r="P66" s="526"/>
      <c r="Q66" s="526"/>
      <c r="R66" s="526"/>
      <c r="S66" s="526"/>
      <c r="T66" s="526"/>
      <c r="U66" s="526"/>
      <c r="V66" s="526"/>
      <c r="W66" s="526"/>
      <c r="Y66" s="526"/>
      <c r="Z66" s="526"/>
      <c r="AA66" s="526"/>
      <c r="AB66" s="526"/>
      <c r="AC66" s="526"/>
      <c r="AD66" s="526"/>
      <c r="AE66" s="526"/>
      <c r="AF66" s="526"/>
      <c r="AG66" s="526"/>
      <c r="AH66" s="526"/>
      <c r="AJ66" s="526"/>
      <c r="AK66" s="526"/>
      <c r="AL66" s="526"/>
      <c r="AM66" s="526"/>
      <c r="AN66" s="526"/>
      <c r="AO66" s="526"/>
      <c r="AP66" s="526"/>
    </row>
    <row r="67" spans="14:42" x14ac:dyDescent="0.2">
      <c r="N67" s="526"/>
      <c r="O67" s="526"/>
      <c r="P67" s="526"/>
      <c r="Q67" s="526"/>
      <c r="R67" s="526"/>
      <c r="S67" s="526"/>
      <c r="T67" s="526"/>
      <c r="U67" s="526"/>
      <c r="V67" s="526"/>
      <c r="W67" s="526"/>
      <c r="Y67" s="526"/>
      <c r="Z67" s="526"/>
      <c r="AA67" s="526"/>
      <c r="AB67" s="526"/>
      <c r="AC67" s="526"/>
      <c r="AD67" s="526"/>
      <c r="AE67" s="526"/>
      <c r="AF67" s="526"/>
      <c r="AG67" s="526"/>
      <c r="AH67" s="526"/>
      <c r="AJ67" s="526"/>
      <c r="AK67" s="526"/>
      <c r="AL67" s="526"/>
      <c r="AM67" s="526"/>
      <c r="AN67" s="526"/>
      <c r="AO67" s="526"/>
      <c r="AP67" s="526"/>
    </row>
    <row r="68" spans="14:42" x14ac:dyDescent="0.2">
      <c r="N68" s="526"/>
      <c r="O68" s="526"/>
      <c r="P68" s="526"/>
      <c r="Q68" s="526"/>
      <c r="R68" s="526"/>
      <c r="S68" s="526"/>
      <c r="T68" s="526"/>
      <c r="U68" s="526"/>
      <c r="V68" s="526"/>
      <c r="W68" s="526"/>
      <c r="Y68" s="526"/>
      <c r="Z68" s="526"/>
      <c r="AA68" s="526"/>
      <c r="AB68" s="526"/>
      <c r="AC68" s="526"/>
      <c r="AD68" s="526"/>
      <c r="AE68" s="526"/>
      <c r="AF68" s="526"/>
      <c r="AG68" s="526"/>
      <c r="AH68" s="526"/>
      <c r="AJ68" s="526"/>
      <c r="AK68" s="526"/>
      <c r="AL68" s="526"/>
      <c r="AM68" s="526"/>
      <c r="AN68" s="526"/>
      <c r="AO68" s="526"/>
      <c r="AP68" s="526"/>
    </row>
    <row r="69" spans="14:42" x14ac:dyDescent="0.2">
      <c r="N69" s="526"/>
      <c r="O69" s="526"/>
      <c r="P69" s="526"/>
      <c r="Q69" s="526"/>
      <c r="R69" s="526"/>
      <c r="S69" s="526"/>
      <c r="T69" s="526"/>
      <c r="U69" s="526"/>
      <c r="V69" s="526"/>
      <c r="W69" s="526"/>
      <c r="Y69" s="526"/>
      <c r="Z69" s="526"/>
      <c r="AA69" s="526"/>
      <c r="AB69" s="526"/>
      <c r="AC69" s="526"/>
      <c r="AD69" s="526"/>
      <c r="AE69" s="526"/>
      <c r="AF69" s="526"/>
      <c r="AG69" s="526"/>
      <c r="AH69" s="526"/>
      <c r="AJ69" s="526"/>
      <c r="AK69" s="526"/>
      <c r="AL69" s="526"/>
      <c r="AM69" s="526"/>
      <c r="AN69" s="526"/>
      <c r="AO69" s="526"/>
      <c r="AP69" s="526"/>
    </row>
    <row r="70" spans="14:42" x14ac:dyDescent="0.2">
      <c r="N70" s="526"/>
      <c r="O70" s="526"/>
      <c r="P70" s="526"/>
      <c r="Q70" s="526"/>
      <c r="R70" s="526"/>
      <c r="S70" s="526"/>
      <c r="T70" s="526"/>
      <c r="U70" s="526"/>
      <c r="V70" s="526"/>
      <c r="W70" s="526"/>
      <c r="Y70" s="526"/>
      <c r="Z70" s="526"/>
      <c r="AA70" s="526"/>
      <c r="AB70" s="526"/>
      <c r="AC70" s="526"/>
      <c r="AD70" s="526"/>
      <c r="AE70" s="526"/>
      <c r="AF70" s="526"/>
      <c r="AG70" s="526"/>
      <c r="AH70" s="526"/>
      <c r="AJ70" s="526"/>
      <c r="AK70" s="526"/>
      <c r="AL70" s="526"/>
      <c r="AM70" s="526"/>
      <c r="AN70" s="526"/>
      <c r="AO70" s="526"/>
      <c r="AP70" s="526"/>
    </row>
    <row r="71" spans="14:42" x14ac:dyDescent="0.2">
      <c r="N71" s="526"/>
      <c r="O71" s="526"/>
      <c r="P71" s="526"/>
      <c r="Q71" s="526"/>
      <c r="R71" s="526"/>
      <c r="S71" s="526"/>
      <c r="T71" s="526"/>
      <c r="U71" s="526"/>
      <c r="V71" s="526"/>
      <c r="W71" s="526"/>
      <c r="Y71" s="526"/>
      <c r="Z71" s="526"/>
      <c r="AA71" s="526"/>
      <c r="AB71" s="526"/>
      <c r="AC71" s="526"/>
      <c r="AD71" s="526"/>
      <c r="AE71" s="526"/>
      <c r="AF71" s="526"/>
      <c r="AG71" s="526"/>
      <c r="AH71" s="526"/>
      <c r="AJ71" s="526"/>
      <c r="AK71" s="526"/>
      <c r="AL71" s="526"/>
      <c r="AM71" s="526"/>
      <c r="AN71" s="526"/>
      <c r="AO71" s="526"/>
      <c r="AP71" s="526"/>
    </row>
    <row r="72" spans="14:42" x14ac:dyDescent="0.2">
      <c r="N72" s="526"/>
      <c r="O72" s="526"/>
      <c r="P72" s="526"/>
      <c r="Q72" s="526"/>
      <c r="R72" s="526"/>
      <c r="S72" s="526"/>
      <c r="T72" s="526"/>
      <c r="U72" s="526"/>
      <c r="V72" s="526"/>
      <c r="W72" s="526"/>
      <c r="Y72" s="526"/>
      <c r="Z72" s="526"/>
      <c r="AA72" s="526"/>
      <c r="AB72" s="526"/>
      <c r="AC72" s="526"/>
      <c r="AD72" s="526"/>
      <c r="AE72" s="526"/>
      <c r="AF72" s="526"/>
      <c r="AG72" s="526"/>
      <c r="AH72" s="526"/>
      <c r="AJ72" s="526"/>
      <c r="AK72" s="526"/>
      <c r="AL72" s="526"/>
      <c r="AM72" s="526"/>
      <c r="AN72" s="526"/>
      <c r="AO72" s="526"/>
      <c r="AP72" s="526"/>
    </row>
  </sheetData>
  <mergeCells count="11">
    <mergeCell ref="B2:AV2"/>
    <mergeCell ref="B3:AV3"/>
    <mergeCell ref="AN5:AQ5"/>
    <mergeCell ref="B41:AV41"/>
    <mergeCell ref="Y4:AH4"/>
    <mergeCell ref="Y5:AH5"/>
    <mergeCell ref="C4:M4"/>
    <mergeCell ref="N4:X4"/>
    <mergeCell ref="C5:M5"/>
    <mergeCell ref="N5:X5"/>
    <mergeCell ref="AJ4:AT4"/>
  </mergeCells>
  <phoneticPr fontId="4" type="noConversion"/>
  <printOptions horizontalCentered="1"/>
  <pageMargins left="0.6692913385826772" right="0.6692913385826772" top="0.38" bottom="0.16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</vt:i4>
      </vt:variant>
    </vt:vector>
  </HeadingPairs>
  <TitlesOfParts>
    <vt:vector size="38" baseType="lpstr">
      <vt:lpstr>T2.6</vt:lpstr>
      <vt:lpstr>motorisation</vt:lpstr>
      <vt:lpstr>stock_cars</vt:lpstr>
      <vt:lpstr>stock_bus</vt:lpstr>
      <vt:lpstr>stock_goods</vt:lpstr>
      <vt:lpstr>stock_mbike</vt:lpstr>
      <vt:lpstr>car_reg</vt:lpstr>
      <vt:lpstr>comm_reg</vt:lpstr>
      <vt:lpstr>bus_reg</vt:lpstr>
      <vt:lpstr>mbike_reg</vt:lpstr>
      <vt:lpstr>moped_del</vt:lpstr>
      <vt:lpstr>sea_fleet_eu</vt:lpstr>
      <vt:lpstr>sea_world_region</vt:lpstr>
      <vt:lpstr>sea_world_type</vt:lpstr>
      <vt:lpstr>aircraft_passeng</vt:lpstr>
      <vt:lpstr>aircraft_other</vt:lpstr>
      <vt:lpstr>stock_loco</vt:lpstr>
      <vt:lpstr>stock_railcar</vt:lpstr>
      <vt:lpstr>stock_railgood</vt:lpstr>
      <vt:lpstr>T2.6!A</vt:lpstr>
      <vt:lpstr>aircraft_other!Print_Area</vt:lpstr>
      <vt:lpstr>aircraft_passeng!Print_Area</vt:lpstr>
      <vt:lpstr>bus_reg!Print_Area</vt:lpstr>
      <vt:lpstr>car_reg!Print_Area</vt:lpstr>
      <vt:lpstr>comm_reg!Print_Area</vt:lpstr>
      <vt:lpstr>mbike_reg!Print_Area</vt:lpstr>
      <vt:lpstr>moped_del!Print_Area</vt:lpstr>
      <vt:lpstr>motorisation!Print_Area</vt:lpstr>
      <vt:lpstr>sea_fleet_eu!Print_Area</vt:lpstr>
      <vt:lpstr>sea_world_region!Print_Area</vt:lpstr>
      <vt:lpstr>sea_world_type!Print_Area</vt:lpstr>
      <vt:lpstr>stock_bus!Print_Area</vt:lpstr>
      <vt:lpstr>stock_cars!Print_Area</vt:lpstr>
      <vt:lpstr>stock_goods!Print_Area</vt:lpstr>
      <vt:lpstr>stock_mbike!Print_Area</vt:lpstr>
      <vt:lpstr>stock_railcar!Print_Area</vt:lpstr>
      <vt:lpstr>stock_railgood!Print_Area</vt:lpstr>
      <vt:lpstr>T2.6!Print_Area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georgpi</dc:creator>
  <cp:lastModifiedBy>MOVE.A3</cp:lastModifiedBy>
  <cp:lastPrinted>2013-02-18T14:00:29Z</cp:lastPrinted>
  <dcterms:created xsi:type="dcterms:W3CDTF">2003-09-05T14:33:05Z</dcterms:created>
  <dcterms:modified xsi:type="dcterms:W3CDTF">2015-07-17T09:49:04Z</dcterms:modified>
</cp:coreProperties>
</file>