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9080" windowHeight="12435" tabRatio="921" activeTab="0"/>
  </bookViews>
  <sheets>
    <sheet name="T2.6" sheetId="1" r:id="rId1"/>
    <sheet name="motorisation" sheetId="2" r:id="rId2"/>
    <sheet name="stock_cars" sheetId="3" r:id="rId3"/>
    <sheet name="stock_bus" sheetId="4" r:id="rId4"/>
    <sheet name="stock_goods" sheetId="5" r:id="rId5"/>
    <sheet name="stock_mbike" sheetId="6" r:id="rId6"/>
    <sheet name="car_reg" sheetId="7" r:id="rId7"/>
    <sheet name="comm_reg" sheetId="8" r:id="rId8"/>
    <sheet name="bus_reg" sheetId="9" r:id="rId9"/>
    <sheet name="mbike_reg" sheetId="10" r:id="rId10"/>
    <sheet name="moped_del" sheetId="11" r:id="rId11"/>
    <sheet name="sea_fleet_eu" sheetId="12" r:id="rId12"/>
    <sheet name="sea_world_region" sheetId="13" r:id="rId13"/>
    <sheet name="sea_world_type" sheetId="14" r:id="rId14"/>
    <sheet name="aircraft_passeng" sheetId="15" r:id="rId15"/>
    <sheet name="aircraft_other" sheetId="16" r:id="rId16"/>
    <sheet name="stock_loco" sheetId="17" r:id="rId17"/>
    <sheet name="stock_railcar" sheetId="18" r:id="rId18"/>
    <sheet name="stock_railgood" sheetId="19" r:id="rId19"/>
  </sheets>
  <definedNames>
    <definedName name="A" localSheetId="0">'T2.6'!$A$65501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_xlnm.Print_Area" localSheetId="15">'aircraft_other'!$B$1:$H$49</definedName>
    <definedName name="_xlnm.Print_Area" localSheetId="14">'aircraft_passeng'!$B$1:$I$46</definedName>
    <definedName name="_xlnm.Print_Area" localSheetId="8">'bus_reg'!$B$1:$AB$42</definedName>
    <definedName name="_xlnm.Print_Area" localSheetId="6">'car_reg'!$B$1:$O$42</definedName>
    <definedName name="_xlnm.Print_Area" localSheetId="7">'comm_reg'!$B$1:$X$42</definedName>
    <definedName name="_xlnm.Print_Area" localSheetId="9">'mbike_reg'!$B$1:$M$46</definedName>
    <definedName name="_xlnm.Print_Area" localSheetId="10">'moped_del'!$B$1:$M$43</definedName>
    <definedName name="_xlnm.Print_Area" localSheetId="1">'motorisation'!$B$1:$X$42</definedName>
    <definedName name="_xlnm.Print_Area" localSheetId="11">'sea_fleet_eu'!$B$1:$K$46</definedName>
    <definedName name="_xlnm.Print_Area" localSheetId="12">'sea_world_region'!$B$1:$L$25</definedName>
    <definedName name="_xlnm.Print_Area" localSheetId="13">'sea_world_type'!$B$1:$M$40</definedName>
    <definedName name="_xlnm.Print_Area" localSheetId="3">'stock_bus'!$B$1:$Y$47</definedName>
    <definedName name="_xlnm.Print_Area" localSheetId="2">'stock_cars'!$B$1:$Y$47</definedName>
    <definedName name="_xlnm.Print_Area" localSheetId="4">'stock_goods'!$B$1:$Y$47</definedName>
    <definedName name="_xlnm.Print_Area" localSheetId="16">'stock_loco'!$B$1:$O$45</definedName>
    <definedName name="_xlnm.Print_Area" localSheetId="5">'stock_mbike'!$B$1:$R$49</definedName>
    <definedName name="_xlnm.Print_Area" localSheetId="17">'stock_railcar'!$B$1:$O$45</definedName>
    <definedName name="_xlnm.Print_Area" localSheetId="18">'stock_railgood'!$B$1:$O$45</definedName>
    <definedName name="_xlnm.Print_Area" localSheetId="0">'T2.6'!$A$1:$D$33</definedName>
    <definedName name="TABLE" localSheetId="16">'stock_loco'!#REF!</definedName>
    <definedName name="TABLE_2" localSheetId="16">'stock_loco'!#REF!</definedName>
  </definedNames>
  <calcPr fullCalcOnLoad="1"/>
</workbook>
</file>

<file path=xl/sharedStrings.xml><?xml version="1.0" encoding="utf-8"?>
<sst xmlns="http://schemas.openxmlformats.org/spreadsheetml/2006/main" count="1668" uniqueCount="252">
  <si>
    <t>Notes:</t>
  </si>
  <si>
    <t>MK</t>
  </si>
  <si>
    <r>
      <t>Notes</t>
    </r>
    <r>
      <rPr>
        <sz val="8"/>
        <rFont val="Arial"/>
        <family val="2"/>
      </rPr>
      <t>:</t>
    </r>
  </si>
  <si>
    <t>change</t>
  </si>
  <si>
    <r>
      <t>CY</t>
    </r>
    <r>
      <rPr>
        <sz val="8"/>
        <rFont val="Arial"/>
        <family val="2"/>
      </rPr>
      <t>: new and used</t>
    </r>
  </si>
  <si>
    <t>thousand</t>
  </si>
  <si>
    <t>Light commercial vehicles</t>
  </si>
  <si>
    <t>Commercial Vehicles</t>
  </si>
  <si>
    <t>Heavy Commercial Vehicles</t>
  </si>
  <si>
    <t>&lt; 3.5t</t>
  </si>
  <si>
    <t>&gt; 3,5t &amp; &lt; 16t</t>
  </si>
  <si>
    <t>&gt; 16t</t>
  </si>
  <si>
    <r>
      <t xml:space="preserve">**: </t>
    </r>
    <r>
      <rPr>
        <sz val="8"/>
        <rFont val="Arial"/>
        <family val="2"/>
      </rPr>
      <t>foreign flag share includes ships registered by EU countries in other EU countries</t>
    </r>
  </si>
  <si>
    <t>Number of passenger cars per 1000 inhabitants</t>
  </si>
  <si>
    <t>Road : Passenger Cars</t>
  </si>
  <si>
    <t>Stock of vehicles</t>
  </si>
  <si>
    <t>Road : Buses and Coaches</t>
  </si>
  <si>
    <t xml:space="preserve">    Road : Goods Vehicles</t>
  </si>
  <si>
    <t>Road : Powered Two-wheelers</t>
  </si>
  <si>
    <t>Rail : Locomotives and Railcars</t>
  </si>
  <si>
    <t>Rail : Passenger Transport Vehicles</t>
  </si>
  <si>
    <t>Rail : Goods Transport Wagons</t>
  </si>
  <si>
    <t>Sea : EU Merchant Fleet</t>
  </si>
  <si>
    <t>Ships of 1000 grt and over</t>
  </si>
  <si>
    <t>Total fleet controlled</t>
  </si>
  <si>
    <t>National flag</t>
  </si>
  <si>
    <t>Number</t>
  </si>
  <si>
    <t>mio dwt</t>
  </si>
  <si>
    <t>Sea : World Merchant Fleet</t>
  </si>
  <si>
    <t>Europe*</t>
  </si>
  <si>
    <t>North America</t>
  </si>
  <si>
    <t>Latin America</t>
  </si>
  <si>
    <t>Asia/Oceania</t>
  </si>
  <si>
    <t>Africa</t>
  </si>
  <si>
    <t>Unknown</t>
  </si>
  <si>
    <t>(ships of 300 gt and over)</t>
  </si>
  <si>
    <t>Oil tankers</t>
  </si>
  <si>
    <t>Bulk carriers</t>
  </si>
  <si>
    <t>General cargo</t>
  </si>
  <si>
    <t>Ro-Ro Cargo</t>
  </si>
  <si>
    <t>EU27</t>
  </si>
  <si>
    <t>(ships of 1000 gt and over)</t>
  </si>
  <si>
    <t xml:space="preserve">Passenger aircraft </t>
  </si>
  <si>
    <t>50 seats or less</t>
  </si>
  <si>
    <t>51 to 150 seats</t>
  </si>
  <si>
    <t>151 to 250 seats</t>
  </si>
  <si>
    <t>251 seats and more</t>
  </si>
  <si>
    <t>Freight / Cargo</t>
  </si>
  <si>
    <t>Quick-change convertible</t>
  </si>
  <si>
    <t xml:space="preserve">Special purpose / Ambulance </t>
  </si>
  <si>
    <t>Business / Corporate / Executive</t>
  </si>
  <si>
    <r>
      <t>dwt</t>
    </r>
    <r>
      <rPr>
        <sz val="8"/>
        <rFont val="Arial"/>
        <family val="2"/>
      </rPr>
      <t xml:space="preserve"> (million)</t>
    </r>
  </si>
  <si>
    <t>IS</t>
  </si>
  <si>
    <t>CH</t>
  </si>
  <si>
    <t>BG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</si>
  <si>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</si>
  <si>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</si>
  <si>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</si>
  <si>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</si>
  <si>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</si>
  <si>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</si>
  <si>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</si>
  <si>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</si>
  <si>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</si>
  <si>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SK</t>
  </si>
  <si>
    <t>SI</t>
  </si>
  <si>
    <t>TR</t>
  </si>
  <si>
    <t>DK</t>
  </si>
  <si>
    <t>EL</t>
  </si>
  <si>
    <t>NL</t>
  </si>
  <si>
    <t>UK</t>
  </si>
  <si>
    <t>EU15</t>
  </si>
  <si>
    <t>BE</t>
  </si>
  <si>
    <t>DE</t>
  </si>
  <si>
    <t>ES</t>
  </si>
  <si>
    <t>FR</t>
  </si>
  <si>
    <t>IE</t>
  </si>
  <si>
    <t>IT</t>
  </si>
  <si>
    <t>LU</t>
  </si>
  <si>
    <t>AT</t>
  </si>
  <si>
    <t>PT</t>
  </si>
  <si>
    <t>FI</t>
  </si>
  <si>
    <t>SE</t>
  </si>
  <si>
    <t>NO</t>
  </si>
  <si>
    <t xml:space="preserve"> </t>
  </si>
  <si>
    <t>-</t>
  </si>
  <si>
    <t>HR</t>
  </si>
  <si>
    <t>World</t>
  </si>
  <si>
    <t>Total</t>
  </si>
  <si>
    <r>
      <t>IT</t>
    </r>
    <r>
      <rPr>
        <sz val="8"/>
        <rFont val="Arial"/>
        <family val="2"/>
      </rPr>
      <t>: all two-wheelers over 50cc</t>
    </r>
  </si>
  <si>
    <t>More than 30 000 small private planes not included.</t>
  </si>
  <si>
    <t>(1)</t>
  </si>
  <si>
    <t>Note:</t>
  </si>
  <si>
    <t xml:space="preserve">  </t>
  </si>
  <si>
    <t>LI</t>
  </si>
  <si>
    <r>
      <t xml:space="preserve">Foreign flag         </t>
    </r>
    <r>
      <rPr>
        <sz val="8"/>
        <rFont val="Arial"/>
        <family val="2"/>
      </rPr>
      <t>(inluding other EU)</t>
    </r>
  </si>
  <si>
    <t xml:space="preserve">   of which: </t>
  </si>
  <si>
    <t>Reefer</t>
  </si>
  <si>
    <t>Single-deck</t>
  </si>
  <si>
    <t>Multi-deck</t>
  </si>
  <si>
    <t>Special</t>
  </si>
  <si>
    <r>
      <t>Passenger</t>
    </r>
    <r>
      <rPr>
        <sz val="8"/>
        <rFont val="Arial"/>
        <family val="2"/>
      </rPr>
      <t xml:space="preserve"> (not Ro-Ro) </t>
    </r>
  </si>
  <si>
    <t>No deadweight figure is given for cruise ships, since dwt is a measure of the weight admissible in the vessel.</t>
  </si>
  <si>
    <t>Ro-Ro: vehicles roll on to embark, vehicles roll off to disembark.</t>
  </si>
  <si>
    <t>Chemical tankers</t>
  </si>
  <si>
    <t>Liquid gas tankers</t>
  </si>
  <si>
    <t>Ore/ bulk / oil carriers</t>
  </si>
  <si>
    <t>Container ships</t>
  </si>
  <si>
    <t>Reefer: refrigerated ships.</t>
  </si>
  <si>
    <t>of which:  EU15</t>
  </si>
  <si>
    <t>EU15 control of total</t>
  </si>
  <si>
    <t>EU15 : Foreign flag share **</t>
  </si>
  <si>
    <r>
      <t>*:</t>
    </r>
    <r>
      <rPr>
        <sz val="8"/>
        <rFont val="Arial"/>
        <family val="2"/>
      </rPr>
      <t xml:space="preserve"> In this table Europe includes EU-27, EFTA, Monaco, Gibraltar, Andorra, Turkey, Western Balkan countries, Russia, Ukraine and Moldavia</t>
    </r>
  </si>
  <si>
    <t>of which:  EU27</t>
  </si>
  <si>
    <t>EU27 control of total</t>
  </si>
  <si>
    <t>EU27 : Foreign flag share **</t>
  </si>
  <si>
    <t>New vehicle registrations</t>
  </si>
  <si>
    <t>Road : Goods Vehicles</t>
  </si>
  <si>
    <t>Road : Motorcycles</t>
  </si>
  <si>
    <t>Road : Mopeds</t>
  </si>
  <si>
    <t>Number of Civil Aircraft In Service</t>
  </si>
  <si>
    <t>New vehicle deliveries</t>
  </si>
  <si>
    <t>On 1st January:</t>
  </si>
  <si>
    <t>Total controlled fleet by world region</t>
  </si>
  <si>
    <t>World region</t>
  </si>
  <si>
    <t>Share of EU in Total and of Foreign Flag in EU</t>
  </si>
  <si>
    <t>Light buses and coaches</t>
  </si>
  <si>
    <t>Buses and coaches</t>
  </si>
  <si>
    <t>Heavy buses and coaches</t>
  </si>
  <si>
    <t>&lt;3.5t</t>
  </si>
  <si>
    <r>
      <t>MT</t>
    </r>
    <r>
      <rPr>
        <sz val="8"/>
        <rFont val="Arial"/>
        <family val="0"/>
      </rPr>
      <t>: including mopeds</t>
    </r>
  </si>
  <si>
    <t>EU12</t>
  </si>
  <si>
    <t>%</t>
  </si>
  <si>
    <t>Data relate to main railways (UIC members)</t>
  </si>
  <si>
    <t>under 100,000lbs</t>
  </si>
  <si>
    <t>over 100,000lbs</t>
  </si>
  <si>
    <t>(passenger / cargo)</t>
  </si>
  <si>
    <t>mtow</t>
  </si>
  <si>
    <t>Multi-role</t>
  </si>
  <si>
    <r>
      <t>mtow</t>
    </r>
    <r>
      <rPr>
        <sz val="8"/>
        <rFont val="Arial"/>
        <family val="0"/>
      </rPr>
      <t>: maximum take-off weight</t>
    </r>
  </si>
  <si>
    <r>
      <t>Special purpose / Ambulance</t>
    </r>
    <r>
      <rPr>
        <sz val="8"/>
        <rFont val="Arial"/>
        <family val="2"/>
      </rPr>
      <t>: contains data about Hospital / Ambulance / Medevac and Special Role / Operations / Mission aircraft.</t>
    </r>
  </si>
  <si>
    <r>
      <t>Source</t>
    </r>
    <r>
      <rPr>
        <sz val="8"/>
        <rFont val="Arial"/>
        <family val="2"/>
      </rPr>
      <t xml:space="preserve">: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</si>
  <si>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</si>
  <si>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 xml:space="preserve">:  national statistics, United Nations Economic Commission for Europe, estimates </t>
    </r>
    <r>
      <rPr>
        <i/>
        <sz val="8"/>
        <rFont val="Arial"/>
        <family val="2"/>
      </rPr>
      <t>(in italics)</t>
    </r>
  </si>
  <si>
    <r>
      <t>Source</t>
    </r>
    <r>
      <rPr>
        <sz val="8"/>
        <rFont val="Arial"/>
        <family val="2"/>
      </rPr>
      <t>:</t>
    </r>
    <r>
      <rPr>
        <sz val="8"/>
        <rFont val="Arial"/>
        <family val="0"/>
      </rPr>
      <t xml:space="preserve"> ISL merchant fleet data bases; aggregates based on quarterly updates from the Lloyd's Maritime Information System</t>
    </r>
  </si>
  <si>
    <r>
      <t>Source</t>
    </r>
    <r>
      <rPr>
        <sz val="8"/>
        <rFont val="Arial"/>
        <family val="2"/>
      </rPr>
      <t>: Institute for Shipping Economics and Logistics, Bremen</t>
    </r>
  </si>
  <si>
    <r>
      <t>Source</t>
    </r>
    <r>
      <rPr>
        <sz val="8"/>
        <rFont val="Arial"/>
        <family val="2"/>
      </rPr>
      <t>: Ascend</t>
    </r>
  </si>
  <si>
    <r>
      <t>Source</t>
    </r>
    <r>
      <rPr>
        <sz val="8"/>
        <rFont val="Arial"/>
        <family val="2"/>
      </rPr>
      <t>:  Union Internationale des Chemins de Fer</t>
    </r>
  </si>
  <si>
    <r>
      <t>Note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CY</t>
    </r>
    <r>
      <rPr>
        <sz val="8"/>
        <rFont val="Arial"/>
        <family val="2"/>
      </rPr>
      <t>: new and used</t>
    </r>
  </si>
  <si>
    <r>
      <t>DK:</t>
    </r>
    <r>
      <rPr>
        <sz val="8"/>
        <rFont val="Arial"/>
        <family val="2"/>
      </rPr>
      <t xml:space="preserve"> including international registers like the Danish International Ship Register; including vessels registered at territorial dependencies.</t>
    </r>
  </si>
  <si>
    <t>Total fleet</t>
  </si>
  <si>
    <t>2007*</t>
  </si>
  <si>
    <t>Stock of registered vehicles</t>
  </si>
  <si>
    <t>In this table blank means none.</t>
  </si>
  <si>
    <r>
      <t>*</t>
    </r>
    <r>
      <rPr>
        <sz val="8"/>
        <rFont val="Arial"/>
        <family val="2"/>
      </rPr>
      <t>: not including private-owners' vehicles; not fully comparable with data of previous years.</t>
    </r>
  </si>
  <si>
    <t>EUROPEAN UNION</t>
  </si>
  <si>
    <t>European Commission</t>
  </si>
  <si>
    <t>Means of Transport</t>
  </si>
  <si>
    <t>Road: Passenger Cars : Stock of Vehicles</t>
  </si>
  <si>
    <t>Road: Buses and Coaches : Stock of Vehicles</t>
  </si>
  <si>
    <t>Road: Goods Vehicles : Stock of Vehicles</t>
  </si>
  <si>
    <t>Road: Powered Two-wheelers : Stock of Vehicles</t>
  </si>
  <si>
    <t>Road: Passenger Cars : New Vehicle Registrations</t>
  </si>
  <si>
    <t>Road: Goods Vehicles : New Vehicle Registrations</t>
  </si>
  <si>
    <t>Road: Buses and Coaches : New Vehicle Registrations</t>
  </si>
  <si>
    <t>Road: Motorcycles : New Vehicle Registrations</t>
  </si>
  <si>
    <t>Road: Mopeds : New Vehicle Deliveries</t>
  </si>
  <si>
    <t>Sea:  EU Merchant Fleet</t>
  </si>
  <si>
    <t>Sea:  World Merchant Fleet by World Region</t>
  </si>
  <si>
    <t>Sea:  World Merchant Fleet by Type of Ship</t>
  </si>
  <si>
    <t>Rail: Passenger Transport Vehicles: Stocks of  Coaches, Railcars and Trailers</t>
  </si>
  <si>
    <t>Rail: Goods Transport Wagons : Stock of Vehicles</t>
  </si>
  <si>
    <r>
      <t xml:space="preserve">in co-operation with </t>
    </r>
    <r>
      <rPr>
        <b/>
        <sz val="10"/>
        <rFont val="Arial"/>
        <family val="2"/>
      </rPr>
      <t>Eurostat</t>
    </r>
  </si>
  <si>
    <r>
      <t>Source:</t>
    </r>
    <r>
      <rPr>
        <sz val="8"/>
        <rFont val="Arial"/>
        <family val="2"/>
      </rPr>
      <t xml:space="preserve"> national statistics, Association des Constructeurs Européens de Motocycles (ACEM).</t>
    </r>
  </si>
  <si>
    <r>
      <t>Source</t>
    </r>
    <r>
      <rPr>
        <sz val="8"/>
        <rFont val="Arial"/>
        <family val="2"/>
      </rPr>
      <t>: Association des Constructeurs Européens d'Automobiles (ACEA), national sources</t>
    </r>
  </si>
  <si>
    <r>
      <t>For transport of goods and passengers: fleet by type of ship and country of domicile</t>
    </r>
    <r>
      <rPr>
        <sz val="10"/>
        <rFont val="Arial"/>
        <family val="2"/>
      </rPr>
      <t xml:space="preserve">, numbers and deadweight </t>
    </r>
  </si>
  <si>
    <t>Tankers</t>
  </si>
  <si>
    <t>Passenger and passenger cargo</t>
  </si>
  <si>
    <t>Cargo passenger and Ro-Ro passenger ships</t>
  </si>
  <si>
    <t>2008*</t>
  </si>
  <si>
    <r>
      <t>Source</t>
    </r>
    <r>
      <rPr>
        <sz val="8"/>
        <rFont val="Arial"/>
        <family val="2"/>
      </rPr>
      <t>: Association des Constructeurs Européens de Motocycles (ACEM), national sources</t>
    </r>
  </si>
  <si>
    <t>(1) figures included in other categories</t>
  </si>
  <si>
    <t>(1) Data included under "Light commercial vehicles"</t>
  </si>
  <si>
    <t>Road : Motorisation</t>
  </si>
  <si>
    <r>
      <t>Source</t>
    </r>
    <r>
      <rPr>
        <sz val="8"/>
        <rFont val="Arial"/>
        <family val="2"/>
      </rPr>
      <t>:  Union Internationale des Chemins de Fer, national statistics, estimates</t>
    </r>
    <r>
      <rPr>
        <i/>
        <sz val="8"/>
        <rFont val="Arial"/>
        <family val="2"/>
      </rPr>
      <t xml:space="preserve"> (in italics)</t>
    </r>
  </si>
  <si>
    <r>
      <t>Notes:</t>
    </r>
    <r>
      <rPr>
        <sz val="8"/>
        <rFont val="Arial"/>
        <family val="2"/>
      </rPr>
      <t xml:space="preserve"> </t>
    </r>
  </si>
  <si>
    <t>Only ships of 1000 gt and over</t>
  </si>
  <si>
    <r>
      <t>Notes:</t>
    </r>
  </si>
  <si>
    <r>
      <t>Data include buses, coaches, minibuses and sometimes also trolleybuses.</t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</si>
  <si>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</si>
  <si>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r>
      <t xml:space="preserve">Stock at end of year, except for </t>
    </r>
    <r>
      <rPr>
        <b/>
        <sz val="8"/>
        <rFont val="Arial"/>
        <family val="2"/>
      </rPr>
      <t>BE:</t>
    </r>
    <r>
      <rPr>
        <sz val="8"/>
        <rFont val="Arial"/>
        <family val="2"/>
      </rPr>
      <t xml:space="preserve"> 1 August, </t>
    </r>
    <r>
      <rPr>
        <b/>
        <sz val="8"/>
        <rFont val="Arial"/>
        <family val="2"/>
      </rPr>
      <t>CH:</t>
    </r>
    <r>
      <rPr>
        <sz val="8"/>
        <rFont val="Arial"/>
        <family val="2"/>
      </rPr>
      <t xml:space="preserve"> 30 September, </t>
    </r>
    <r>
      <rPr>
        <b/>
        <sz val="8"/>
        <rFont val="Arial"/>
        <family val="2"/>
      </rPr>
      <t>LI:</t>
    </r>
    <r>
      <rPr>
        <sz val="8"/>
        <rFont val="Arial"/>
        <family val="2"/>
      </rPr>
      <t xml:space="preserve"> 1 July.</t>
    </r>
  </si>
  <si>
    <t>Taxis are usually included.</t>
  </si>
  <si>
    <r>
      <t xml:space="preserve">Notes: </t>
    </r>
  </si>
  <si>
    <r>
      <t>As a rule, data include heavy and light goods vehicles, lorries and road tractors; due to varying concepts of such vehicles, data are not fully comparable between countries.</t>
    </r>
  </si>
  <si>
    <r>
      <t>National vehicle stock data do not always include all powered two-wheelers and are therefore not fully comparable between countries.</t>
    </r>
  </si>
  <si>
    <r>
      <t>Tricycles and quads are sometimes included in the data.</t>
    </r>
  </si>
  <si>
    <t xml:space="preserve">Stock of coaches, railcars and trailers  </t>
  </si>
  <si>
    <t>Road: Motorisation : Number of Passenger Cars per 1000 Inhabitants</t>
  </si>
  <si>
    <t>Air:   Passenger Aircraft : Number in Service</t>
  </si>
  <si>
    <t>Air:   Freight, Special,  Business Aircraft : Number in Service</t>
  </si>
  <si>
    <t>Rail: Locomotives and Railcars : Stock of Vehicles</t>
  </si>
  <si>
    <t>Air : Passenger Aircraft</t>
  </si>
  <si>
    <t>Air : Freight, Special, Business Aircraft</t>
  </si>
  <si>
    <t>Directorate-General for Mobility and Transport</t>
  </si>
  <si>
    <t>TRANSPORT IN FIGURES</t>
  </si>
  <si>
    <t>2011</t>
  </si>
  <si>
    <t>Part 2  :  TRANSPORT</t>
  </si>
  <si>
    <t>Chapter 2.6  :</t>
  </si>
  <si>
    <t>2.6.1</t>
  </si>
  <si>
    <t>2.6.2</t>
  </si>
  <si>
    <t>2.6.3</t>
  </si>
  <si>
    <t>2.6.4</t>
  </si>
  <si>
    <t>2.6.5</t>
  </si>
  <si>
    <t>2.6.6</t>
  </si>
  <si>
    <t>2.6.7</t>
  </si>
  <si>
    <t>2.6.8</t>
  </si>
  <si>
    <t>2.6.9</t>
  </si>
  <si>
    <t>2.6.10</t>
  </si>
  <si>
    <t>2.6.11</t>
  </si>
  <si>
    <t>2.6.12a</t>
  </si>
  <si>
    <t>2.6.12b</t>
  </si>
  <si>
    <t>2.6.13</t>
  </si>
  <si>
    <t>2.6.14</t>
  </si>
  <si>
    <t>2.6.15</t>
  </si>
  <si>
    <t>2.6.16</t>
  </si>
  <si>
    <t>2.6.17</t>
  </si>
  <si>
    <t>change 08/09 %</t>
  </si>
  <si>
    <r>
      <t>Source</t>
    </r>
    <r>
      <rPr>
        <sz val="8"/>
        <rFont val="Arial"/>
        <family val="2"/>
      </rPr>
      <t>: tables 2.6.2 and 1.5</t>
    </r>
  </si>
  <si>
    <r>
      <t xml:space="preserve">Notes: </t>
    </r>
    <r>
      <rPr>
        <sz val="8"/>
        <rFont val="Arial"/>
        <family val="2"/>
      </rPr>
      <t>Passenger car stock at end of year n has been divided by the population on 1 January of year n+1</t>
    </r>
  </si>
  <si>
    <t>change 08/09</t>
  </si>
  <si>
    <t>change 09/10 (%)</t>
  </si>
  <si>
    <r>
      <t>Source</t>
    </r>
    <r>
      <rPr>
        <sz val="8"/>
        <rFont val="Arial"/>
        <family val="2"/>
      </rPr>
      <t xml:space="preserve">: Association des Constructeurs Européens d'Automobiles (ACEA), national sources estimates </t>
    </r>
    <r>
      <rPr>
        <i/>
        <sz val="8"/>
        <rFont val="Arial"/>
        <family val="2"/>
      </rPr>
      <t>(italics)</t>
    </r>
  </si>
  <si>
    <r>
      <t>RO</t>
    </r>
    <r>
      <rPr>
        <sz val="8"/>
        <rFont val="Arial"/>
        <family val="0"/>
      </rPr>
      <t>: Sales</t>
    </r>
  </si>
  <si>
    <t>09/10</t>
  </si>
  <si>
    <t>change 08/09 (%)</t>
  </si>
  <si>
    <t>On January 1st, 2009</t>
  </si>
  <si>
    <t>Share of foreign flag in total fleet</t>
  </si>
  <si>
    <r>
      <t>Russia</t>
    </r>
    <r>
      <rPr>
        <sz val="8"/>
        <rFont val="Arial"/>
        <family val="2"/>
      </rPr>
      <t xml:space="preserve">: 1418 ships, 17.302 mio dwt; </t>
    </r>
    <r>
      <rPr>
        <b/>
        <sz val="8"/>
        <rFont val="Arial"/>
        <family val="2"/>
      </rPr>
      <t>Monaco</t>
    </r>
    <r>
      <rPr>
        <sz val="8"/>
        <rFont val="Arial"/>
        <family val="2"/>
      </rPr>
      <t xml:space="preserve">: 68 ships, 3.176 mio dwt; </t>
    </r>
    <r>
      <rPr>
        <b/>
        <sz val="8"/>
        <rFont val="Arial"/>
        <family val="2"/>
      </rPr>
      <t>Ukraine</t>
    </r>
    <r>
      <rPr>
        <sz val="8"/>
        <rFont val="Arial"/>
        <family val="2"/>
      </rPr>
      <t xml:space="preserve">: 386 ships, 2.817 mio dwt; </t>
    </r>
    <r>
      <rPr>
        <b/>
        <sz val="8"/>
        <rFont val="Arial"/>
        <family val="2"/>
      </rPr>
      <t>Gibraltar</t>
    </r>
    <r>
      <rPr>
        <sz val="8"/>
        <rFont val="Arial"/>
        <family val="2"/>
      </rPr>
      <t>: 10 ships, 0.224 mio dwt</t>
    </r>
  </si>
  <si>
    <r>
      <t xml:space="preserve">dwt </t>
    </r>
    <r>
      <rPr>
        <sz val="8"/>
        <rFont val="Arial"/>
        <family val="2"/>
      </rPr>
      <t>(thousand)</t>
    </r>
  </si>
  <si>
    <r>
      <t>For transport of goods and passengers: passenger and passenger / cargo ships by registered flag</t>
    </r>
    <r>
      <rPr>
        <sz val="10"/>
        <rFont val="Arial"/>
        <family val="2"/>
      </rPr>
      <t>, numbers and gross tons</t>
    </r>
  </si>
  <si>
    <r>
      <t xml:space="preserve">gt </t>
    </r>
    <r>
      <rPr>
        <sz val="8"/>
        <rFont val="Arial"/>
        <family val="2"/>
      </rPr>
      <t>(thousand)</t>
    </r>
  </si>
  <si>
    <r>
      <t>Cruise ships by registered flag</t>
    </r>
    <r>
      <rPr>
        <sz val="10"/>
        <rFont val="Arial"/>
        <family val="2"/>
      </rPr>
      <t>, numbers and gross tons</t>
    </r>
  </si>
  <si>
    <t>On 31 December 2010</t>
  </si>
  <si>
    <t>2009*</t>
  </si>
  <si>
    <r>
      <t>Source</t>
    </r>
    <r>
      <rPr>
        <sz val="8"/>
        <rFont val="Arial"/>
        <family val="2"/>
      </rPr>
      <t xml:space="preserve">:  Union Internationale des Chemins de Fer, national statistics (own estimates in </t>
    </r>
    <r>
      <rPr>
        <i/>
        <sz val="8"/>
        <rFont val="Arial"/>
        <family val="2"/>
      </rPr>
      <t>italics</t>
    </r>
    <r>
      <rPr>
        <sz val="8"/>
        <rFont val="Arial"/>
        <family val="2"/>
      </rPr>
      <t>)</t>
    </r>
  </si>
  <si>
    <r>
      <t xml:space="preserve">Break in time series due to inclusion of mopeds from 2001 in </t>
    </r>
    <r>
      <rPr>
        <b/>
        <sz val="8"/>
        <rFont val="Arial"/>
        <family val="2"/>
      </rPr>
      <t>ES</t>
    </r>
    <r>
      <rPr>
        <sz val="8"/>
        <rFont val="Arial"/>
        <family val="2"/>
      </rPr>
      <t xml:space="preserve">, from 2002 in </t>
    </r>
    <r>
      <rPr>
        <b/>
        <sz val="8"/>
        <rFont val="Arial"/>
        <family val="2"/>
      </rPr>
      <t xml:space="preserve">SI </t>
    </r>
    <r>
      <rPr>
        <sz val="8"/>
        <rFont val="Arial"/>
        <family val="2"/>
      </rPr>
      <t xml:space="preserve">and </t>
    </r>
    <r>
      <rPr>
        <b/>
        <sz val="8"/>
        <rFont val="Arial"/>
        <family val="2"/>
      </rPr>
      <t>HR</t>
    </r>
    <r>
      <rPr>
        <sz val="8"/>
        <rFont val="Arial"/>
        <family val="2"/>
      </rPr>
      <t xml:space="preserve">, from 2004 in </t>
    </r>
    <r>
      <rPr>
        <b/>
        <sz val="8"/>
        <rFont val="Arial"/>
        <family val="2"/>
      </rPr>
      <t>LV</t>
    </r>
    <r>
      <rPr>
        <sz val="8"/>
        <rFont val="Arial"/>
        <family val="2"/>
      </rPr>
      <t xml:space="preserve">, from 2005 in </t>
    </r>
    <r>
      <rPr>
        <b/>
        <sz val="8"/>
        <rFont val="Arial"/>
        <family val="2"/>
      </rPr>
      <t>PL</t>
    </r>
    <r>
      <rPr>
        <sz val="8"/>
        <rFont val="Arial"/>
        <family val="2"/>
      </rPr>
      <t xml:space="preserve">, from 2007 in </t>
    </r>
    <r>
      <rPr>
        <b/>
        <sz val="8"/>
        <rFont val="Arial"/>
        <family val="2"/>
      </rPr>
      <t>LT</t>
    </r>
    <r>
      <rPr>
        <sz val="8"/>
        <rFont val="Arial"/>
        <family val="2"/>
      </rPr>
      <t>.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</si>
  <si>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1970=5</t>
    </r>
    <r>
      <rPr>
        <i/>
        <sz val="8"/>
        <rFont val="Arial"/>
        <family val="2"/>
      </rPr>
      <t>000</t>
    </r>
    <r>
      <rPr>
        <sz val="8"/>
        <rFont val="Arial"/>
        <family val="2"/>
      </rPr>
      <t>;   1980=4506;   1990=6331</t>
    </r>
  </si>
  <si>
    <r>
      <t>CS:</t>
    </r>
    <r>
      <rPr>
        <sz val="8"/>
        <rFont val="Arial"/>
        <family val="2"/>
      </rPr>
      <t xml:space="preserve"> 1970: 4998;  1990: 6010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</si>
  <si>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>: 1970=</t>
    </r>
    <r>
      <rPr>
        <i/>
        <sz val="8"/>
        <rFont val="Arial"/>
        <family val="2"/>
      </rPr>
      <t>10000</t>
    </r>
    <r>
      <rPr>
        <sz val="8"/>
        <rFont val="Arial"/>
        <family val="2"/>
      </rPr>
      <t>,  1980=10761,  1990=9635</t>
    </r>
  </si>
  <si>
    <r>
      <t>CS:</t>
    </r>
    <r>
      <rPr>
        <sz val="8"/>
        <rFont val="Arial"/>
        <family val="2"/>
      </rPr>
      <t xml:space="preserve"> 1970=10145   1990=8597</t>
    </r>
  </si>
  <si>
    <r>
      <t>DE:</t>
    </r>
    <r>
      <rPr>
        <sz val="8"/>
        <rFont val="Arial"/>
        <family val="2"/>
      </rPr>
      <t xml:space="preserve"> includes </t>
    </r>
    <r>
      <rPr>
        <b/>
        <sz val="8"/>
        <rFont val="Arial"/>
        <family val="2"/>
      </rPr>
      <t>DE-E</t>
    </r>
    <r>
      <rPr>
        <sz val="8"/>
        <rFont val="Arial"/>
        <family val="2"/>
      </rPr>
      <t xml:space="preserve">: 1970=137 984;  1980=142 202;  1990=163 158 </t>
    </r>
  </si>
  <si>
    <t xml:space="preserve">% change 08/09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</si>
</sst>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\ 0.0%;\-\ 0.0%"/>
    <numFmt numFmtId="165" formatCode="\+0.0;\ \-0.0"/>
    <numFmt numFmtId="166" formatCode="#,##0.0\ "/>
    <numFmt numFmtId="167" formatCode="\+0.0\ ;\ \-0.0\ "/>
    <numFmt numFmtId="168" formatCode="#,##0.0"/>
    <numFmt numFmtId="169" formatCode="#,##0.000"/>
    <numFmt numFmtId="170" formatCode="0.0"/>
    <numFmt numFmtId="171" formatCode="#\ ##0"/>
    <numFmt numFmtId="172" formatCode="##0\ \ "/>
    <numFmt numFmtId="173" formatCode="##0\ \ \ "/>
    <numFmt numFmtId="174" formatCode="##0\ \ \ \ \ "/>
    <numFmt numFmtId="175" formatCode="0.000"/>
    <numFmt numFmtId="176" formatCode="#,##0.##0"/>
    <numFmt numFmtId="177" formatCode="###,###,##0.000"/>
    <numFmt numFmtId="178" formatCode="0.0000"/>
    <numFmt numFmtId="179" formatCode="0.00000"/>
    <numFmt numFmtId="180" formatCode="0.000000"/>
    <numFmt numFmtId="181" formatCode="0.0%"/>
    <numFmt numFmtId="182" formatCode="#,##0.0,"/>
    <numFmt numFmtId="183" formatCode="#,##0.0\ \ "/>
    <numFmt numFmtId="184" formatCode="#,##0.00\ "/>
    <numFmt numFmtId="185" formatCode="#,##0.000\ "/>
    <numFmt numFmtId="186" formatCode="#,###,##0"/>
    <numFmt numFmtId="187" formatCode="0.0\ \ \ "/>
    <numFmt numFmtId="188" formatCode="0.00\ "/>
    <numFmt numFmtId="189" formatCode="#,##0\ "/>
    <numFmt numFmtId="190" formatCode="##0\ "/>
    <numFmt numFmtId="191" formatCode="#\ ##0.0"/>
    <numFmt numFmtId="192" formatCode="#,##0.00\ \ "/>
    <numFmt numFmtId="193" formatCode="#,##0.000\ \ "/>
    <numFmt numFmtId="194" formatCode="##0.0\ "/>
    <numFmt numFmtId="195" formatCode="#,##0.0\ _€"/>
  </numFmts>
  <fonts count="25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9"/>
      <name val="Arial"/>
      <family val="0"/>
    </font>
    <font>
      <sz val="8"/>
      <color indexed="8"/>
      <name val="Arial"/>
      <family val="2"/>
    </font>
    <font>
      <sz val="10"/>
      <name val="Times"/>
      <family val="1"/>
    </font>
    <font>
      <b/>
      <sz val="10"/>
      <name val="Times"/>
      <family val="0"/>
    </font>
    <font>
      <b/>
      <sz val="8"/>
      <name val="Times"/>
      <family val="1"/>
    </font>
    <font>
      <b/>
      <i/>
      <sz val="10"/>
      <name val="Times"/>
      <family val="0"/>
    </font>
    <font>
      <sz val="8"/>
      <name val="Times"/>
      <family val="1"/>
    </font>
    <font>
      <i/>
      <sz val="8"/>
      <name val="Times"/>
      <family val="0"/>
    </font>
    <font>
      <sz val="8"/>
      <color indexed="10"/>
      <name val="Arial"/>
      <family val="2"/>
    </font>
  </fonts>
  <fills count="7">
    <fill>
      <patternFill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12" fillId="2" borderId="0" applyNumberFormat="0" applyBorder="0">
      <alignment/>
      <protection locked="0"/>
    </xf>
    <xf numFmtId="0" fontId="13" fillId="3" borderId="0" applyNumberFormat="0" applyBorder="0">
      <alignment/>
      <protection locked="0"/>
    </xf>
  </cellStyleXfs>
  <cellXfs count="9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 quotePrefix="1">
      <alignment horizontal="right" vertical="top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 quotePrefix="1">
      <alignment horizontal="righ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 quotePrefix="1">
      <alignment horizontal="right" vertical="top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quotePrefix="1">
      <alignment horizontal="right" vertical="top"/>
    </xf>
    <xf numFmtId="9" fontId="2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Border="1" applyAlignment="1">
      <alignment vertical="top"/>
    </xf>
    <xf numFmtId="9" fontId="4" fillId="0" borderId="0" xfId="0" applyNumberFormat="1" applyFont="1" applyAlignment="1" quotePrefix="1">
      <alignment horizontal="right" vertical="top"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vertical="center"/>
    </xf>
    <xf numFmtId="1" fontId="14" fillId="0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vertical="top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left" vertical="center" wrapText="1"/>
    </xf>
    <xf numFmtId="3" fontId="2" fillId="0" borderId="4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horizontal="center"/>
    </xf>
    <xf numFmtId="9" fontId="5" fillId="0" borderId="0" xfId="0" applyNumberFormat="1" applyFont="1" applyAlignment="1">
      <alignment horizontal="center"/>
    </xf>
    <xf numFmtId="0" fontId="2" fillId="0" borderId="0" xfId="0" applyFont="1" applyBorder="1" applyAlignment="1" applyProtection="1">
      <alignment horizontal="right" vertical="center"/>
      <protection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0" fontId="2" fillId="0" borderId="0" xfId="0" applyNumberFormat="1" applyFont="1" applyAlignment="1">
      <alignment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3" fontId="17" fillId="0" borderId="8" xfId="24" applyNumberFormat="1" applyFont="1" applyFill="1" applyBorder="1" applyAlignment="1">
      <alignment vertical="center"/>
      <protection locked="0"/>
    </xf>
    <xf numFmtId="3" fontId="17" fillId="0" borderId="9" xfId="24" applyNumberFormat="1" applyFont="1" applyFill="1" applyBorder="1" applyAlignment="1">
      <alignment vertical="center"/>
      <protection locked="0"/>
    </xf>
    <xf numFmtId="3" fontId="2" fillId="0" borderId="5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" fontId="3" fillId="4" borderId="7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/>
    </xf>
    <xf numFmtId="181" fontId="2" fillId="0" borderId="10" xfId="0" applyNumberFormat="1" applyFont="1" applyFill="1" applyBorder="1" applyAlignment="1">
      <alignment horizontal="center" vertical="center"/>
    </xf>
    <xf numFmtId="181" fontId="2" fillId="0" borderId="6" xfId="0" applyNumberFormat="1" applyFont="1" applyFill="1" applyBorder="1" applyAlignment="1">
      <alignment horizontal="center" vertical="center"/>
    </xf>
    <xf numFmtId="181" fontId="2" fillId="0" borderId="11" xfId="0" applyNumberFormat="1" applyFont="1" applyFill="1" applyBorder="1" applyAlignment="1">
      <alignment horizontal="center" vertical="center"/>
    </xf>
    <xf numFmtId="181" fontId="2" fillId="0" borderId="12" xfId="0" applyNumberFormat="1" applyFont="1" applyFill="1" applyBorder="1" applyAlignment="1">
      <alignment horizontal="center" vertical="center"/>
    </xf>
    <xf numFmtId="181" fontId="2" fillId="0" borderId="13" xfId="0" applyNumberFormat="1" applyFont="1" applyFill="1" applyBorder="1" applyAlignment="1">
      <alignment horizontal="center" vertical="center"/>
    </xf>
    <xf numFmtId="181" fontId="2" fillId="0" borderId="14" xfId="0" applyNumberFormat="1" applyFont="1" applyFill="1" applyBorder="1" applyAlignment="1">
      <alignment horizontal="center" vertical="center"/>
    </xf>
    <xf numFmtId="181" fontId="2" fillId="0" borderId="5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15" xfId="0" applyNumberFormat="1" applyFont="1" applyFill="1" applyBorder="1" applyAlignment="1">
      <alignment horizontal="center" vertical="center"/>
    </xf>
    <xf numFmtId="181" fontId="2" fillId="0" borderId="16" xfId="0" applyNumberFormat="1" applyFont="1" applyFill="1" applyBorder="1" applyAlignment="1">
      <alignment horizontal="center" vertical="center"/>
    </xf>
    <xf numFmtId="181" fontId="2" fillId="0" borderId="4" xfId="0" applyNumberFormat="1" applyFont="1" applyFill="1" applyBorder="1" applyAlignment="1">
      <alignment horizontal="center" vertical="center"/>
    </xf>
    <xf numFmtId="181" fontId="2" fillId="0" borderId="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wrapText="1"/>
    </xf>
    <xf numFmtId="0" fontId="3" fillId="5" borderId="1" xfId="0" applyFont="1" applyFill="1" applyBorder="1" applyAlignment="1">
      <alignment horizontal="left" vertical="center"/>
    </xf>
    <xf numFmtId="0" fontId="3" fillId="5" borderId="2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8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75" fontId="3" fillId="5" borderId="8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1" fontId="3" fillId="4" borderId="20" xfId="0" applyNumberFormat="1" applyFont="1" applyFill="1" applyBorder="1" applyAlignment="1">
      <alignment horizontal="center" vertical="center"/>
    </xf>
    <xf numFmtId="1" fontId="3" fillId="4" borderId="21" xfId="0" applyNumberFormat="1" applyFont="1" applyFill="1" applyBorder="1" applyAlignment="1">
      <alignment horizontal="center" vertical="center"/>
    </xf>
    <xf numFmtId="3" fontId="3" fillId="5" borderId="6" xfId="0" applyNumberFormat="1" applyFont="1" applyFill="1" applyBorder="1" applyAlignment="1">
      <alignment horizontal="right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5" borderId="0" xfId="0" applyNumberFormat="1" applyFont="1" applyFill="1" applyBorder="1" applyAlignment="1">
      <alignment horizontal="right" vertical="center"/>
    </xf>
    <xf numFmtId="3" fontId="3" fillId="5" borderId="8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horizontal="right" vertical="center"/>
    </xf>
    <xf numFmtId="3" fontId="3" fillId="5" borderId="4" xfId="0" applyNumberFormat="1" applyFont="1" applyFill="1" applyBorder="1" applyAlignment="1">
      <alignment horizontal="right" vertical="center"/>
    </xf>
    <xf numFmtId="3" fontId="3" fillId="5" borderId="9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3" fontId="2" fillId="5" borderId="5" xfId="0" applyNumberFormat="1" applyFont="1" applyFill="1" applyBorder="1" applyAlignment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3" fontId="2" fillId="0" borderId="6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168" fontId="3" fillId="5" borderId="6" xfId="0" applyNumberFormat="1" applyFont="1" applyFill="1" applyBorder="1" applyAlignment="1">
      <alignment horizontal="right" vertical="center"/>
    </xf>
    <xf numFmtId="168" fontId="3" fillId="5" borderId="0" xfId="0" applyNumberFormat="1" applyFont="1" applyFill="1" applyBorder="1" applyAlignment="1">
      <alignment horizontal="right" vertical="center"/>
    </xf>
    <xf numFmtId="3" fontId="11" fillId="5" borderId="6" xfId="0" applyNumberFormat="1" applyFont="1" applyFill="1" applyBorder="1" applyAlignment="1">
      <alignment horizontal="right" vertical="center"/>
    </xf>
    <xf numFmtId="3" fontId="11" fillId="5" borderId="0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  <xf numFmtId="3" fontId="3" fillId="5" borderId="5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68" fontId="2" fillId="0" borderId="6" xfId="0" applyNumberFormat="1" applyFont="1" applyFill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textRotation="90"/>
    </xf>
    <xf numFmtId="3" fontId="3" fillId="4" borderId="7" xfId="0" applyNumberFormat="1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3" fontId="2" fillId="5" borderId="0" xfId="0" applyNumberFormat="1" applyFont="1" applyFill="1" applyBorder="1" applyAlignment="1">
      <alignment vertical="center"/>
    </xf>
    <xf numFmtId="3" fontId="17" fillId="5" borderId="8" xfId="24" applyNumberFormat="1" applyFont="1" applyFill="1" applyBorder="1" applyAlignment="1">
      <alignment vertical="center"/>
      <protection locked="0"/>
    </xf>
    <xf numFmtId="3" fontId="2" fillId="5" borderId="4" xfId="0" applyNumberFormat="1" applyFont="1" applyFill="1" applyBorder="1" applyAlignment="1">
      <alignment vertical="center"/>
    </xf>
    <xf numFmtId="3" fontId="17" fillId="5" borderId="9" xfId="24" applyNumberFormat="1" applyFont="1" applyFill="1" applyBorder="1" applyAlignment="1">
      <alignment vertical="center"/>
      <protection locked="0"/>
    </xf>
    <xf numFmtId="3" fontId="2" fillId="5" borderId="6" xfId="0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>
      <alignment vertical="center"/>
    </xf>
    <xf numFmtId="3" fontId="2" fillId="5" borderId="0" xfId="0" applyNumberFormat="1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vertical="center"/>
    </xf>
    <xf numFmtId="3" fontId="2" fillId="5" borderId="4" xfId="0" applyNumberFormat="1" applyFont="1" applyFill="1" applyBorder="1" applyAlignment="1">
      <alignment vertical="center"/>
    </xf>
    <xf numFmtId="0" fontId="3" fillId="0" borderId="3" xfId="0" applyFont="1" applyBorder="1" applyAlignment="1">
      <alignment horizontal="center"/>
    </xf>
    <xf numFmtId="3" fontId="2" fillId="0" borderId="1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horizontal="center"/>
    </xf>
    <xf numFmtId="3" fontId="2" fillId="5" borderId="5" xfId="0" applyNumberFormat="1" applyFont="1" applyFill="1" applyBorder="1" applyAlignment="1">
      <alignment vertical="center"/>
    </xf>
    <xf numFmtId="3" fontId="2" fillId="5" borderId="5" xfId="0" applyNumberFormat="1" applyFont="1" applyFill="1" applyBorder="1" applyAlignment="1" quotePrefix="1">
      <alignment horizontal="right" vertical="center"/>
    </xf>
    <xf numFmtId="3" fontId="2" fillId="5" borderId="0" xfId="0" applyNumberFormat="1" applyFont="1" applyFill="1" applyBorder="1" applyAlignment="1" quotePrefix="1">
      <alignment horizontal="right" vertical="center"/>
    </xf>
    <xf numFmtId="3" fontId="2" fillId="5" borderId="0" xfId="0" applyNumberFormat="1" applyFont="1" applyFill="1" applyBorder="1" applyAlignment="1">
      <alignment horizontal="right" vertical="center"/>
    </xf>
    <xf numFmtId="3" fontId="3" fillId="5" borderId="10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/>
    </xf>
    <xf numFmtId="3" fontId="3" fillId="5" borderId="7" xfId="0" applyNumberFormat="1" applyFont="1" applyFill="1" applyBorder="1" applyAlignment="1">
      <alignment vertical="center"/>
    </xf>
    <xf numFmtId="3" fontId="3" fillId="5" borderId="4" xfId="0" applyNumberFormat="1" applyFont="1" applyFill="1" applyBorder="1" applyAlignment="1">
      <alignment vertical="center"/>
    </xf>
    <xf numFmtId="3" fontId="2" fillId="5" borderId="7" xfId="0" applyNumberFormat="1" applyFont="1" applyFill="1" applyBorder="1" applyAlignment="1">
      <alignment horizontal="right" vertical="center"/>
    </xf>
    <xf numFmtId="3" fontId="2" fillId="5" borderId="4" xfId="0" applyNumberFormat="1" applyFont="1" applyFill="1" applyBorder="1" applyAlignment="1">
      <alignment horizontal="right" vertical="center"/>
    </xf>
    <xf numFmtId="3" fontId="10" fillId="5" borderId="0" xfId="0" applyNumberFormat="1" applyFont="1" applyFill="1" applyBorder="1" applyAlignment="1">
      <alignment vertical="center"/>
    </xf>
    <xf numFmtId="3" fontId="2" fillId="5" borderId="22" xfId="0" applyNumberFormat="1" applyFont="1" applyFill="1" applyBorder="1" applyAlignment="1">
      <alignment vertical="center"/>
    </xf>
    <xf numFmtId="3" fontId="2" fillId="5" borderId="23" xfId="0" applyNumberFormat="1" applyFont="1" applyFill="1" applyBorder="1" applyAlignment="1">
      <alignment horizontal="right" vertical="center"/>
    </xf>
    <xf numFmtId="175" fontId="3" fillId="5" borderId="11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horizontal="right"/>
    </xf>
    <xf numFmtId="3" fontId="2" fillId="5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3" fontId="2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 quotePrefix="1">
      <alignment horizontal="right"/>
    </xf>
    <xf numFmtId="181" fontId="2" fillId="5" borderId="8" xfId="0" applyNumberFormat="1" applyFont="1" applyFill="1" applyBorder="1" applyAlignment="1">
      <alignment horizontal="right"/>
    </xf>
    <xf numFmtId="181" fontId="2" fillId="5" borderId="0" xfId="0" applyNumberFormat="1" applyFont="1" applyFill="1" applyBorder="1" applyAlignment="1">
      <alignment horizontal="right"/>
    </xf>
    <xf numFmtId="181" fontId="2" fillId="0" borderId="6" xfId="0" applyNumberFormat="1" applyFont="1" applyFill="1" applyBorder="1" applyAlignment="1">
      <alignment horizontal="right"/>
    </xf>
    <xf numFmtId="181" fontId="2" fillId="0" borderId="11" xfId="0" applyNumberFormat="1" applyFont="1" applyFill="1" applyBorder="1" applyAlignment="1">
      <alignment horizontal="right"/>
    </xf>
    <xf numFmtId="181" fontId="2" fillId="0" borderId="0" xfId="0" applyNumberFormat="1" applyFont="1" applyFill="1" applyBorder="1" applyAlignment="1">
      <alignment horizontal="right"/>
    </xf>
    <xf numFmtId="181" fontId="2" fillId="0" borderId="8" xfId="0" applyNumberFormat="1" applyFont="1" applyFill="1" applyBorder="1" applyAlignment="1">
      <alignment horizontal="right"/>
    </xf>
    <xf numFmtId="181" fontId="2" fillId="0" borderId="4" xfId="0" applyNumberFormat="1" applyFont="1" applyFill="1" applyBorder="1" applyAlignment="1">
      <alignment horizontal="right"/>
    </xf>
    <xf numFmtId="181" fontId="2" fillId="0" borderId="9" xfId="0" applyNumberFormat="1" applyFont="1" applyFill="1" applyBorder="1" applyAlignment="1">
      <alignment horizontal="right"/>
    </xf>
    <xf numFmtId="181" fontId="2" fillId="5" borderId="7" xfId="0" applyNumberFormat="1" applyFont="1" applyFill="1" applyBorder="1" applyAlignment="1">
      <alignment horizontal="right"/>
    </xf>
    <xf numFmtId="181" fontId="2" fillId="5" borderId="9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175" fontId="3" fillId="5" borderId="10" xfId="0" applyNumberFormat="1" applyFont="1" applyFill="1" applyBorder="1" applyAlignment="1">
      <alignment horizontal="right"/>
    </xf>
    <xf numFmtId="0" fontId="3" fillId="5" borderId="1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6" fontId="3" fillId="5" borderId="6" xfId="0" applyNumberFormat="1" applyFont="1" applyFill="1" applyBorder="1" applyAlignment="1">
      <alignment horizontal="right" vertical="center"/>
    </xf>
    <xf numFmtId="166" fontId="3" fillId="5" borderId="0" xfId="0" applyNumberFormat="1" applyFont="1" applyFill="1" applyBorder="1" applyAlignment="1">
      <alignment horizontal="right" vertical="center"/>
    </xf>
    <xf numFmtId="186" fontId="3" fillId="5" borderId="10" xfId="0" applyNumberFormat="1" applyFont="1" applyFill="1" applyBorder="1" applyAlignment="1">
      <alignment horizontal="right" vertical="center"/>
    </xf>
    <xf numFmtId="186" fontId="3" fillId="5" borderId="6" xfId="0" applyNumberFormat="1" applyFont="1" applyFill="1" applyBorder="1" applyAlignment="1">
      <alignment horizontal="right" vertical="center"/>
    </xf>
    <xf numFmtId="186" fontId="11" fillId="5" borderId="6" xfId="0" applyNumberFormat="1" applyFont="1" applyFill="1" applyBorder="1" applyAlignment="1">
      <alignment horizontal="right" vertical="center"/>
    </xf>
    <xf numFmtId="186" fontId="3" fillId="5" borderId="5" xfId="0" applyNumberFormat="1" applyFont="1" applyFill="1" applyBorder="1" applyAlignment="1">
      <alignment horizontal="right" vertical="center"/>
    </xf>
    <xf numFmtId="186" fontId="3" fillId="5" borderId="0" xfId="0" applyNumberFormat="1" applyFont="1" applyFill="1" applyBorder="1" applyAlignment="1">
      <alignment horizontal="right" vertical="center"/>
    </xf>
    <xf numFmtId="186" fontId="11" fillId="5" borderId="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>
      <alignment vertical="center"/>
    </xf>
    <xf numFmtId="186" fontId="2" fillId="0" borderId="6" xfId="0" applyNumberFormat="1" applyFont="1" applyFill="1" applyBorder="1" applyAlignment="1">
      <alignment vertical="center"/>
    </xf>
    <xf numFmtId="186" fontId="2" fillId="5" borderId="5" xfId="0" applyNumberFormat="1" applyFont="1" applyFill="1" applyBorder="1" applyAlignment="1">
      <alignment vertical="center"/>
    </xf>
    <xf numFmtId="186" fontId="2" fillId="5" borderId="0" xfId="0" applyNumberFormat="1" applyFont="1" applyFill="1" applyBorder="1" applyAlignment="1">
      <alignment vertical="center"/>
    </xf>
    <xf numFmtId="186" fontId="2" fillId="5" borderId="22" xfId="0" applyNumberFormat="1" applyFont="1" applyFill="1" applyBorder="1" applyAlignment="1">
      <alignment vertical="center"/>
    </xf>
    <xf numFmtId="186" fontId="2" fillId="0" borderId="5" xfId="0" applyNumberFormat="1" applyFont="1" applyFill="1" applyBorder="1" applyAlignment="1" quotePrefix="1">
      <alignment horizontal="right" vertical="center"/>
    </xf>
    <xf numFmtId="186" fontId="2" fillId="0" borderId="0" xfId="0" applyNumberFormat="1" applyFont="1" applyFill="1" applyBorder="1" applyAlignment="1" quotePrefix="1">
      <alignment horizontal="right" vertical="center"/>
    </xf>
    <xf numFmtId="186" fontId="2" fillId="0" borderId="0" xfId="0" applyNumberFormat="1" applyFont="1" applyFill="1" applyBorder="1" applyAlignment="1">
      <alignment vertical="center"/>
    </xf>
    <xf numFmtId="186" fontId="10" fillId="5" borderId="0" xfId="0" applyNumberFormat="1" applyFont="1" applyFill="1" applyBorder="1" applyAlignment="1">
      <alignment vertical="center"/>
    </xf>
    <xf numFmtId="186" fontId="10" fillId="5" borderId="0" xfId="0" applyNumberFormat="1" applyFont="1" applyFill="1" applyBorder="1" applyAlignment="1">
      <alignment horizontal="right" vertical="center"/>
    </xf>
    <xf numFmtId="186" fontId="2" fillId="0" borderId="5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horizontal="right" vertical="center"/>
    </xf>
    <xf numFmtId="186" fontId="2" fillId="0" borderId="22" xfId="0" applyNumberFormat="1" applyFont="1" applyFill="1" applyBorder="1" applyAlignment="1">
      <alignment vertical="center"/>
    </xf>
    <xf numFmtId="186" fontId="2" fillId="5" borderId="5" xfId="0" applyNumberFormat="1" applyFont="1" applyFill="1" applyBorder="1" applyAlignment="1" quotePrefix="1">
      <alignment horizontal="right" vertical="center"/>
    </xf>
    <xf numFmtId="186" fontId="2" fillId="5" borderId="0" xfId="0" applyNumberFormat="1" applyFont="1" applyFill="1" applyBorder="1" applyAlignment="1" quotePrefix="1">
      <alignment horizontal="right" vertical="center"/>
    </xf>
    <xf numFmtId="186" fontId="10" fillId="5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86" fontId="10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horizontal="right" vertical="center"/>
    </xf>
    <xf numFmtId="186" fontId="2" fillId="5" borderId="10" xfId="0" applyNumberFormat="1" applyFont="1" applyFill="1" applyBorder="1" applyAlignment="1">
      <alignment vertical="center"/>
    </xf>
    <xf numFmtId="186" fontId="2" fillId="5" borderId="6" xfId="0" applyNumberFormat="1" applyFont="1" applyFill="1" applyBorder="1" applyAlignment="1">
      <alignment vertical="center"/>
    </xf>
    <xf numFmtId="186" fontId="2" fillId="5" borderId="5" xfId="0" applyNumberFormat="1" applyFont="1" applyFill="1" applyBorder="1" applyAlignment="1">
      <alignment horizontal="right" vertical="center"/>
    </xf>
    <xf numFmtId="186" fontId="2" fillId="5" borderId="0" xfId="0" applyNumberFormat="1" applyFont="1" applyFill="1" applyBorder="1" applyAlignment="1">
      <alignment horizontal="right" vertical="center"/>
    </xf>
    <xf numFmtId="186" fontId="2" fillId="0" borderId="10" xfId="0" applyNumberFormat="1" applyFont="1" applyFill="1" applyBorder="1" applyAlignment="1" quotePrefix="1">
      <alignment horizontal="right" vertical="center"/>
    </xf>
    <xf numFmtId="186" fontId="2" fillId="0" borderId="6" xfId="0" applyNumberFormat="1" applyFont="1" applyFill="1" applyBorder="1" applyAlignment="1" quotePrefix="1">
      <alignment horizontal="right" vertical="center"/>
    </xf>
    <xf numFmtId="186" fontId="2" fillId="0" borderId="5" xfId="0" applyNumberFormat="1" applyFont="1" applyFill="1" applyBorder="1" applyAlignment="1">
      <alignment horizontal="right" vertical="center"/>
    </xf>
    <xf numFmtId="189" fontId="3" fillId="5" borderId="6" xfId="0" applyNumberFormat="1" applyFont="1" applyFill="1" applyBorder="1" applyAlignment="1">
      <alignment horizontal="right" vertical="center"/>
    </xf>
    <xf numFmtId="189" fontId="3" fillId="5" borderId="0" xfId="0" applyNumberFormat="1" applyFont="1" applyFill="1" applyBorder="1" applyAlignment="1">
      <alignment horizontal="right" vertical="center"/>
    </xf>
    <xf numFmtId="189" fontId="2" fillId="5" borderId="5" xfId="0" applyNumberFormat="1" applyFont="1" applyFill="1" applyBorder="1" applyAlignment="1">
      <alignment horizontal="right" vertical="center"/>
    </xf>
    <xf numFmtId="189" fontId="2" fillId="0" borderId="7" xfId="0" applyNumberFormat="1" applyFont="1" applyFill="1" applyBorder="1" applyAlignment="1">
      <alignment horizontal="right" vertical="center"/>
    </xf>
    <xf numFmtId="189" fontId="2" fillId="0" borderId="5" xfId="0" applyNumberFormat="1" applyFont="1" applyFill="1" applyBorder="1" applyAlignment="1">
      <alignment horizontal="right" vertical="center"/>
    </xf>
    <xf numFmtId="189" fontId="2" fillId="5" borderId="7" xfId="0" applyNumberFormat="1" applyFont="1" applyFill="1" applyBorder="1" applyAlignment="1">
      <alignment horizontal="right" vertical="center"/>
    </xf>
    <xf numFmtId="189" fontId="3" fillId="5" borderId="10" xfId="0" applyNumberFormat="1" applyFont="1" applyFill="1" applyBorder="1" applyAlignment="1">
      <alignment horizontal="right" vertical="center"/>
    </xf>
    <xf numFmtId="189" fontId="3" fillId="5" borderId="5" xfId="0" applyNumberFormat="1" applyFont="1" applyFill="1" applyBorder="1" applyAlignment="1">
      <alignment horizontal="right" vertical="center"/>
    </xf>
    <xf numFmtId="189" fontId="3" fillId="5" borderId="7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horizontal="right" vertical="center"/>
    </xf>
    <xf numFmtId="190" fontId="3" fillId="5" borderId="6" xfId="0" applyNumberFormat="1" applyFont="1" applyFill="1" applyBorder="1" applyAlignment="1">
      <alignment horizontal="right" vertical="center"/>
    </xf>
    <xf numFmtId="190" fontId="3" fillId="5" borderId="0" xfId="0" applyNumberFormat="1" applyFont="1" applyFill="1" applyBorder="1" applyAlignment="1">
      <alignment horizontal="right" vertical="center"/>
    </xf>
    <xf numFmtId="190" fontId="3" fillId="5" borderId="4" xfId="0" applyNumberFormat="1" applyFont="1" applyFill="1" applyBorder="1" applyAlignment="1">
      <alignment horizontal="right" vertical="center"/>
    </xf>
    <xf numFmtId="190" fontId="2" fillId="0" borderId="6" xfId="0" applyNumberFormat="1" applyFont="1" applyFill="1" applyBorder="1" applyAlignment="1">
      <alignment horizontal="right" vertical="center"/>
    </xf>
    <xf numFmtId="190" fontId="2" fillId="5" borderId="0" xfId="0" applyNumberFormat="1" applyFont="1" applyFill="1" applyBorder="1" applyAlignment="1">
      <alignment horizontal="right" vertical="center"/>
    </xf>
    <xf numFmtId="190" fontId="2" fillId="0" borderId="0" xfId="0" applyNumberFormat="1" applyFont="1" applyFill="1" applyBorder="1" applyAlignment="1">
      <alignment horizontal="right" vertical="center"/>
    </xf>
    <xf numFmtId="190" fontId="2" fillId="0" borderId="4" xfId="0" applyNumberFormat="1" applyFont="1" applyFill="1" applyBorder="1" applyAlignment="1">
      <alignment horizontal="right" vertical="center"/>
    </xf>
    <xf numFmtId="190" fontId="2" fillId="5" borderId="4" xfId="0" applyNumberFormat="1" applyFont="1" applyFill="1" applyBorder="1" applyAlignment="1">
      <alignment horizontal="right" vertical="center"/>
    </xf>
    <xf numFmtId="0" fontId="3" fillId="5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4" borderId="0" xfId="0" applyFont="1" applyFill="1" applyBorder="1" applyAlignment="1">
      <alignment horizontal="center" vertical="center" wrapText="1"/>
    </xf>
    <xf numFmtId="168" fontId="10" fillId="0" borderId="0" xfId="0" applyNumberFormat="1" applyFont="1" applyFill="1" applyBorder="1" applyAlignment="1">
      <alignment horizontal="right" vertical="center"/>
    </xf>
    <xf numFmtId="168" fontId="2" fillId="5" borderId="0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4" borderId="5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3" fontId="3" fillId="5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/>
    </xf>
    <xf numFmtId="1" fontId="3" fillId="4" borderId="6" xfId="0" applyNumberFormat="1" applyFont="1" applyFill="1" applyBorder="1" applyAlignment="1">
      <alignment horizontal="center"/>
    </xf>
    <xf numFmtId="190" fontId="2" fillId="5" borderId="22" xfId="0" applyNumberFormat="1" applyFont="1" applyFill="1" applyBorder="1" applyAlignment="1">
      <alignment horizontal="right" vertical="center"/>
    </xf>
    <xf numFmtId="190" fontId="2" fillId="0" borderId="22" xfId="0" applyNumberFormat="1" applyFont="1" applyFill="1" applyBorder="1" applyAlignment="1">
      <alignment horizontal="right" vertical="center"/>
    </xf>
    <xf numFmtId="3" fontId="11" fillId="5" borderId="10" xfId="0" applyNumberFormat="1" applyFont="1" applyFill="1" applyBorder="1" applyAlignment="1">
      <alignment horizontal="right" vertical="center"/>
    </xf>
    <xf numFmtId="190" fontId="11" fillId="5" borderId="6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175" fontId="3" fillId="5" borderId="5" xfId="0" applyNumberFormat="1" applyFont="1" applyFill="1" applyBorder="1" applyAlignment="1">
      <alignment horizontal="right"/>
    </xf>
    <xf numFmtId="3" fontId="3" fillId="5" borderId="4" xfId="0" applyNumberFormat="1" applyFont="1" applyFill="1" applyBorder="1" applyAlignment="1">
      <alignment horizontal="right"/>
    </xf>
    <xf numFmtId="175" fontId="3" fillId="5" borderId="4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189" fontId="3" fillId="5" borderId="4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5" borderId="8" xfId="0" applyNumberFormat="1" applyFont="1" applyFill="1" applyBorder="1" applyAlignment="1">
      <alignment vertical="center"/>
    </xf>
    <xf numFmtId="189" fontId="2" fillId="0" borderId="8" xfId="0" applyNumberFormat="1" applyFont="1" applyFill="1" applyBorder="1" applyAlignment="1">
      <alignment vertical="center"/>
    </xf>
    <xf numFmtId="189" fontId="2" fillId="5" borderId="8" xfId="0" applyNumberFormat="1" applyFont="1" applyFill="1" applyBorder="1" applyAlignment="1">
      <alignment vertical="center"/>
    </xf>
    <xf numFmtId="189" fontId="2" fillId="0" borderId="8" xfId="0" applyNumberFormat="1" applyFont="1" applyFill="1" applyBorder="1" applyAlignment="1">
      <alignment/>
    </xf>
    <xf numFmtId="189" fontId="2" fillId="5" borderId="0" xfId="0" applyNumberFormat="1" applyFont="1" applyFill="1" applyBorder="1" applyAlignment="1" quotePrefix="1">
      <alignment horizontal="right" vertical="center"/>
    </xf>
    <xf numFmtId="189" fontId="2" fillId="0" borderId="8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 quotePrefix="1">
      <alignment horizontal="right" vertical="center"/>
    </xf>
    <xf numFmtId="189" fontId="2" fillId="0" borderId="9" xfId="0" applyNumberFormat="1" applyFont="1" applyFill="1" applyBorder="1" applyAlignment="1">
      <alignment vertical="center"/>
    </xf>
    <xf numFmtId="189" fontId="2" fillId="5" borderId="9" xfId="0" applyNumberFormat="1" applyFont="1" applyFill="1" applyBorder="1" applyAlignment="1">
      <alignment vertical="center"/>
    </xf>
    <xf numFmtId="189" fontId="2" fillId="0" borderId="4" xfId="0" applyNumberFormat="1" applyFont="1" applyFill="1" applyBorder="1" applyAlignment="1">
      <alignment vertical="center"/>
    </xf>
    <xf numFmtId="189" fontId="2" fillId="5" borderId="8" xfId="0" applyNumberFormat="1" applyFont="1" applyFill="1" applyBorder="1" applyAlignment="1">
      <alignment horizontal="right" vertical="center"/>
    </xf>
    <xf numFmtId="189" fontId="11" fillId="5" borderId="6" xfId="0" applyNumberFormat="1" applyFont="1" applyFill="1" applyBorder="1" applyAlignment="1">
      <alignment horizontal="right" vertical="center"/>
    </xf>
    <xf numFmtId="189" fontId="11" fillId="5" borderId="0" xfId="0" applyNumberFormat="1" applyFont="1" applyFill="1" applyBorder="1" applyAlignment="1">
      <alignment horizontal="right" vertical="center"/>
    </xf>
    <xf numFmtId="189" fontId="3" fillId="5" borderId="0" xfId="0" applyNumberFormat="1" applyFont="1" applyFill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168" fontId="2" fillId="5" borderId="4" xfId="0" applyNumberFormat="1" applyFont="1" applyFill="1" applyBorder="1" applyAlignment="1">
      <alignment horizontal="right" vertical="center"/>
    </xf>
    <xf numFmtId="189" fontId="2" fillId="0" borderId="0" xfId="0" applyNumberFormat="1" applyFont="1" applyAlignment="1">
      <alignment/>
    </xf>
    <xf numFmtId="168" fontId="11" fillId="5" borderId="6" xfId="0" applyNumberFormat="1" applyFont="1" applyFill="1" applyBorder="1" applyAlignment="1">
      <alignment horizontal="right" vertical="center"/>
    </xf>
    <xf numFmtId="168" fontId="3" fillId="5" borderId="0" xfId="0" applyNumberFormat="1" applyFont="1" applyFill="1" applyBorder="1" applyAlignment="1" quotePrefix="1">
      <alignment horizontal="right" vertical="center"/>
    </xf>
    <xf numFmtId="168" fontId="11" fillId="5" borderId="0" xfId="0" applyNumberFormat="1" applyFont="1" applyFill="1" applyBorder="1" applyAlignment="1" quotePrefix="1">
      <alignment horizontal="right" vertical="center"/>
    </xf>
    <xf numFmtId="0" fontId="3" fillId="4" borderId="3" xfId="0" applyFont="1" applyFill="1" applyBorder="1" applyAlignment="1">
      <alignment horizontal="center" vertical="top" wrapText="1"/>
    </xf>
    <xf numFmtId="190" fontId="10" fillId="0" borderId="0" xfId="0" applyNumberFormat="1" applyFont="1" applyFill="1" applyBorder="1" applyAlignment="1">
      <alignment horizontal="right" vertical="center"/>
    </xf>
    <xf numFmtId="190" fontId="2" fillId="0" borderId="23" xfId="0" applyNumberFormat="1" applyFont="1" applyFill="1" applyBorder="1" applyAlignment="1">
      <alignment horizontal="right" vertical="center"/>
    </xf>
    <xf numFmtId="0" fontId="2" fillId="4" borderId="8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3" fontId="10" fillId="0" borderId="5" xfId="0" applyNumberFormat="1" applyFont="1" applyFill="1" applyBorder="1" applyAlignment="1">
      <alignment vertical="center"/>
    </xf>
    <xf numFmtId="3" fontId="11" fillId="5" borderId="5" xfId="0" applyNumberFormat="1" applyFont="1" applyFill="1" applyBorder="1" applyAlignment="1">
      <alignment vertical="center"/>
    </xf>
    <xf numFmtId="181" fontId="2" fillId="0" borderId="7" xfId="0" applyNumberFormat="1" applyFont="1" applyFill="1" applyBorder="1" applyAlignment="1">
      <alignment horizontal="center" vertical="center"/>
    </xf>
    <xf numFmtId="3" fontId="17" fillId="0" borderId="0" xfId="24" applyNumberFormat="1" applyFont="1" applyFill="1" applyBorder="1" applyAlignment="1">
      <alignment vertical="center"/>
      <protection locked="0"/>
    </xf>
    <xf numFmtId="3" fontId="17" fillId="5" borderId="0" xfId="24" applyNumberFormat="1" applyFont="1" applyFill="1" applyBorder="1" applyAlignment="1">
      <alignment vertical="center"/>
      <protection locked="0"/>
    </xf>
    <xf numFmtId="3" fontId="17" fillId="0" borderId="4" xfId="24" applyNumberFormat="1" applyFont="1" applyFill="1" applyBorder="1" applyAlignment="1">
      <alignment vertical="center"/>
      <protection locked="0"/>
    </xf>
    <xf numFmtId="3" fontId="17" fillId="5" borderId="4" xfId="24" applyNumberFormat="1" applyFont="1" applyFill="1" applyBorder="1" applyAlignment="1">
      <alignment vertical="center"/>
      <protection locked="0"/>
    </xf>
    <xf numFmtId="3" fontId="17" fillId="5" borderId="6" xfId="24" applyNumberFormat="1" applyFont="1" applyFill="1" applyBorder="1" applyAlignment="1">
      <alignment vertical="center"/>
      <protection locked="0"/>
    </xf>
    <xf numFmtId="3" fontId="2" fillId="5" borderId="7" xfId="0" applyNumberFormat="1" applyFont="1" applyFill="1" applyBorder="1" applyAlignment="1">
      <alignment vertical="center"/>
    </xf>
    <xf numFmtId="169" fontId="11" fillId="5" borderId="10" xfId="0" applyNumberFormat="1" applyFont="1" applyFill="1" applyBorder="1" applyAlignment="1">
      <alignment horizontal="right" vertical="center"/>
    </xf>
    <xf numFmtId="169" fontId="3" fillId="5" borderId="5" xfId="0" applyNumberFormat="1" applyFont="1" applyFill="1" applyBorder="1" applyAlignment="1">
      <alignment horizontal="right" vertical="center"/>
    </xf>
    <xf numFmtId="169" fontId="3" fillId="5" borderId="0" xfId="0" applyNumberFormat="1" applyFont="1" applyFill="1" applyBorder="1" applyAlignment="1">
      <alignment horizontal="right" vertical="center"/>
    </xf>
    <xf numFmtId="169" fontId="3" fillId="5" borderId="7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169" fontId="2" fillId="5" borderId="5" xfId="0" applyNumberFormat="1" applyFont="1" applyFill="1" applyBorder="1" applyAlignment="1">
      <alignment horizontal="right" vertical="center"/>
    </xf>
    <xf numFmtId="169" fontId="2" fillId="0" borderId="5" xfId="0" applyNumberFormat="1" applyFont="1" applyFill="1" applyBorder="1" applyAlignment="1">
      <alignment horizontal="right" vertical="center"/>
    </xf>
    <xf numFmtId="169" fontId="2" fillId="0" borderId="0" xfId="0" applyNumberFormat="1" applyFont="1" applyFill="1" applyBorder="1" applyAlignment="1">
      <alignment horizontal="right" vertical="center"/>
    </xf>
    <xf numFmtId="169" fontId="2" fillId="0" borderId="7" xfId="0" applyNumberFormat="1" applyFont="1" applyFill="1" applyBorder="1" applyAlignment="1">
      <alignment horizontal="right" vertical="center"/>
    </xf>
    <xf numFmtId="169" fontId="3" fillId="5" borderId="10" xfId="0" applyNumberFormat="1" applyFont="1" applyFill="1" applyBorder="1" applyAlignment="1">
      <alignment horizontal="right" vertical="center"/>
    </xf>
    <xf numFmtId="0" fontId="15" fillId="0" borderId="0" xfId="0" applyFont="1" applyAlignment="1" quotePrefix="1">
      <alignment horizontal="left"/>
    </xf>
    <xf numFmtId="0" fontId="2" fillId="0" borderId="6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3" fontId="2" fillId="5" borderId="27" xfId="0" applyNumberFormat="1" applyFont="1" applyFill="1" applyBorder="1" applyAlignment="1">
      <alignment horizontal="right" vertical="center"/>
    </xf>
    <xf numFmtId="3" fontId="2" fillId="0" borderId="27" xfId="0" applyNumberFormat="1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right" vertical="center"/>
    </xf>
    <xf numFmtId="0" fontId="2" fillId="5" borderId="27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right" vertical="center"/>
    </xf>
    <xf numFmtId="169" fontId="2" fillId="0" borderId="27" xfId="0" applyNumberFormat="1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" fontId="3" fillId="5" borderId="30" xfId="0" applyNumberFormat="1" applyFont="1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189" fontId="3" fillId="5" borderId="6" xfId="0" applyNumberFormat="1" applyFont="1" applyFill="1" applyBorder="1" applyAlignment="1">
      <alignment horizontal="right" vertical="center"/>
    </xf>
    <xf numFmtId="189" fontId="3" fillId="5" borderId="0" xfId="0" applyNumberFormat="1" applyFont="1" applyFill="1" applyBorder="1" applyAlignment="1">
      <alignment vertical="center"/>
    </xf>
    <xf numFmtId="189" fontId="2" fillId="0" borderId="6" xfId="0" applyNumberFormat="1" applyFont="1" applyFill="1" applyBorder="1" applyAlignment="1">
      <alignment vertical="center"/>
    </xf>
    <xf numFmtId="189" fontId="2" fillId="5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5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5" borderId="4" xfId="0" applyNumberFormat="1" applyFont="1" applyFill="1" applyBorder="1" applyAlignment="1">
      <alignment vertical="center"/>
    </xf>
    <xf numFmtId="189" fontId="2" fillId="5" borderId="0" xfId="0" applyNumberFormat="1" applyFont="1" applyFill="1" applyBorder="1" applyAlignment="1">
      <alignment horizontal="right" vertical="center"/>
    </xf>
    <xf numFmtId="189" fontId="10" fillId="5" borderId="0" xfId="0" applyNumberFormat="1" applyFont="1" applyFill="1" applyBorder="1" applyAlignment="1">
      <alignment horizontal="right" vertical="center"/>
    </xf>
    <xf numFmtId="189" fontId="10" fillId="5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5" borderId="6" xfId="0" applyNumberFormat="1" applyFont="1" applyFill="1" applyBorder="1" applyAlignment="1">
      <alignment vertical="center"/>
    </xf>
    <xf numFmtId="189" fontId="2" fillId="0" borderId="6" xfId="0" applyNumberFormat="1" applyFont="1" applyFill="1" applyBorder="1" applyAlignment="1" quotePrefix="1">
      <alignment horizontal="right" vertical="center"/>
    </xf>
    <xf numFmtId="189" fontId="3" fillId="5" borderId="31" xfId="0" applyNumberFormat="1" applyFont="1" applyFill="1" applyBorder="1" applyAlignment="1">
      <alignment horizontal="right" vertical="center"/>
    </xf>
    <xf numFmtId="189" fontId="3" fillId="5" borderId="22" xfId="0" applyNumberFormat="1" applyFont="1" applyFill="1" applyBorder="1" applyAlignment="1">
      <alignment vertical="center"/>
    </xf>
    <xf numFmtId="189" fontId="2" fillId="0" borderId="22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3" fontId="2" fillId="0" borderId="32" xfId="0" applyNumberFormat="1" applyFont="1" applyBorder="1" applyAlignment="1">
      <alignment horizontal="center"/>
    </xf>
    <xf numFmtId="166" fontId="3" fillId="5" borderId="0" xfId="0" applyNumberFormat="1" applyFont="1" applyFill="1" applyBorder="1" applyAlignment="1" quotePrefix="1">
      <alignment horizontal="right" vertical="center"/>
    </xf>
    <xf numFmtId="170" fontId="2" fillId="0" borderId="0" xfId="0" applyNumberFormat="1" applyFont="1" applyBorder="1" applyAlignment="1">
      <alignment/>
    </xf>
    <xf numFmtId="171" fontId="2" fillId="0" borderId="2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 vertical="center"/>
    </xf>
    <xf numFmtId="171" fontId="2" fillId="0" borderId="33" xfId="0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171" fontId="10" fillId="0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71" fontId="2" fillId="0" borderId="1" xfId="0" applyNumberFormat="1" applyFont="1" applyBorder="1" applyAlignment="1">
      <alignment horizontal="right" vertical="center"/>
    </xf>
    <xf numFmtId="171" fontId="2" fillId="0" borderId="6" xfId="0" applyNumberFormat="1" applyFont="1" applyBorder="1" applyAlignment="1">
      <alignment horizontal="right" vertical="center"/>
    </xf>
    <xf numFmtId="171" fontId="2" fillId="0" borderId="2" xfId="0" applyNumberFormat="1" applyFont="1" applyBorder="1" applyAlignment="1">
      <alignment horizontal="right" vertical="center"/>
    </xf>
    <xf numFmtId="171" fontId="2" fillId="0" borderId="0" xfId="0" applyNumberFormat="1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top"/>
    </xf>
    <xf numFmtId="3" fontId="11" fillId="5" borderId="1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 applyAlignment="1">
      <alignment horizontal="right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vertical="center"/>
    </xf>
    <xf numFmtId="171" fontId="2" fillId="5" borderId="2" xfId="0" applyNumberFormat="1" applyFont="1" applyFill="1" applyBorder="1" applyAlignment="1">
      <alignment horizontal="right" vertical="center"/>
    </xf>
    <xf numFmtId="171" fontId="2" fillId="5" borderId="0" xfId="0" applyNumberFormat="1" applyFont="1" applyFill="1" applyBorder="1" applyAlignment="1">
      <alignment horizontal="right" vertical="center"/>
    </xf>
    <xf numFmtId="3" fontId="2" fillId="5" borderId="33" xfId="0" applyNumberFormat="1" applyFont="1" applyFill="1" applyBorder="1" applyAlignment="1">
      <alignment horizontal="right" vertical="center"/>
    </xf>
    <xf numFmtId="1" fontId="2" fillId="5" borderId="0" xfId="0" applyNumberFormat="1" applyFont="1" applyFill="1" applyBorder="1" applyAlignment="1">
      <alignment horizontal="right" vertical="center"/>
    </xf>
    <xf numFmtId="171" fontId="2" fillId="5" borderId="33" xfId="0" applyNumberFormat="1" applyFont="1" applyFill="1" applyBorder="1" applyAlignment="1">
      <alignment horizontal="right" vertical="center"/>
    </xf>
    <xf numFmtId="171" fontId="2" fillId="5" borderId="3" xfId="0" applyNumberFormat="1" applyFont="1" applyFill="1" applyBorder="1" applyAlignment="1">
      <alignment horizontal="right" vertical="center"/>
    </xf>
    <xf numFmtId="171" fontId="2" fillId="5" borderId="4" xfId="0" applyNumberFormat="1" applyFont="1" applyFill="1" applyBorder="1" applyAlignment="1">
      <alignment horizontal="right" vertical="center"/>
    </xf>
    <xf numFmtId="3" fontId="11" fillId="5" borderId="2" xfId="0" applyNumberFormat="1" applyFont="1" applyFill="1" applyBorder="1" applyAlignment="1">
      <alignment horizontal="right" vertical="center"/>
    </xf>
    <xf numFmtId="171" fontId="2" fillId="0" borderId="1" xfId="0" applyNumberFormat="1" applyFont="1" applyFill="1" applyBorder="1" applyAlignment="1">
      <alignment horizontal="right" vertical="center"/>
    </xf>
    <xf numFmtId="171" fontId="2" fillId="0" borderId="6" xfId="0" applyNumberFormat="1" applyFont="1" applyFill="1" applyBorder="1" applyAlignment="1">
      <alignment horizontal="right" vertical="center"/>
    </xf>
    <xf numFmtId="171" fontId="2" fillId="0" borderId="3" xfId="0" applyNumberFormat="1" applyFont="1" applyFill="1" applyBorder="1" applyAlignment="1">
      <alignment horizontal="right" vertical="center"/>
    </xf>
    <xf numFmtId="171" fontId="2" fillId="0" borderId="4" xfId="0" applyNumberFormat="1" applyFont="1" applyFill="1" applyBorder="1" applyAlignment="1">
      <alignment horizontal="right" vertical="center"/>
    </xf>
    <xf numFmtId="1" fontId="2" fillId="0" borderId="4" xfId="0" applyNumberFormat="1" applyFont="1" applyFill="1" applyBorder="1" applyAlignment="1">
      <alignment horizontal="right" vertical="center"/>
    </xf>
    <xf numFmtId="1" fontId="3" fillId="4" borderId="3" xfId="0" applyNumberFormat="1" applyFont="1" applyFill="1" applyBorder="1" applyAlignment="1">
      <alignment horizontal="center" vertical="center"/>
    </xf>
    <xf numFmtId="168" fontId="2" fillId="0" borderId="0" xfId="0" applyNumberFormat="1" applyFont="1" applyBorder="1" applyAlignment="1">
      <alignment vertical="top" wrapText="1"/>
    </xf>
    <xf numFmtId="168" fontId="2" fillId="0" borderId="33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68" fontId="2" fillId="5" borderId="33" xfId="0" applyNumberFormat="1" applyFont="1" applyFill="1" applyBorder="1" applyAlignment="1">
      <alignment horizontal="right" vertical="center"/>
    </xf>
    <xf numFmtId="170" fontId="2" fillId="0" borderId="5" xfId="0" applyNumberFormat="1" applyFont="1" applyFill="1" applyBorder="1" applyAlignment="1">
      <alignment horizontal="right" vertical="center"/>
    </xf>
    <xf numFmtId="168" fontId="2" fillId="0" borderId="34" xfId="0" applyNumberFormat="1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168" fontId="3" fillId="5" borderId="4" xfId="0" applyNumberFormat="1" applyFont="1" applyFill="1" applyBorder="1" applyAlignment="1">
      <alignment horizontal="right" vertical="center"/>
    </xf>
    <xf numFmtId="170" fontId="2" fillId="5" borderId="0" xfId="0" applyNumberFormat="1" applyFont="1" applyFill="1" applyBorder="1" applyAlignment="1">
      <alignment horizontal="right" vertical="center"/>
    </xf>
    <xf numFmtId="170" fontId="2" fillId="5" borderId="33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0" borderId="10" xfId="0" applyNumberFormat="1" applyFont="1" applyFill="1" applyBorder="1" applyAlignment="1">
      <alignment horizontal="right" vertical="center"/>
    </xf>
    <xf numFmtId="170" fontId="2" fillId="5" borderId="5" xfId="0" applyNumberFormat="1" applyFont="1" applyFill="1" applyBorder="1" applyAlignment="1">
      <alignment horizontal="right" vertical="center"/>
    </xf>
    <xf numFmtId="189" fontId="3" fillId="5" borderId="4" xfId="0" applyNumberFormat="1" applyFont="1" applyFill="1" applyBorder="1" applyAlignment="1">
      <alignment horizontal="right" vertical="center"/>
    </xf>
    <xf numFmtId="1" fontId="3" fillId="4" borderId="17" xfId="0" applyNumberFormat="1" applyFont="1" applyFill="1" applyBorder="1" applyAlignment="1">
      <alignment horizontal="center" vertical="center"/>
    </xf>
    <xf numFmtId="190" fontId="11" fillId="5" borderId="1" xfId="0" applyNumberFormat="1" applyFont="1" applyFill="1" applyBorder="1" applyAlignment="1">
      <alignment horizontal="right" vertical="center"/>
    </xf>
    <xf numFmtId="190" fontId="3" fillId="5" borderId="2" xfId="0" applyNumberFormat="1" applyFont="1" applyFill="1" applyBorder="1" applyAlignment="1">
      <alignment horizontal="right" vertical="center"/>
    </xf>
    <xf numFmtId="190" fontId="11" fillId="5" borderId="3" xfId="0" applyNumberFormat="1" applyFont="1" applyFill="1" applyBorder="1" applyAlignment="1">
      <alignment horizontal="right" vertical="center"/>
    </xf>
    <xf numFmtId="190" fontId="2" fillId="0" borderId="1" xfId="0" applyNumberFormat="1" applyFont="1" applyFill="1" applyBorder="1" applyAlignment="1">
      <alignment horizontal="right" vertical="center"/>
    </xf>
    <xf numFmtId="190" fontId="2" fillId="5" borderId="2" xfId="0" applyNumberFormat="1" applyFont="1" applyFill="1" applyBorder="1" applyAlignment="1">
      <alignment horizontal="right" vertical="center"/>
    </xf>
    <xf numFmtId="190" fontId="2" fillId="0" borderId="2" xfId="0" applyNumberFormat="1" applyFont="1" applyFill="1" applyBorder="1" applyAlignment="1">
      <alignment horizontal="right" vertical="center"/>
    </xf>
    <xf numFmtId="190" fontId="2" fillId="0" borderId="3" xfId="0" applyNumberFormat="1" applyFont="1" applyFill="1" applyBorder="1" applyAlignment="1">
      <alignment horizontal="right" vertical="center"/>
    </xf>
    <xf numFmtId="190" fontId="2" fillId="5" borderId="3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7" fontId="1" fillId="0" borderId="0" xfId="0" applyNumberFormat="1" applyFont="1" applyBorder="1" applyAlignment="1" quotePrefix="1">
      <alignment horizontal="center" vertical="center" wrapText="1"/>
    </xf>
    <xf numFmtId="0" fontId="20" fillId="0" borderId="0" xfId="0" applyFont="1" applyAlignment="1">
      <alignment horizontal="center"/>
    </xf>
    <xf numFmtId="49" fontId="0" fillId="0" borderId="0" xfId="0" applyNumberFormat="1" applyFont="1" applyAlignment="1">
      <alignment horizontal="left" vertical="center"/>
    </xf>
    <xf numFmtId="187" fontId="0" fillId="0" borderId="0" xfId="0" applyNumberFormat="1" applyFont="1" applyAlignment="1" quotePrefix="1">
      <alignment horizontal="left" vertical="center"/>
    </xf>
    <xf numFmtId="0" fontId="0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left" vertical="center"/>
    </xf>
    <xf numFmtId="188" fontId="0" fillId="0" borderId="0" xfId="0" applyNumberFormat="1" applyFont="1" applyAlignment="1" quotePrefix="1">
      <alignment horizontal="left" vertic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/>
    </xf>
    <xf numFmtId="181" fontId="2" fillId="0" borderId="0" xfId="0" applyNumberFormat="1" applyFont="1" applyAlignment="1">
      <alignment/>
    </xf>
    <xf numFmtId="0" fontId="3" fillId="4" borderId="3" xfId="0" applyFont="1" applyFill="1" applyBorder="1" applyAlignment="1">
      <alignment horizontal="center" vertical="center"/>
    </xf>
    <xf numFmtId="3" fontId="17" fillId="0" borderId="11" xfId="24" applyNumberFormat="1" applyFont="1" applyFill="1" applyBorder="1" applyAlignment="1">
      <alignment vertical="center"/>
      <protection locked="0"/>
    </xf>
    <xf numFmtId="3" fontId="17" fillId="5" borderId="0" xfId="24" applyNumberFormat="1" applyFont="1" applyFill="1" applyBorder="1" applyAlignment="1">
      <alignment horizontal="center" vertical="center"/>
      <protection locked="0"/>
    </xf>
    <xf numFmtId="3" fontId="17" fillId="5" borderId="11" xfId="24" applyNumberFormat="1" applyFont="1" applyFill="1" applyBorder="1" applyAlignment="1">
      <alignment vertical="center"/>
      <protection locked="0"/>
    </xf>
    <xf numFmtId="0" fontId="2" fillId="4" borderId="1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center" wrapText="1"/>
    </xf>
    <xf numFmtId="3" fontId="3" fillId="5" borderId="19" xfId="0" applyNumberFormat="1" applyFont="1" applyFill="1" applyBorder="1" applyAlignment="1">
      <alignment horizontal="right" vertical="center"/>
    </xf>
    <xf numFmtId="3" fontId="3" fillId="5" borderId="20" xfId="0" applyNumberFormat="1" applyFont="1" applyFill="1" applyBorder="1" applyAlignment="1">
      <alignment horizontal="right" vertical="center"/>
    </xf>
    <xf numFmtId="169" fontId="3" fillId="5" borderId="2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/>
    </xf>
    <xf numFmtId="3" fontId="3" fillId="5" borderId="27" xfId="0" applyNumberFormat="1" applyFont="1" applyFill="1" applyBorder="1" applyAlignment="1">
      <alignment horizontal="right" vertical="center"/>
    </xf>
    <xf numFmtId="0" fontId="3" fillId="5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3" fontId="2" fillId="0" borderId="29" xfId="0" applyNumberFormat="1" applyFont="1" applyFill="1" applyBorder="1" applyAlignment="1">
      <alignment horizontal="right" vertical="center"/>
    </xf>
    <xf numFmtId="3" fontId="2" fillId="0" borderId="35" xfId="0" applyNumberFormat="1" applyFont="1" applyFill="1" applyBorder="1" applyAlignment="1">
      <alignment horizontal="right" vertical="center"/>
    </xf>
    <xf numFmtId="175" fontId="10" fillId="0" borderId="4" xfId="0" applyNumberFormat="1" applyFont="1" applyFill="1" applyBorder="1" applyAlignment="1">
      <alignment horizontal="right" vertical="center"/>
    </xf>
    <xf numFmtId="3" fontId="3" fillId="5" borderId="28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left" vertical="center" wrapText="1"/>
    </xf>
    <xf numFmtId="3" fontId="2" fillId="5" borderId="30" xfId="0" applyNumberFormat="1" applyFont="1" applyFill="1" applyBorder="1" applyAlignment="1">
      <alignment horizontal="right" vertical="center"/>
    </xf>
    <xf numFmtId="3" fontId="3" fillId="5" borderId="36" xfId="0" applyNumberFormat="1" applyFont="1" applyFill="1" applyBorder="1" applyAlignment="1">
      <alignment horizontal="right" vertical="center"/>
    </xf>
    <xf numFmtId="3" fontId="2" fillId="5" borderId="20" xfId="0" applyNumberFormat="1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right" vertical="center"/>
    </xf>
    <xf numFmtId="0" fontId="2" fillId="5" borderId="20" xfId="0" applyFont="1" applyFill="1" applyBorder="1" applyAlignment="1">
      <alignment horizontal="right" vertical="center"/>
    </xf>
    <xf numFmtId="3" fontId="10" fillId="0" borderId="35" xfId="0" applyNumberFormat="1" applyFont="1" applyFill="1" applyBorder="1" applyAlignment="1">
      <alignment horizontal="right" vertical="center"/>
    </xf>
    <xf numFmtId="169" fontId="2" fillId="0" borderId="29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right" vertical="center"/>
    </xf>
    <xf numFmtId="169" fontId="2" fillId="5" borderId="3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3" fontId="0" fillId="0" borderId="0" xfId="0" applyNumberFormat="1" applyBorder="1" applyAlignment="1">
      <alignment vertical="top"/>
    </xf>
    <xf numFmtId="169" fontId="2" fillId="5" borderId="27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 wrapText="1"/>
    </xf>
    <xf numFmtId="9" fontId="2" fillId="0" borderId="6" xfId="0" applyNumberFormat="1" applyFont="1" applyFill="1" applyBorder="1" applyAlignment="1">
      <alignment horizontal="right" vertical="center" wrapText="1"/>
    </xf>
    <xf numFmtId="9" fontId="2" fillId="0" borderId="6" xfId="0" applyNumberFormat="1" applyFont="1" applyFill="1" applyBorder="1" applyAlignment="1">
      <alignment horizontal="right" vertical="center"/>
    </xf>
    <xf numFmtId="3" fontId="3" fillId="0" borderId="7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3" fillId="0" borderId="35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3" fontId="3" fillId="0" borderId="4" xfId="0" applyNumberFormat="1" applyFont="1" applyFill="1" applyBorder="1" applyAlignment="1">
      <alignment horizontal="right" vertical="center"/>
    </xf>
    <xf numFmtId="189" fontId="2" fillId="0" borderId="4" xfId="0" applyNumberFormat="1" applyFont="1" applyFill="1" applyBorder="1" applyAlignment="1">
      <alignment vertical="center"/>
    </xf>
    <xf numFmtId="189" fontId="2" fillId="0" borderId="9" xfId="0" applyNumberFormat="1" applyFont="1" applyFill="1" applyBorder="1" applyAlignment="1">
      <alignment vertical="center"/>
    </xf>
    <xf numFmtId="3" fontId="11" fillId="5" borderId="0" xfId="0" applyNumberFormat="1" applyFont="1" applyFill="1" applyBorder="1" applyAlignment="1">
      <alignment vertical="center"/>
    </xf>
    <xf numFmtId="189" fontId="11" fillId="5" borderId="0" xfId="0" applyNumberFormat="1" applyFont="1" applyFill="1" applyBorder="1" applyAlignment="1">
      <alignment vertical="center"/>
    </xf>
    <xf numFmtId="189" fontId="11" fillId="5" borderId="4" xfId="0" applyNumberFormat="1" applyFont="1" applyFill="1" applyBorder="1" applyAlignment="1">
      <alignment vertical="center"/>
    </xf>
    <xf numFmtId="189" fontId="10" fillId="5" borderId="8" xfId="0" applyNumberFormat="1" applyFont="1" applyFill="1" applyBorder="1" applyAlignment="1">
      <alignment vertical="center"/>
    </xf>
    <xf numFmtId="189" fontId="10" fillId="0" borderId="4" xfId="0" applyNumberFormat="1" applyFont="1" applyFill="1" applyBorder="1" applyAlignment="1">
      <alignment vertical="center"/>
    </xf>
    <xf numFmtId="189" fontId="11" fillId="5" borderId="10" xfId="0" applyNumberFormat="1" applyFont="1" applyFill="1" applyBorder="1" applyAlignment="1">
      <alignment horizontal="right" vertical="center"/>
    </xf>
    <xf numFmtId="189" fontId="11" fillId="5" borderId="11" xfId="0" applyNumberFormat="1" applyFont="1" applyFill="1" applyBorder="1" applyAlignment="1">
      <alignment horizontal="right" vertical="center"/>
    </xf>
    <xf numFmtId="189" fontId="11" fillId="5" borderId="5" xfId="0" applyNumberFormat="1" applyFont="1" applyFill="1" applyBorder="1" applyAlignment="1">
      <alignment horizontal="right" vertical="center"/>
    </xf>
    <xf numFmtId="189" fontId="11" fillId="5" borderId="8" xfId="0" applyNumberFormat="1" applyFont="1" applyFill="1" applyBorder="1" applyAlignment="1">
      <alignment horizontal="right" vertical="center"/>
    </xf>
    <xf numFmtId="189" fontId="3" fillId="5" borderId="7" xfId="0" applyNumberFormat="1" applyFont="1" applyFill="1" applyBorder="1" applyAlignment="1">
      <alignment horizontal="right" vertical="center"/>
    </xf>
    <xf numFmtId="189" fontId="3" fillId="5" borderId="9" xfId="0" applyNumberFormat="1" applyFont="1" applyFill="1" applyBorder="1" applyAlignment="1">
      <alignment horizontal="right" vertical="center"/>
    </xf>
    <xf numFmtId="189" fontId="2" fillId="0" borderId="10" xfId="0" applyNumberFormat="1" applyFont="1" applyFill="1" applyBorder="1" applyAlignment="1">
      <alignment vertical="center"/>
    </xf>
    <xf numFmtId="189" fontId="2" fillId="5" borderId="5" xfId="0" applyNumberFormat="1" applyFont="1" applyFill="1" applyBorder="1" applyAlignment="1">
      <alignment vertical="center"/>
    </xf>
    <xf numFmtId="189" fontId="2" fillId="0" borderId="5" xfId="0" applyNumberFormat="1" applyFont="1" applyFill="1" applyBorder="1" applyAlignment="1">
      <alignment vertical="center"/>
    </xf>
    <xf numFmtId="189" fontId="10" fillId="5" borderId="5" xfId="0" applyNumberFormat="1" applyFont="1" applyFill="1" applyBorder="1" applyAlignment="1">
      <alignment horizontal="right" vertical="center"/>
    </xf>
    <xf numFmtId="189" fontId="10" fillId="5" borderId="8" xfId="0" applyNumberFormat="1" applyFont="1" applyFill="1" applyBorder="1" applyAlignment="1">
      <alignment horizontal="right" vertical="center"/>
    </xf>
    <xf numFmtId="189" fontId="2" fillId="5" borderId="5" xfId="0" applyNumberFormat="1" applyFont="1" applyFill="1" applyBorder="1" applyAlignment="1" quotePrefix="1">
      <alignment horizontal="right" vertical="center"/>
    </xf>
    <xf numFmtId="189" fontId="2" fillId="5" borderId="8" xfId="0" applyNumberFormat="1" applyFont="1" applyFill="1" applyBorder="1" applyAlignment="1" quotePrefix="1">
      <alignment horizontal="right" vertical="center"/>
    </xf>
    <xf numFmtId="189" fontId="2" fillId="0" borderId="5" xfId="0" applyNumberFormat="1" applyFont="1" applyFill="1" applyBorder="1" applyAlignment="1" quotePrefix="1">
      <alignment horizontal="right" vertical="center"/>
    </xf>
    <xf numFmtId="189" fontId="2" fillId="0" borderId="8" xfId="0" applyNumberFormat="1" applyFont="1" applyFill="1" applyBorder="1" applyAlignment="1" quotePrefix="1">
      <alignment horizontal="right" vertical="center"/>
    </xf>
    <xf numFmtId="189" fontId="10" fillId="5" borderId="5" xfId="0" applyNumberFormat="1" applyFont="1" applyFill="1" applyBorder="1" applyAlignment="1">
      <alignment vertical="center"/>
    </xf>
    <xf numFmtId="189" fontId="2" fillId="0" borderId="5" xfId="0" applyNumberFormat="1" applyFont="1" applyFill="1" applyBorder="1" applyAlignment="1">
      <alignment vertical="center"/>
    </xf>
    <xf numFmtId="189" fontId="2" fillId="0" borderId="5" xfId="0" applyNumberFormat="1" applyFont="1" applyFill="1" applyBorder="1" applyAlignment="1">
      <alignment horizontal="right" vertical="center"/>
    </xf>
    <xf numFmtId="189" fontId="2" fillId="0" borderId="8" xfId="0" applyNumberFormat="1" applyFont="1" applyFill="1" applyBorder="1" applyAlignment="1">
      <alignment horizontal="right" vertical="center"/>
    </xf>
    <xf numFmtId="189" fontId="2" fillId="5" borderId="10" xfId="0" applyNumberFormat="1" applyFont="1" applyFill="1" applyBorder="1" applyAlignment="1">
      <alignment vertical="center"/>
    </xf>
    <xf numFmtId="189" fontId="2" fillId="5" borderId="11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 quotePrefix="1">
      <alignment horizontal="right" vertical="center"/>
    </xf>
    <xf numFmtId="189" fontId="2" fillId="0" borderId="11" xfId="0" applyNumberFormat="1" applyFont="1" applyFill="1" applyBorder="1" applyAlignment="1" quotePrefix="1">
      <alignment horizontal="right" vertical="center"/>
    </xf>
    <xf numFmtId="189" fontId="2" fillId="0" borderId="7" xfId="0" applyNumberFormat="1" applyFont="1" applyFill="1" applyBorder="1" applyAlignment="1">
      <alignment vertical="center"/>
    </xf>
    <xf numFmtId="3" fontId="17" fillId="0" borderId="6" xfId="24" applyNumberFormat="1" applyFont="1" applyFill="1" applyBorder="1" applyAlignment="1">
      <alignment vertical="center"/>
      <protection locked="0"/>
    </xf>
    <xf numFmtId="3" fontId="17" fillId="0" borderId="5" xfId="24" applyNumberFormat="1" applyFont="1" applyFill="1" applyBorder="1" applyAlignment="1">
      <alignment vertical="center"/>
      <protection locked="0"/>
    </xf>
    <xf numFmtId="3" fontId="17" fillId="5" borderId="5" xfId="24" applyNumberFormat="1" applyFont="1" applyFill="1" applyBorder="1" applyAlignment="1">
      <alignment vertical="center"/>
      <protection locked="0"/>
    </xf>
    <xf numFmtId="3" fontId="17" fillId="0" borderId="7" xfId="24" applyNumberFormat="1" applyFont="1" applyFill="1" applyBorder="1" applyAlignment="1">
      <alignment vertical="center"/>
      <protection locked="0"/>
    </xf>
    <xf numFmtId="3" fontId="17" fillId="5" borderId="5" xfId="24" applyNumberFormat="1" applyFont="1" applyFill="1" applyBorder="1" applyAlignment="1">
      <alignment horizontal="center" vertical="center"/>
      <protection locked="0"/>
    </xf>
    <xf numFmtId="3" fontId="17" fillId="5" borderId="10" xfId="24" applyNumberFormat="1" applyFont="1" applyFill="1" applyBorder="1" applyAlignment="1">
      <alignment vertical="center"/>
      <protection locked="0"/>
    </xf>
    <xf numFmtId="3" fontId="17" fillId="5" borderId="7" xfId="24" applyNumberFormat="1" applyFont="1" applyFill="1" applyBorder="1" applyAlignment="1">
      <alignment vertical="center"/>
      <protection locked="0"/>
    </xf>
    <xf numFmtId="3" fontId="17" fillId="0" borderId="10" xfId="24" applyNumberFormat="1" applyFont="1" applyFill="1" applyBorder="1" applyAlignment="1">
      <alignment vertical="center"/>
      <protection locked="0"/>
    </xf>
    <xf numFmtId="3" fontId="17" fillId="0" borderId="5" xfId="24" applyNumberFormat="1" applyFont="1" applyFill="1" applyBorder="1" applyAlignment="1" quotePrefix="1">
      <alignment horizontal="center" vertical="center"/>
      <protection locked="0"/>
    </xf>
    <xf numFmtId="3" fontId="17" fillId="0" borderId="0" xfId="24" applyNumberFormat="1" applyFont="1" applyFill="1" applyBorder="1" applyAlignment="1" quotePrefix="1">
      <alignment horizontal="center" vertical="center"/>
      <protection locked="0"/>
    </xf>
    <xf numFmtId="3" fontId="17" fillId="5" borderId="0" xfId="24" applyNumberFormat="1" applyFont="1" applyFill="1" applyBorder="1" applyAlignment="1" quotePrefix="1">
      <alignment horizontal="center" vertical="center"/>
      <protection locked="0"/>
    </xf>
    <xf numFmtId="3" fontId="17" fillId="5" borderId="8" xfId="24" applyNumberFormat="1" applyFont="1" applyFill="1" applyBorder="1" applyAlignment="1" quotePrefix="1">
      <alignment horizontal="center" vertical="center"/>
      <protection locked="0"/>
    </xf>
    <xf numFmtId="169" fontId="2" fillId="5" borderId="10" xfId="0" applyNumberFormat="1" applyFont="1" applyFill="1" applyBorder="1" applyAlignment="1">
      <alignment horizontal="right" vertical="center"/>
    </xf>
    <xf numFmtId="169" fontId="2" fillId="5" borderId="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wrapText="1"/>
    </xf>
    <xf numFmtId="3" fontId="11" fillId="5" borderId="4" xfId="0" applyNumberFormat="1" applyFont="1" applyFill="1" applyBorder="1" applyAlignment="1">
      <alignment horizontal="right" vertical="center"/>
    </xf>
    <xf numFmtId="168" fontId="3" fillId="5" borderId="9" xfId="0" applyNumberFormat="1" applyFont="1" applyFill="1" applyBorder="1" applyAlignment="1">
      <alignment horizontal="right" vertical="center"/>
    </xf>
    <xf numFmtId="168" fontId="2" fillId="0" borderId="11" xfId="0" applyNumberFormat="1" applyFont="1" applyFill="1" applyBorder="1" applyAlignment="1">
      <alignment horizontal="right" vertical="center"/>
    </xf>
    <xf numFmtId="168" fontId="2" fillId="5" borderId="8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9" xfId="0" applyNumberFormat="1" applyFont="1" applyFill="1" applyBorder="1" applyAlignment="1">
      <alignment horizontal="right" vertical="center"/>
    </xf>
    <xf numFmtId="168" fontId="2" fillId="5" borderId="6" xfId="0" applyNumberFormat="1" applyFont="1" applyFill="1" applyBorder="1" applyAlignment="1">
      <alignment horizontal="right" vertical="center"/>
    </xf>
    <xf numFmtId="168" fontId="2" fillId="5" borderId="11" xfId="0" applyNumberFormat="1" applyFont="1" applyFill="1" applyBorder="1" applyAlignment="1">
      <alignment horizontal="right" vertical="center"/>
    </xf>
    <xf numFmtId="168" fontId="2" fillId="5" borderId="9" xfId="0" applyNumberFormat="1" applyFont="1" applyFill="1" applyBorder="1" applyAlignment="1">
      <alignment horizontal="right" vertical="center"/>
    </xf>
    <xf numFmtId="170" fontId="3" fillId="5" borderId="6" xfId="0" applyNumberFormat="1" applyFont="1" applyFill="1" applyBorder="1" applyAlignment="1">
      <alignment horizontal="right" vertical="center"/>
    </xf>
    <xf numFmtId="170" fontId="3" fillId="5" borderId="0" xfId="0" applyNumberFormat="1" applyFont="1" applyFill="1" applyBorder="1" applyAlignment="1">
      <alignment horizontal="right" vertical="center"/>
    </xf>
    <xf numFmtId="170" fontId="11" fillId="5" borderId="0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5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10" fillId="0" borderId="4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right" vertical="center"/>
    </xf>
    <xf numFmtId="170" fontId="2" fillId="5" borderId="4" xfId="0" applyNumberFormat="1" applyFont="1" applyFill="1" applyBorder="1" applyAlignment="1">
      <alignment horizontal="right" vertical="center"/>
    </xf>
    <xf numFmtId="170" fontId="2" fillId="0" borderId="6" xfId="0" applyNumberFormat="1" applyFont="1" applyBorder="1" applyAlignment="1">
      <alignment horizontal="right" vertical="center"/>
    </xf>
    <xf numFmtId="170" fontId="3" fillId="5" borderId="8" xfId="0" applyNumberFormat="1" applyFont="1" applyFill="1" applyBorder="1" applyAlignment="1">
      <alignment horizontal="right"/>
    </xf>
    <xf numFmtId="170" fontId="3" fillId="5" borderId="9" xfId="0" applyNumberFormat="1" applyFont="1" applyFill="1" applyBorder="1" applyAlignment="1">
      <alignment horizontal="right"/>
    </xf>
    <xf numFmtId="170" fontId="2" fillId="0" borderId="11" xfId="0" applyNumberFormat="1" applyFont="1" applyFill="1" applyBorder="1" applyAlignment="1">
      <alignment horizontal="right"/>
    </xf>
    <xf numFmtId="170" fontId="2" fillId="5" borderId="8" xfId="0" applyNumberFormat="1" applyFont="1" applyFill="1" applyBorder="1" applyAlignment="1">
      <alignment horizontal="right"/>
    </xf>
    <xf numFmtId="170" fontId="2" fillId="0" borderId="8" xfId="0" applyNumberFormat="1" applyFont="1" applyFill="1" applyBorder="1" applyAlignment="1">
      <alignment horizontal="right"/>
    </xf>
    <xf numFmtId="170" fontId="2" fillId="0" borderId="9" xfId="0" applyNumberFormat="1" applyFont="1" applyFill="1" applyBorder="1" applyAlignment="1">
      <alignment horizontal="right"/>
    </xf>
    <xf numFmtId="170" fontId="2" fillId="5" borderId="9" xfId="0" applyNumberFormat="1" applyFont="1" applyFill="1" applyBorder="1" applyAlignment="1">
      <alignment horizontal="right"/>
    </xf>
    <xf numFmtId="170" fontId="2" fillId="0" borderId="6" xfId="0" applyNumberFormat="1" applyFont="1" applyBorder="1" applyAlignment="1">
      <alignment vertical="center"/>
    </xf>
    <xf numFmtId="170" fontId="2" fillId="5" borderId="0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5" xfId="0" applyNumberFormat="1" applyFont="1" applyBorder="1" applyAlignment="1">
      <alignment vertical="center"/>
    </xf>
    <xf numFmtId="189" fontId="3" fillId="5" borderId="11" xfId="0" applyNumberFormat="1" applyFont="1" applyFill="1" applyBorder="1" applyAlignment="1">
      <alignment horizontal="center" vertical="center"/>
    </xf>
    <xf numFmtId="189" fontId="3" fillId="5" borderId="8" xfId="0" applyNumberFormat="1" applyFont="1" applyFill="1" applyBorder="1" applyAlignment="1">
      <alignment horizontal="center" vertical="center"/>
    </xf>
    <xf numFmtId="189" fontId="3" fillId="5" borderId="9" xfId="0" applyNumberFormat="1" applyFont="1" applyFill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189" fontId="2" fillId="5" borderId="8" xfId="0" applyNumberFormat="1" applyFont="1" applyFill="1" applyBorder="1" applyAlignment="1">
      <alignment horizontal="center" vertical="center"/>
    </xf>
    <xf numFmtId="189" fontId="2" fillId="0" borderId="8" xfId="0" applyNumberFormat="1" applyFont="1" applyFill="1" applyBorder="1" applyAlignment="1">
      <alignment horizontal="center" vertical="center"/>
    </xf>
    <xf numFmtId="189" fontId="2" fillId="0" borderId="9" xfId="0" applyNumberFormat="1" applyFont="1" applyFill="1" applyBorder="1" applyAlignment="1">
      <alignment horizontal="center" vertical="center"/>
    </xf>
    <xf numFmtId="189" fontId="2" fillId="5" borderId="7" xfId="0" applyNumberFormat="1" applyFont="1" applyFill="1" applyBorder="1" applyAlignment="1">
      <alignment horizontal="center" vertical="center"/>
    </xf>
    <xf numFmtId="189" fontId="2" fillId="5" borderId="9" xfId="0" applyNumberFormat="1" applyFont="1" applyFill="1" applyBorder="1" applyAlignment="1">
      <alignment horizontal="center" vertical="center"/>
    </xf>
    <xf numFmtId="189" fontId="2" fillId="5" borderId="4" xfId="0" applyNumberFormat="1" applyFont="1" applyFill="1" applyBorder="1" applyAlignment="1">
      <alignment horizontal="center" vertical="center"/>
    </xf>
    <xf numFmtId="170" fontId="11" fillId="5" borderId="1" xfId="0" applyNumberFormat="1" applyFont="1" applyFill="1" applyBorder="1" applyAlignment="1">
      <alignment horizontal="right" vertical="center"/>
    </xf>
    <xf numFmtId="170" fontId="11" fillId="5" borderId="2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170" fontId="2" fillId="0" borderId="1" xfId="0" applyNumberFormat="1" applyFont="1" applyBorder="1" applyAlignment="1">
      <alignment horizontal="right" vertical="center"/>
    </xf>
    <xf numFmtId="170" fontId="2" fillId="5" borderId="2" xfId="0" applyNumberFormat="1" applyFont="1" applyFill="1" applyBorder="1" applyAlignment="1">
      <alignment horizontal="right" vertical="center"/>
    </xf>
    <xf numFmtId="170" fontId="2" fillId="5" borderId="3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5" borderId="2" xfId="0" applyNumberFormat="1" applyFont="1" applyFill="1" applyBorder="1" applyAlignment="1">
      <alignment horizontal="right" vertical="center"/>
    </xf>
    <xf numFmtId="171" fontId="10" fillId="0" borderId="2" xfId="0" applyNumberFormat="1" applyFont="1" applyFill="1" applyBorder="1" applyAlignment="1">
      <alignment horizontal="right" vertical="center"/>
    </xf>
    <xf numFmtId="170" fontId="2" fillId="0" borderId="2" xfId="0" applyNumberFormat="1" applyFont="1" applyFill="1" applyBorder="1" applyAlignment="1">
      <alignment horizontal="right" vertical="center"/>
    </xf>
    <xf numFmtId="3" fontId="11" fillId="5" borderId="11" xfId="0" applyNumberFormat="1" applyFont="1" applyFill="1" applyBorder="1" applyAlignment="1">
      <alignment horizontal="right" vertical="center"/>
    </xf>
    <xf numFmtId="3" fontId="3" fillId="5" borderId="8" xfId="0" applyNumberFormat="1" applyFont="1" applyFill="1" applyBorder="1" applyAlignment="1">
      <alignment vertical="center"/>
    </xf>
    <xf numFmtId="3" fontId="11" fillId="5" borderId="9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 quotePrefix="1">
      <alignment horizontal="right" vertical="center"/>
    </xf>
    <xf numFmtId="3" fontId="2" fillId="0" borderId="8" xfId="0" applyNumberFormat="1" applyFont="1" applyFill="1" applyBorder="1" applyAlignment="1">
      <alignment vertical="center"/>
    </xf>
    <xf numFmtId="3" fontId="10" fillId="5" borderId="8" xfId="0" applyNumberFormat="1" applyFont="1" applyFill="1" applyBorder="1" applyAlignment="1">
      <alignment vertical="center"/>
    </xf>
    <xf numFmtId="3" fontId="2" fillId="5" borderId="8" xfId="0" applyNumberFormat="1" applyFont="1" applyFill="1" applyBorder="1" applyAlignment="1" quotePrefix="1">
      <alignment horizontal="right" vertical="center"/>
    </xf>
    <xf numFmtId="3" fontId="2" fillId="0" borderId="9" xfId="0" applyNumberFormat="1" applyFont="1" applyFill="1" applyBorder="1" applyAlignment="1">
      <alignment vertical="center"/>
    </xf>
    <xf numFmtId="3" fontId="2" fillId="5" borderId="9" xfId="0" applyNumberFormat="1" applyFont="1" applyFill="1" applyBorder="1" applyAlignment="1">
      <alignment horizontal="right" vertical="center"/>
    </xf>
    <xf numFmtId="1" fontId="3" fillId="6" borderId="1" xfId="0" applyNumberFormat="1" applyFont="1" applyFill="1" applyBorder="1" applyAlignment="1" quotePrefix="1">
      <alignment horizontal="center" vertical="center"/>
    </xf>
    <xf numFmtId="1" fontId="3" fillId="6" borderId="2" xfId="0" applyNumberFormat="1" applyFont="1" applyFill="1" applyBorder="1" applyAlignment="1" quotePrefix="1">
      <alignment horizontal="center" vertical="center"/>
    </xf>
    <xf numFmtId="1" fontId="3" fillId="6" borderId="3" xfId="0" applyNumberFormat="1" applyFont="1" applyFill="1" applyBorder="1" applyAlignment="1" quotePrefix="1">
      <alignment horizontal="center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2" fillId="5" borderId="5" xfId="0" applyNumberFormat="1" applyFont="1" applyFill="1" applyBorder="1" applyAlignment="1">
      <alignment horizontal="right" vertical="center"/>
    </xf>
    <xf numFmtId="168" fontId="2" fillId="0" borderId="5" xfId="0" applyNumberFormat="1" applyFont="1" applyFill="1" applyBorder="1" applyAlignment="1">
      <alignment horizontal="right" vertical="center"/>
    </xf>
    <xf numFmtId="168" fontId="10" fillId="0" borderId="5" xfId="0" applyNumberFormat="1" applyFont="1" applyFill="1" applyBorder="1" applyAlignment="1">
      <alignment horizontal="right" vertical="center"/>
    </xf>
    <xf numFmtId="168" fontId="2" fillId="0" borderId="7" xfId="0" applyNumberFormat="1" applyFont="1" applyFill="1" applyBorder="1" applyAlignment="1">
      <alignment horizontal="right" vertical="center"/>
    </xf>
    <xf numFmtId="168" fontId="3" fillId="5" borderId="11" xfId="0" applyNumberFormat="1" applyFont="1" applyFill="1" applyBorder="1" applyAlignment="1">
      <alignment horizontal="right" vertical="center"/>
    </xf>
    <xf numFmtId="168" fontId="3" fillId="5" borderId="8" xfId="0" applyNumberFormat="1" applyFont="1" applyFill="1" applyBorder="1" applyAlignment="1">
      <alignment horizontal="right" vertical="center"/>
    </xf>
    <xf numFmtId="168" fontId="2" fillId="0" borderId="37" xfId="0" applyNumberFormat="1" applyFont="1" applyFill="1" applyBorder="1" applyAlignment="1">
      <alignment horizontal="right" vertical="center"/>
    </xf>
    <xf numFmtId="190" fontId="3" fillId="5" borderId="11" xfId="0" applyNumberFormat="1" applyFont="1" applyFill="1" applyBorder="1" applyAlignment="1">
      <alignment horizontal="right" vertical="center"/>
    </xf>
    <xf numFmtId="190" fontId="3" fillId="5" borderId="8" xfId="0" applyNumberFormat="1" applyFont="1" applyFill="1" applyBorder="1" applyAlignment="1">
      <alignment horizontal="right" vertical="center"/>
    </xf>
    <xf numFmtId="190" fontId="3" fillId="5" borderId="9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top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/>
    </xf>
    <xf numFmtId="170" fontId="3" fillId="5" borderId="1" xfId="0" applyNumberFormat="1" applyFont="1" applyFill="1" applyBorder="1" applyAlignment="1">
      <alignment horizontal="right" vertical="center"/>
    </xf>
    <xf numFmtId="170" fontId="2" fillId="0" borderId="1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170" fontId="10" fillId="0" borderId="2" xfId="0" applyNumberFormat="1" applyFont="1" applyFill="1" applyBorder="1" applyAlignment="1">
      <alignment horizontal="right" vertical="center"/>
    </xf>
    <xf numFmtId="170" fontId="2" fillId="0" borderId="2" xfId="0" applyNumberFormat="1" applyFont="1" applyBorder="1" applyAlignment="1">
      <alignment horizontal="right" vertical="center"/>
    </xf>
    <xf numFmtId="2" fontId="3" fillId="5" borderId="10" xfId="0" applyNumberFormat="1" applyFont="1" applyFill="1" applyBorder="1" applyAlignment="1">
      <alignment horizontal="right" vertical="center"/>
    </xf>
    <xf numFmtId="2" fontId="3" fillId="5" borderId="6" xfId="0" applyNumberFormat="1" applyFont="1" applyFill="1" applyBorder="1" applyAlignment="1">
      <alignment horizontal="right" vertical="center"/>
    </xf>
    <xf numFmtId="2" fontId="3" fillId="5" borderId="5" xfId="0" applyNumberFormat="1" applyFont="1" applyFill="1" applyBorder="1" applyAlignment="1">
      <alignment horizontal="right" vertical="center"/>
    </xf>
    <xf numFmtId="2" fontId="3" fillId="5" borderId="0" xfId="0" applyNumberFormat="1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5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2" fontId="2" fillId="0" borderId="7" xfId="0" applyNumberFormat="1" applyFont="1" applyFill="1" applyBorder="1" applyAlignment="1">
      <alignment horizontal="right" vertical="center"/>
    </xf>
    <xf numFmtId="2" fontId="2" fillId="0" borderId="4" xfId="0" applyNumberFormat="1" applyFont="1" applyFill="1" applyBorder="1" applyAlignment="1">
      <alignment horizontal="right" vertical="center"/>
    </xf>
    <xf numFmtId="170" fontId="2" fillId="0" borderId="3" xfId="0" applyNumberFormat="1" applyFont="1" applyFill="1" applyBorder="1" applyAlignment="1">
      <alignment horizontal="right" vertical="center"/>
    </xf>
    <xf numFmtId="2" fontId="2" fillId="5" borderId="7" xfId="0" applyNumberFormat="1" applyFont="1" applyFill="1" applyBorder="1" applyAlignment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0" borderId="6" xfId="0" applyNumberFormat="1" applyFont="1" applyBorder="1" applyAlignment="1">
      <alignment horizontal="right" vertical="center"/>
    </xf>
    <xf numFmtId="2" fontId="2" fillId="5" borderId="5" xfId="0" applyNumberFormat="1" applyFont="1" applyFill="1" applyBorder="1" applyAlignment="1">
      <alignment horizontal="right" vertical="center"/>
    </xf>
    <xf numFmtId="2" fontId="2" fillId="5" borderId="0" xfId="0" applyNumberFormat="1" applyFont="1" applyFill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2" fillId="0" borderId="0" xfId="0" applyNumberFormat="1" applyFont="1" applyBorder="1" applyAlignment="1">
      <alignment horizontal="right" vertical="center"/>
    </xf>
    <xf numFmtId="2" fontId="2" fillId="5" borderId="7" xfId="0" applyNumberFormat="1" applyFont="1" applyFill="1" applyBorder="1" applyAlignment="1">
      <alignment horizontal="right" vertical="center"/>
    </xf>
    <xf numFmtId="2" fontId="2" fillId="5" borderId="4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/>
    </xf>
    <xf numFmtId="168" fontId="3" fillId="5" borderId="10" xfId="0" applyNumberFormat="1" applyFont="1" applyFill="1" applyBorder="1" applyAlignment="1" quotePrefix="1">
      <alignment horizontal="right" vertical="center"/>
    </xf>
    <xf numFmtId="168" fontId="3" fillId="5" borderId="6" xfId="0" applyNumberFormat="1" applyFont="1" applyFill="1" applyBorder="1" applyAlignment="1" quotePrefix="1">
      <alignment horizontal="right" vertical="center"/>
    </xf>
    <xf numFmtId="168" fontId="3" fillId="5" borderId="5" xfId="0" applyNumberFormat="1" applyFont="1" applyFill="1" applyBorder="1" applyAlignment="1" quotePrefix="1">
      <alignment horizontal="right" vertical="center"/>
    </xf>
    <xf numFmtId="170" fontId="3" fillId="5" borderId="2" xfId="0" applyNumberFormat="1" applyFont="1" applyFill="1" applyBorder="1" applyAlignment="1" quotePrefix="1">
      <alignment horizontal="right" vertical="center"/>
    </xf>
    <xf numFmtId="168" fontId="3" fillId="5" borderId="7" xfId="0" applyNumberFormat="1" applyFont="1" applyFill="1" applyBorder="1" applyAlignment="1" quotePrefix="1">
      <alignment horizontal="right" vertical="center"/>
    </xf>
    <xf numFmtId="168" fontId="3" fillId="5" borderId="4" xfId="0" applyNumberFormat="1" applyFont="1" applyFill="1" applyBorder="1" applyAlignment="1" quotePrefix="1">
      <alignment horizontal="right" vertical="center"/>
    </xf>
    <xf numFmtId="168" fontId="2" fillId="0" borderId="10" xfId="0" applyNumberFormat="1" applyFont="1" applyFill="1" applyBorder="1" applyAlignment="1" quotePrefix="1">
      <alignment horizontal="right" vertical="center"/>
    </xf>
    <xf numFmtId="168" fontId="2" fillId="0" borderId="6" xfId="0" applyNumberFormat="1" applyFont="1" applyFill="1" applyBorder="1" applyAlignment="1" quotePrefix="1">
      <alignment horizontal="right" vertical="center"/>
    </xf>
    <xf numFmtId="168" fontId="2" fillId="0" borderId="5" xfId="0" applyNumberFormat="1" applyFont="1" applyFill="1" applyBorder="1" applyAlignment="1" quotePrefix="1">
      <alignment horizontal="right" vertical="center"/>
    </xf>
    <xf numFmtId="168" fontId="2" fillId="0" borderId="0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Border="1" applyAlignment="1">
      <alignment vertical="top" wrapText="1"/>
    </xf>
    <xf numFmtId="168" fontId="2" fillId="5" borderId="5" xfId="0" applyNumberFormat="1" applyFont="1" applyFill="1" applyBorder="1" applyAlignment="1" quotePrefix="1">
      <alignment horizontal="right" vertical="center"/>
    </xf>
    <xf numFmtId="168" fontId="2" fillId="5" borderId="0" xfId="0" applyNumberFormat="1" applyFont="1" applyFill="1" applyBorder="1" applyAlignment="1" quotePrefix="1">
      <alignment horizontal="right" vertical="center"/>
    </xf>
    <xf numFmtId="168" fontId="2" fillId="5" borderId="10" xfId="0" applyNumberFormat="1" applyFont="1" applyFill="1" applyBorder="1" applyAlignment="1">
      <alignment horizontal="right" vertical="center"/>
    </xf>
    <xf numFmtId="168" fontId="2" fillId="5" borderId="7" xfId="0" applyNumberFormat="1" applyFont="1" applyFill="1" applyBorder="1" applyAlignment="1">
      <alignment horizontal="right" vertical="center"/>
    </xf>
    <xf numFmtId="1" fontId="3" fillId="4" borderId="11" xfId="0" applyNumberFormat="1" applyFont="1" applyFill="1" applyBorder="1" applyAlignment="1">
      <alignment horizontal="center"/>
    </xf>
    <xf numFmtId="1" fontId="3" fillId="4" borderId="8" xfId="0" applyNumberFormat="1" applyFont="1" applyFill="1" applyBorder="1" applyAlignment="1">
      <alignment horizontal="center" vertical="center"/>
    </xf>
    <xf numFmtId="168" fontId="3" fillId="5" borderId="11" xfId="0" applyNumberFormat="1" applyFont="1" applyFill="1" applyBorder="1" applyAlignment="1" quotePrefix="1">
      <alignment horizontal="right" vertical="center"/>
    </xf>
    <xf numFmtId="168" fontId="3" fillId="5" borderId="8" xfId="0" applyNumberFormat="1" applyFont="1" applyFill="1" applyBorder="1" applyAlignment="1" quotePrefix="1">
      <alignment horizontal="right" vertical="center"/>
    </xf>
    <xf numFmtId="168" fontId="2" fillId="0" borderId="11" xfId="0" applyNumberFormat="1" applyFont="1" applyFill="1" applyBorder="1" applyAlignment="1" quotePrefix="1">
      <alignment horizontal="right" vertical="center"/>
    </xf>
    <xf numFmtId="168" fontId="2" fillId="0" borderId="8" xfId="0" applyNumberFormat="1" applyFont="1" applyFill="1" applyBorder="1" applyAlignment="1" quotePrefix="1">
      <alignment horizontal="right" vertical="center"/>
    </xf>
    <xf numFmtId="170" fontId="2" fillId="0" borderId="8" xfId="0" applyNumberFormat="1" applyFont="1" applyFill="1" applyBorder="1" applyAlignment="1">
      <alignment horizontal="right" vertical="center"/>
    </xf>
    <xf numFmtId="168" fontId="2" fillId="5" borderId="8" xfId="0" applyNumberFormat="1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190" fontId="11" fillId="5" borderId="10" xfId="0" applyNumberFormat="1" applyFont="1" applyFill="1" applyBorder="1" applyAlignment="1">
      <alignment horizontal="right" vertical="center"/>
    </xf>
    <xf numFmtId="190" fontId="3" fillId="5" borderId="5" xfId="0" applyNumberFormat="1" applyFont="1" applyFill="1" applyBorder="1" applyAlignment="1">
      <alignment horizontal="right" vertical="center"/>
    </xf>
    <xf numFmtId="190" fontId="11" fillId="5" borderId="7" xfId="0" applyNumberFormat="1" applyFont="1" applyFill="1" applyBorder="1" applyAlignment="1">
      <alignment horizontal="right" vertical="center"/>
    </xf>
    <xf numFmtId="170" fontId="3" fillId="5" borderId="5" xfId="0" applyNumberFormat="1" applyFont="1" applyFill="1" applyBorder="1" applyAlignment="1">
      <alignment horizontal="right" vertical="center"/>
    </xf>
    <xf numFmtId="170" fontId="3" fillId="5" borderId="3" xfId="0" applyNumberFormat="1" applyFont="1" applyFill="1" applyBorder="1" applyAlignment="1">
      <alignment horizontal="right" vertical="center"/>
    </xf>
    <xf numFmtId="168" fontId="2" fillId="5" borderId="37" xfId="0" applyNumberFormat="1" applyFont="1" applyFill="1" applyBorder="1" applyAlignment="1">
      <alignment horizontal="right" vertical="center"/>
    </xf>
    <xf numFmtId="170" fontId="5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 quotePrefix="1">
      <alignment horizontal="right" vertical="top"/>
    </xf>
    <xf numFmtId="170" fontId="2" fillId="0" borderId="0" xfId="0" applyNumberFormat="1" applyFont="1" applyFill="1" applyBorder="1" applyAlignment="1">
      <alignment/>
    </xf>
    <xf numFmtId="170" fontId="2" fillId="0" borderId="0" xfId="0" applyNumberFormat="1" applyFont="1" applyBorder="1" applyAlignment="1">
      <alignment horizontal="right" vertical="top"/>
    </xf>
    <xf numFmtId="170" fontId="3" fillId="5" borderId="10" xfId="0" applyNumberFormat="1" applyFont="1" applyFill="1" applyBorder="1" applyAlignment="1">
      <alignment horizontal="right" vertical="center"/>
    </xf>
    <xf numFmtId="170" fontId="3" fillId="5" borderId="11" xfId="0" applyNumberFormat="1" applyFont="1" applyFill="1" applyBorder="1" applyAlignment="1">
      <alignment horizontal="right" vertical="center"/>
    </xf>
    <xf numFmtId="170" fontId="3" fillId="5" borderId="8" xfId="0" applyNumberFormat="1" applyFont="1" applyFill="1" applyBorder="1" applyAlignment="1">
      <alignment horizontal="right" vertical="center"/>
    </xf>
    <xf numFmtId="170" fontId="3" fillId="5" borderId="7" xfId="0" applyNumberFormat="1" applyFont="1" applyFill="1" applyBorder="1" applyAlignment="1">
      <alignment horizontal="right" vertical="center"/>
    </xf>
    <xf numFmtId="170" fontId="3" fillId="5" borderId="4" xfId="0" applyNumberFormat="1" applyFont="1" applyFill="1" applyBorder="1" applyAlignment="1">
      <alignment horizontal="right" vertical="center"/>
    </xf>
    <xf numFmtId="170" fontId="3" fillId="5" borderId="9" xfId="0" applyNumberFormat="1" applyFont="1" applyFill="1" applyBorder="1" applyAlignment="1">
      <alignment horizontal="right" vertical="center"/>
    </xf>
    <xf numFmtId="170" fontId="2" fillId="0" borderId="6" xfId="0" applyNumberFormat="1" applyFont="1" applyFill="1" applyBorder="1" applyAlignment="1">
      <alignment horizontal="right" vertical="center"/>
    </xf>
    <xf numFmtId="170" fontId="2" fillId="0" borderId="11" xfId="0" applyNumberFormat="1" applyFont="1" applyFill="1" applyBorder="1" applyAlignment="1">
      <alignment horizontal="right" vertical="center"/>
    </xf>
    <xf numFmtId="170" fontId="2" fillId="5" borderId="8" xfId="0" applyNumberFormat="1" applyFont="1" applyFill="1" applyBorder="1" applyAlignment="1">
      <alignment horizontal="right" vertical="center"/>
    </xf>
    <xf numFmtId="170" fontId="2" fillId="5" borderId="0" xfId="0" applyNumberFormat="1" applyFont="1" applyFill="1" applyAlignment="1">
      <alignment horizontal="center" vertical="center"/>
    </xf>
    <xf numFmtId="170" fontId="2" fillId="0" borderId="7" xfId="0" applyNumberFormat="1" applyFont="1" applyFill="1" applyBorder="1" applyAlignment="1">
      <alignment horizontal="right" vertical="center"/>
    </xf>
    <xf numFmtId="170" fontId="2" fillId="0" borderId="4" xfId="0" applyNumberFormat="1" applyFont="1" applyFill="1" applyBorder="1" applyAlignment="1">
      <alignment horizontal="right" vertical="center"/>
    </xf>
    <xf numFmtId="170" fontId="2" fillId="0" borderId="9" xfId="0" applyNumberFormat="1" applyFont="1" applyFill="1" applyBorder="1" applyAlignment="1">
      <alignment horizontal="right" vertical="center"/>
    </xf>
    <xf numFmtId="170" fontId="24" fillId="5" borderId="7" xfId="0" applyNumberFormat="1" applyFont="1" applyFill="1" applyBorder="1" applyAlignment="1">
      <alignment horizontal="right" vertical="center"/>
    </xf>
    <xf numFmtId="170" fontId="24" fillId="5" borderId="4" xfId="0" applyNumberFormat="1" applyFont="1" applyFill="1" applyBorder="1" applyAlignment="1">
      <alignment horizontal="right" vertical="center"/>
    </xf>
    <xf numFmtId="170" fontId="10" fillId="5" borderId="9" xfId="0" applyNumberFormat="1" applyFont="1" applyFill="1" applyBorder="1" applyAlignment="1">
      <alignment horizontal="right" vertical="center"/>
    </xf>
    <xf numFmtId="170" fontId="3" fillId="0" borderId="0" xfId="0" applyNumberFormat="1" applyFont="1" applyAlignment="1">
      <alignment/>
    </xf>
    <xf numFmtId="3" fontId="11" fillId="5" borderId="8" xfId="0" applyNumberFormat="1" applyFont="1" applyFill="1" applyBorder="1" applyAlignment="1">
      <alignment horizontal="right" vertical="center"/>
    </xf>
    <xf numFmtId="3" fontId="11" fillId="5" borderId="7" xfId="0" applyNumberFormat="1" applyFont="1" applyFill="1" applyBorder="1" applyAlignment="1">
      <alignment horizontal="right" vertical="center"/>
    </xf>
    <xf numFmtId="170" fontId="17" fillId="0" borderId="11" xfId="24" applyNumberFormat="1" applyFont="1" applyFill="1" applyBorder="1" applyAlignment="1">
      <alignment vertical="center"/>
      <protection locked="0"/>
    </xf>
    <xf numFmtId="170" fontId="17" fillId="5" borderId="8" xfId="24" applyNumberFormat="1" applyFont="1" applyFill="1" applyBorder="1" applyAlignment="1">
      <alignment vertical="center"/>
      <protection locked="0"/>
    </xf>
    <xf numFmtId="170" fontId="17" fillId="0" borderId="8" xfId="24" applyNumberFormat="1" applyFont="1" applyFill="1" applyBorder="1" applyAlignment="1">
      <alignment vertical="center"/>
      <protection locked="0"/>
    </xf>
    <xf numFmtId="3" fontId="17" fillId="5" borderId="0" xfId="24" applyNumberFormat="1" applyFont="1" applyFill="1" applyBorder="1" applyAlignment="1" quotePrefix="1">
      <alignment horizontal="right" vertical="center"/>
      <protection locked="0"/>
    </xf>
    <xf numFmtId="3" fontId="17" fillId="0" borderId="0" xfId="24" applyNumberFormat="1" applyFont="1" applyFill="1" applyBorder="1" applyAlignment="1" quotePrefix="1">
      <alignment horizontal="right" vertical="center"/>
      <protection locked="0"/>
    </xf>
    <xf numFmtId="170" fontId="17" fillId="0" borderId="9" xfId="24" applyNumberFormat="1" applyFont="1" applyFill="1" applyBorder="1" applyAlignment="1">
      <alignment vertical="center"/>
      <protection locked="0"/>
    </xf>
    <xf numFmtId="170" fontId="17" fillId="5" borderId="11" xfId="24" applyNumberFormat="1" applyFont="1" applyFill="1" applyBorder="1" applyAlignment="1">
      <alignment vertical="center"/>
      <protection locked="0"/>
    </xf>
    <xf numFmtId="170" fontId="17" fillId="5" borderId="9" xfId="24" applyNumberFormat="1" applyFont="1" applyFill="1" applyBorder="1" applyAlignment="1">
      <alignment vertical="center"/>
      <protection locked="0"/>
    </xf>
    <xf numFmtId="195" fontId="11" fillId="5" borderId="6" xfId="0" applyNumberFormat="1" applyFont="1" applyFill="1" applyBorder="1" applyAlignment="1">
      <alignment horizontal="right" vertical="center"/>
    </xf>
    <xf numFmtId="195" fontId="3" fillId="5" borderId="6" xfId="0" applyNumberFormat="1" applyFont="1" applyFill="1" applyBorder="1" applyAlignment="1">
      <alignment horizontal="right" vertical="center"/>
    </xf>
    <xf numFmtId="195" fontId="3" fillId="5" borderId="11" xfId="0" applyNumberFormat="1" applyFont="1" applyFill="1" applyBorder="1" applyAlignment="1">
      <alignment horizontal="right" vertical="center"/>
    </xf>
    <xf numFmtId="195" fontId="3" fillId="5" borderId="0" xfId="0" applyNumberFormat="1" applyFont="1" applyFill="1" applyBorder="1" applyAlignment="1">
      <alignment horizontal="right" vertical="center"/>
    </xf>
    <xf numFmtId="195" fontId="3" fillId="5" borderId="8" xfId="0" applyNumberFormat="1" applyFont="1" applyFill="1" applyBorder="1" applyAlignment="1">
      <alignment horizontal="right" vertical="center"/>
    </xf>
    <xf numFmtId="195" fontId="3" fillId="5" borderId="4" xfId="0" applyNumberFormat="1" applyFont="1" applyFill="1" applyBorder="1" applyAlignment="1">
      <alignment horizontal="right" vertical="center"/>
    </xf>
    <xf numFmtId="195" fontId="3" fillId="5" borderId="9" xfId="0" applyNumberFormat="1" applyFont="1" applyFill="1" applyBorder="1" applyAlignment="1">
      <alignment horizontal="right" vertical="center"/>
    </xf>
    <xf numFmtId="195" fontId="2" fillId="0" borderId="6" xfId="0" applyNumberFormat="1" applyFont="1" applyFill="1" applyBorder="1" applyAlignment="1">
      <alignment horizontal="right" vertical="center"/>
    </xf>
    <xf numFmtId="195" fontId="2" fillId="0" borderId="11" xfId="0" applyNumberFormat="1" applyFont="1" applyFill="1" applyBorder="1" applyAlignment="1">
      <alignment horizontal="right" vertical="center"/>
    </xf>
    <xf numFmtId="195" fontId="2" fillId="5" borderId="0" xfId="0" applyNumberFormat="1" applyFont="1" applyFill="1" applyBorder="1" applyAlignment="1">
      <alignment horizontal="right" vertical="center"/>
    </xf>
    <xf numFmtId="195" fontId="2" fillId="5" borderId="8" xfId="0" applyNumberFormat="1" applyFont="1" applyFill="1" applyBorder="1" applyAlignment="1">
      <alignment horizontal="right" vertical="center"/>
    </xf>
    <xf numFmtId="195" fontId="2" fillId="0" borderId="0" xfId="0" applyNumberFormat="1" applyFont="1" applyFill="1" applyBorder="1" applyAlignment="1">
      <alignment horizontal="right" vertical="center"/>
    </xf>
    <xf numFmtId="195" fontId="2" fillId="0" borderId="8" xfId="0" applyNumberFormat="1" applyFont="1" applyFill="1" applyBorder="1" applyAlignment="1">
      <alignment horizontal="right" vertical="center"/>
    </xf>
    <xf numFmtId="195" fontId="2" fillId="0" borderId="4" xfId="0" applyNumberFormat="1" applyFont="1" applyFill="1" applyBorder="1" applyAlignment="1">
      <alignment horizontal="right" vertical="center"/>
    </xf>
    <xf numFmtId="195" fontId="2" fillId="0" borderId="9" xfId="0" applyNumberFormat="1" applyFont="1" applyFill="1" applyBorder="1" applyAlignment="1">
      <alignment horizontal="right" vertical="center"/>
    </xf>
    <xf numFmtId="195" fontId="2" fillId="5" borderId="6" xfId="0" applyNumberFormat="1" applyFont="1" applyFill="1" applyBorder="1" applyAlignment="1">
      <alignment horizontal="right" vertical="center"/>
    </xf>
    <xf numFmtId="195" fontId="2" fillId="5" borderId="11" xfId="0" applyNumberFormat="1" applyFont="1" applyFill="1" applyBorder="1" applyAlignment="1">
      <alignment horizontal="right" vertical="center"/>
    </xf>
    <xf numFmtId="195" fontId="2" fillId="5" borderId="4" xfId="0" applyNumberFormat="1" applyFont="1" applyFill="1" applyBorder="1" applyAlignment="1">
      <alignment horizontal="right" vertical="center"/>
    </xf>
    <xf numFmtId="195" fontId="2" fillId="5" borderId="9" xfId="0" applyNumberFormat="1" applyFont="1" applyFill="1" applyBorder="1" applyAlignment="1">
      <alignment horizontal="right" vertical="center"/>
    </xf>
    <xf numFmtId="169" fontId="2" fillId="0" borderId="4" xfId="0" applyNumberFormat="1" applyFont="1" applyFill="1" applyBorder="1" applyAlignment="1">
      <alignment horizontal="right" vertical="center"/>
    </xf>
    <xf numFmtId="169" fontId="2" fillId="0" borderId="9" xfId="0" applyNumberFormat="1" applyFont="1" applyFill="1" applyBorder="1" applyAlignment="1">
      <alignment horizontal="right" vertical="center"/>
    </xf>
    <xf numFmtId="175" fontId="2" fillId="0" borderId="11" xfId="0" applyNumberFormat="1" applyFont="1" applyFill="1" applyBorder="1" applyAlignment="1">
      <alignment horizontal="right"/>
    </xf>
    <xf numFmtId="175" fontId="2" fillId="5" borderId="8" xfId="0" applyNumberFormat="1" applyFont="1" applyFill="1" applyBorder="1" applyAlignment="1">
      <alignment horizontal="right"/>
    </xf>
    <xf numFmtId="175" fontId="2" fillId="0" borderId="8" xfId="0" applyNumberFormat="1" applyFont="1" applyFill="1" applyBorder="1" applyAlignment="1">
      <alignment horizontal="right"/>
    </xf>
    <xf numFmtId="175" fontId="2" fillId="0" borderId="9" xfId="0" applyNumberFormat="1" applyFont="1" applyFill="1" applyBorder="1" applyAlignment="1">
      <alignment horizontal="right"/>
    </xf>
    <xf numFmtId="175" fontId="2" fillId="5" borderId="9" xfId="0" applyNumberFormat="1" applyFont="1" applyFill="1" applyBorder="1" applyAlignment="1">
      <alignment horizontal="right"/>
    </xf>
    <xf numFmtId="175" fontId="2" fillId="0" borderId="11" xfId="0" applyNumberFormat="1" applyFont="1" applyBorder="1" applyAlignment="1">
      <alignment vertical="center"/>
    </xf>
    <xf numFmtId="175" fontId="2" fillId="5" borderId="8" xfId="0" applyNumberFormat="1" applyFont="1" applyFill="1" applyBorder="1" applyAlignment="1">
      <alignment vertical="center"/>
    </xf>
    <xf numFmtId="175" fontId="2" fillId="0" borderId="8" xfId="0" applyNumberFormat="1" applyFont="1" applyBorder="1" applyAlignment="1">
      <alignment vertical="center"/>
    </xf>
    <xf numFmtId="170" fontId="3" fillId="5" borderId="19" xfId="0" applyNumberFormat="1" applyFont="1" applyFill="1" applyBorder="1" applyAlignment="1">
      <alignment horizontal="right" vertical="center"/>
    </xf>
    <xf numFmtId="170" fontId="3" fillId="5" borderId="20" xfId="0" applyNumberFormat="1" applyFont="1" applyFill="1" applyBorder="1" applyAlignment="1">
      <alignment horizontal="right" vertical="center"/>
    </xf>
    <xf numFmtId="169" fontId="3" fillId="5" borderId="21" xfId="0" applyNumberFormat="1" applyFont="1" applyFill="1" applyBorder="1" applyAlignment="1">
      <alignment horizontal="right" vertical="center"/>
    </xf>
    <xf numFmtId="181" fontId="2" fillId="0" borderId="6" xfId="0" applyNumberFormat="1" applyFont="1" applyFill="1" applyBorder="1" applyAlignment="1">
      <alignment horizontal="right" vertical="center"/>
    </xf>
    <xf numFmtId="181" fontId="2" fillId="0" borderId="13" xfId="0" applyNumberFormat="1" applyFont="1" applyFill="1" applyBorder="1" applyAlignment="1">
      <alignment horizontal="right" vertical="center"/>
    </xf>
    <xf numFmtId="181" fontId="2" fillId="0" borderId="15" xfId="0" applyNumberFormat="1" applyFont="1" applyFill="1" applyBorder="1" applyAlignment="1">
      <alignment horizontal="right" vertical="center"/>
    </xf>
    <xf numFmtId="181" fontId="2" fillId="0" borderId="4" xfId="0" applyNumberFormat="1" applyFont="1" applyFill="1" applyBorder="1" applyAlignment="1">
      <alignment horizontal="right" vertical="center"/>
    </xf>
    <xf numFmtId="1" fontId="2" fillId="5" borderId="21" xfId="0" applyNumberFormat="1" applyFont="1" applyFill="1" applyBorder="1" applyAlignment="1">
      <alignment horizontal="right" vertical="center" wrapText="1"/>
    </xf>
    <xf numFmtId="1" fontId="2" fillId="5" borderId="11" xfId="0" applyNumberFormat="1" applyFont="1" applyFill="1" applyBorder="1" applyAlignment="1">
      <alignment horizontal="right" vertical="center" wrapText="1"/>
    </xf>
    <xf numFmtId="1" fontId="2" fillId="5" borderId="8" xfId="0" applyNumberFormat="1" applyFont="1" applyFill="1" applyBorder="1" applyAlignment="1">
      <alignment horizontal="right" vertical="center" wrapText="1"/>
    </xf>
    <xf numFmtId="1" fontId="2" fillId="0" borderId="8" xfId="0" applyNumberFormat="1" applyFont="1" applyFill="1" applyBorder="1" applyAlignment="1">
      <alignment horizontal="right" vertical="center" wrapText="1"/>
    </xf>
    <xf numFmtId="1" fontId="2" fillId="0" borderId="8" xfId="0" applyNumberFormat="1" applyFont="1" applyFill="1" applyBorder="1" applyAlignment="1">
      <alignment horizontal="right" vertical="center"/>
    </xf>
    <xf numFmtId="1" fontId="2" fillId="0" borderId="9" xfId="0" applyNumberFormat="1" applyFont="1" applyFill="1" applyBorder="1" applyAlignment="1">
      <alignment horizontal="right" vertical="center"/>
    </xf>
    <xf numFmtId="1" fontId="2" fillId="5" borderId="8" xfId="0" applyNumberFormat="1" applyFont="1" applyFill="1" applyBorder="1" applyAlignment="1">
      <alignment horizontal="right" vertical="center"/>
    </xf>
    <xf numFmtId="1" fontId="2" fillId="5" borderId="21" xfId="0" applyNumberFormat="1" applyFont="1" applyFill="1" applyBorder="1" applyAlignment="1">
      <alignment horizontal="right" vertical="center"/>
    </xf>
    <xf numFmtId="170" fontId="2" fillId="0" borderId="8" xfId="0" applyNumberFormat="1" applyFont="1" applyFill="1" applyBorder="1" applyAlignment="1">
      <alignment horizontal="right" vertical="center" wrapText="1"/>
    </xf>
    <xf numFmtId="1" fontId="2" fillId="0" borderId="9" xfId="0" applyNumberFormat="1" applyFont="1" applyFill="1" applyBorder="1" applyAlignment="1">
      <alignment horizontal="right" vertical="center" wrapText="1"/>
    </xf>
    <xf numFmtId="189" fontId="3" fillId="5" borderId="11" xfId="0" applyNumberFormat="1" applyFont="1" applyFill="1" applyBorder="1" applyAlignment="1">
      <alignment horizontal="right" vertical="center"/>
    </xf>
    <xf numFmtId="189" fontId="3" fillId="5" borderId="8" xfId="0" applyNumberFormat="1" applyFont="1" applyFill="1" applyBorder="1" applyAlignment="1">
      <alignment horizontal="right" vertical="center"/>
    </xf>
    <xf numFmtId="189" fontId="3" fillId="5" borderId="4" xfId="0" applyNumberFormat="1" applyFont="1" applyFill="1" applyBorder="1" applyAlignment="1">
      <alignment horizontal="right" vertical="center"/>
    </xf>
    <xf numFmtId="189" fontId="3" fillId="5" borderId="9" xfId="0" applyNumberFormat="1" applyFont="1" applyFill="1" applyBorder="1" applyAlignment="1">
      <alignment horizontal="right" vertical="center"/>
    </xf>
    <xf numFmtId="189" fontId="2" fillId="0" borderId="6" xfId="0" applyNumberFormat="1" applyFont="1" applyFill="1" applyBorder="1" applyAlignment="1">
      <alignment horizontal="right" vertical="center"/>
    </xf>
    <xf numFmtId="189" fontId="2" fillId="0" borderId="11" xfId="0" applyNumberFormat="1" applyFont="1" applyFill="1" applyBorder="1" applyAlignment="1">
      <alignment horizontal="right" vertical="center"/>
    </xf>
    <xf numFmtId="189" fontId="2" fillId="5" borderId="0" xfId="0" applyNumberFormat="1" applyFont="1" applyFill="1" applyBorder="1" applyAlignment="1">
      <alignment horizontal="right" vertical="center"/>
    </xf>
    <xf numFmtId="189" fontId="2" fillId="5" borderId="8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horizontal="right" vertical="center"/>
    </xf>
    <xf numFmtId="189" fontId="2" fillId="0" borderId="8" xfId="0" applyNumberFormat="1" applyFont="1" applyFill="1" applyBorder="1" applyAlignment="1">
      <alignment horizontal="right" vertical="center"/>
    </xf>
    <xf numFmtId="189" fontId="2" fillId="0" borderId="4" xfId="0" applyNumberFormat="1" applyFont="1" applyFill="1" applyBorder="1" applyAlignment="1">
      <alignment horizontal="right" vertical="center"/>
    </xf>
    <xf numFmtId="189" fontId="2" fillId="0" borderId="9" xfId="0" applyNumberFormat="1" applyFont="1" applyFill="1" applyBorder="1" applyAlignment="1">
      <alignment horizontal="right" vertical="center"/>
    </xf>
    <xf numFmtId="189" fontId="2" fillId="5" borderId="4" xfId="0" applyNumberFormat="1" applyFont="1" applyFill="1" applyBorder="1" applyAlignment="1">
      <alignment horizontal="right" vertical="center"/>
    </xf>
    <xf numFmtId="189" fontId="2" fillId="5" borderId="9" xfId="0" applyNumberFormat="1" applyFont="1" applyFill="1" applyBorder="1" applyAlignment="1">
      <alignment horizontal="right" vertical="center"/>
    </xf>
    <xf numFmtId="189" fontId="3" fillId="5" borderId="1" xfId="0" applyNumberFormat="1" applyFont="1" applyFill="1" applyBorder="1" applyAlignment="1">
      <alignment horizontal="right" vertical="center"/>
    </xf>
    <xf numFmtId="189" fontId="3" fillId="5" borderId="2" xfId="0" applyNumberFormat="1" applyFont="1" applyFill="1" applyBorder="1" applyAlignment="1">
      <alignment horizontal="right" vertical="center"/>
    </xf>
    <xf numFmtId="189" fontId="2" fillId="0" borderId="1" xfId="0" applyNumberFormat="1" applyFont="1" applyFill="1" applyBorder="1" applyAlignment="1">
      <alignment horizontal="right" vertical="center"/>
    </xf>
    <xf numFmtId="189" fontId="2" fillId="5" borderId="2" xfId="0" applyNumberFormat="1" applyFont="1" applyFill="1" applyBorder="1" applyAlignment="1">
      <alignment horizontal="right" vertical="center"/>
    </xf>
    <xf numFmtId="189" fontId="2" fillId="0" borderId="2" xfId="0" applyNumberFormat="1" applyFont="1" applyFill="1" applyBorder="1" applyAlignment="1">
      <alignment horizontal="right" vertical="center"/>
    </xf>
    <xf numFmtId="189" fontId="2" fillId="0" borderId="3" xfId="0" applyNumberFormat="1" applyFont="1" applyFill="1" applyBorder="1" applyAlignment="1">
      <alignment horizontal="right" vertical="center"/>
    </xf>
    <xf numFmtId="189" fontId="2" fillId="5" borderId="3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/>
    </xf>
    <xf numFmtId="195" fontId="2" fillId="0" borderId="0" xfId="0" applyNumberFormat="1" applyFont="1" applyAlignment="1">
      <alignment/>
    </xf>
    <xf numFmtId="195" fontId="2" fillId="0" borderId="0" xfId="0" applyNumberFormat="1" applyFont="1" applyAlignment="1">
      <alignment vertical="top"/>
    </xf>
    <xf numFmtId="3" fontId="11" fillId="5" borderId="6" xfId="0" applyNumberFormat="1" applyFont="1" applyFill="1" applyBorder="1" applyAlignment="1">
      <alignment horizontal="right" vertical="center"/>
    </xf>
    <xf numFmtId="189" fontId="3" fillId="5" borderId="38" xfId="0" applyNumberFormat="1" applyFont="1" applyFill="1" applyBorder="1" applyAlignment="1">
      <alignment horizontal="right" vertical="center"/>
    </xf>
    <xf numFmtId="189" fontId="3" fillId="5" borderId="9" xfId="0" applyNumberFormat="1" applyFont="1" applyFill="1" applyBorder="1" applyAlignment="1">
      <alignment vertical="center"/>
    </xf>
    <xf numFmtId="189" fontId="2" fillId="0" borderId="33" xfId="0" applyNumberFormat="1" applyFont="1" applyFill="1" applyBorder="1" applyAlignment="1">
      <alignment vertical="center"/>
    </xf>
    <xf numFmtId="3" fontId="10" fillId="5" borderId="0" xfId="0" applyNumberFormat="1" applyFont="1" applyFill="1" applyBorder="1" applyAlignment="1">
      <alignment vertical="center"/>
    </xf>
    <xf numFmtId="189" fontId="2" fillId="5" borderId="33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189" fontId="11" fillId="5" borderId="39" xfId="0" applyNumberFormat="1" applyFont="1" applyFill="1" applyBorder="1" applyAlignment="1">
      <alignment horizontal="right" vertical="center"/>
    </xf>
    <xf numFmtId="189" fontId="11" fillId="5" borderId="33" xfId="0" applyNumberFormat="1" applyFont="1" applyFill="1" applyBorder="1" applyAlignment="1">
      <alignment vertical="center"/>
    </xf>
    <xf numFmtId="189" fontId="10" fillId="0" borderId="0" xfId="0" applyNumberFormat="1" applyFont="1" applyFill="1" applyBorder="1" applyAlignment="1">
      <alignment vertical="center"/>
    </xf>
    <xf numFmtId="3" fontId="2" fillId="5" borderId="33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horizontal="center" vertical="center"/>
    </xf>
    <xf numFmtId="186" fontId="3" fillId="5" borderId="4" xfId="0" applyNumberFormat="1" applyFont="1" applyFill="1" applyBorder="1" applyAlignment="1">
      <alignment horizontal="right" vertical="center"/>
    </xf>
    <xf numFmtId="186" fontId="2" fillId="0" borderId="4" xfId="0" applyNumberFormat="1" applyFont="1" applyFill="1" applyBorder="1" applyAlignment="1">
      <alignment vertical="center"/>
    </xf>
    <xf numFmtId="170" fontId="10" fillId="0" borderId="33" xfId="0" applyNumberFormat="1" applyFont="1" applyFill="1" applyBorder="1" applyAlignment="1">
      <alignment horizontal="right" vertical="center"/>
    </xf>
    <xf numFmtId="170" fontId="2" fillId="0" borderId="33" xfId="0" applyNumberFormat="1" applyFont="1" applyFill="1" applyBorder="1" applyAlignment="1">
      <alignment horizontal="right" vertical="center"/>
    </xf>
    <xf numFmtId="170" fontId="3" fillId="5" borderId="8" xfId="0" applyNumberFormat="1" applyFont="1" applyFill="1" applyBorder="1" applyAlignment="1">
      <alignment horizontal="center" vertical="center"/>
    </xf>
    <xf numFmtId="170" fontId="3" fillId="0" borderId="8" xfId="0" applyNumberFormat="1" applyFont="1" applyFill="1" applyBorder="1" applyAlignment="1">
      <alignment horizontal="center" vertical="center"/>
    </xf>
    <xf numFmtId="170" fontId="3" fillId="5" borderId="8" xfId="0" applyNumberFormat="1" applyFont="1" applyFill="1" applyBorder="1" applyAlignment="1">
      <alignment horizontal="center" vertical="center"/>
    </xf>
    <xf numFmtId="170" fontId="3" fillId="0" borderId="9" xfId="0" applyNumberFormat="1" applyFont="1" applyFill="1" applyBorder="1" applyAlignment="1">
      <alignment horizontal="center" vertical="center"/>
    </xf>
    <xf numFmtId="170" fontId="3" fillId="5" borderId="9" xfId="0" applyNumberFormat="1" applyFont="1" applyFill="1" applyBorder="1" applyAlignment="1">
      <alignment horizontal="center" vertical="center"/>
    </xf>
    <xf numFmtId="170" fontId="3" fillId="5" borderId="11" xfId="0" applyNumberFormat="1" applyFont="1" applyFill="1" applyBorder="1" applyAlignment="1">
      <alignment horizontal="center" vertical="center"/>
    </xf>
    <xf numFmtId="3" fontId="17" fillId="5" borderId="5" xfId="24" applyNumberFormat="1" applyFont="1" applyFill="1" applyBorder="1" applyAlignment="1" quotePrefix="1">
      <alignment horizontal="center" vertical="center"/>
      <protection locked="0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" fontId="3" fillId="4" borderId="17" xfId="0" applyNumberFormat="1" applyFont="1" applyFill="1" applyBorder="1" applyAlignment="1">
      <alignment horizontal="center" vertical="center" wrapText="1"/>
    </xf>
    <xf numFmtId="170" fontId="2" fillId="5" borderId="11" xfId="0" applyNumberFormat="1" applyFont="1" applyFill="1" applyBorder="1" applyAlignment="1">
      <alignment horizontal="right" vertical="center"/>
    </xf>
    <xf numFmtId="170" fontId="2" fillId="5" borderId="9" xfId="0" applyNumberFormat="1" applyFont="1" applyFill="1" applyBorder="1" applyAlignment="1">
      <alignment horizontal="right" vertical="center"/>
    </xf>
    <xf numFmtId="181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0" fontId="3" fillId="4" borderId="17" xfId="0" applyNumberFormat="1" applyFont="1" applyFill="1" applyBorder="1" applyAlignment="1">
      <alignment horizontal="center" vertical="center" wrapText="1"/>
    </xf>
    <xf numFmtId="170" fontId="3" fillId="5" borderId="1" xfId="0" applyNumberFormat="1" applyFont="1" applyFill="1" applyBorder="1" applyAlignment="1">
      <alignment horizontal="right" vertical="center"/>
    </xf>
    <xf numFmtId="170" fontId="3" fillId="5" borderId="2" xfId="0" applyNumberFormat="1" applyFont="1" applyFill="1" applyBorder="1" applyAlignment="1">
      <alignment vertical="center"/>
    </xf>
    <xf numFmtId="170" fontId="3" fillId="5" borderId="3" xfId="0" applyNumberFormat="1" applyFont="1" applyFill="1" applyBorder="1" applyAlignment="1">
      <alignment vertical="center"/>
    </xf>
    <xf numFmtId="170" fontId="2" fillId="0" borderId="1" xfId="0" applyNumberFormat="1" applyFont="1" applyFill="1" applyBorder="1" applyAlignment="1">
      <alignment vertical="center"/>
    </xf>
    <xf numFmtId="170" fontId="2" fillId="5" borderId="2" xfId="0" applyNumberFormat="1" applyFont="1" applyFill="1" applyBorder="1" applyAlignment="1">
      <alignment vertical="center"/>
    </xf>
    <xf numFmtId="170" fontId="2" fillId="0" borderId="2" xfId="0" applyNumberFormat="1" applyFont="1" applyFill="1" applyBorder="1" applyAlignment="1">
      <alignment vertical="center"/>
    </xf>
    <xf numFmtId="170" fontId="2" fillId="5" borderId="2" xfId="0" applyNumberFormat="1" applyFont="1" applyFill="1" applyBorder="1" applyAlignment="1">
      <alignment vertical="center"/>
    </xf>
    <xf numFmtId="170" fontId="2" fillId="0" borderId="2" xfId="0" applyNumberFormat="1" applyFont="1" applyFill="1" applyBorder="1" applyAlignment="1">
      <alignment/>
    </xf>
    <xf numFmtId="170" fontId="2" fillId="5" borderId="2" xfId="0" applyNumberFormat="1" applyFont="1" applyFill="1" applyBorder="1" applyAlignment="1" quotePrefix="1">
      <alignment horizontal="right" vertical="center"/>
    </xf>
    <xf numFmtId="170" fontId="2" fillId="0" borderId="2" xfId="0" applyNumberFormat="1" applyFont="1" applyFill="1" applyBorder="1" applyAlignment="1">
      <alignment vertical="center"/>
    </xf>
    <xf numFmtId="170" fontId="2" fillId="0" borderId="2" xfId="0" applyNumberFormat="1" applyFont="1" applyFill="1" applyBorder="1" applyAlignment="1" quotePrefix="1">
      <alignment horizontal="right" vertical="center"/>
    </xf>
    <xf numFmtId="170" fontId="2" fillId="0" borderId="3" xfId="0" applyNumberFormat="1" applyFont="1" applyFill="1" applyBorder="1" applyAlignment="1">
      <alignment vertical="center"/>
    </xf>
    <xf numFmtId="170" fontId="2" fillId="5" borderId="3" xfId="0" applyNumberFormat="1" applyFont="1" applyFill="1" applyBorder="1" applyAlignment="1">
      <alignment vertical="center"/>
    </xf>
    <xf numFmtId="170" fontId="2" fillId="0" borderId="3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183" fontId="3" fillId="4" borderId="7" xfId="0" applyNumberFormat="1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wrapText="1"/>
    </xf>
    <xf numFmtId="0" fontId="3" fillId="4" borderId="5" xfId="0" applyFont="1" applyFill="1" applyBorder="1" applyAlignment="1" quotePrefix="1">
      <alignment horizontal="center" vertical="center" wrapText="1"/>
    </xf>
    <xf numFmtId="0" fontId="3" fillId="4" borderId="0" xfId="0" applyFont="1" applyFill="1" applyBorder="1" applyAlignment="1" quotePrefix="1">
      <alignment horizontal="center" vertical="center" wrapText="1"/>
    </xf>
    <xf numFmtId="0" fontId="3" fillId="4" borderId="8" xfId="0" applyFont="1" applyFill="1" applyBorder="1" applyAlignment="1" quotePrefix="1">
      <alignment horizontal="center" vertical="center" wrapText="1"/>
    </xf>
    <xf numFmtId="0" fontId="6" fillId="0" borderId="0" xfId="0" applyFont="1" applyAlignment="1">
      <alignment horizontal="center" vertical="top"/>
    </xf>
    <xf numFmtId="0" fontId="3" fillId="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17" fontId="1" fillId="0" borderId="0" xfId="0" applyNumberFormat="1" applyFont="1" applyBorder="1" applyAlignment="1" quotePrefix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3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183" fontId="3" fillId="4" borderId="4" xfId="0" applyNumberFormat="1" applyFont="1" applyFill="1" applyBorder="1" applyAlignment="1">
      <alignment horizontal="center" vertical="center"/>
    </xf>
    <xf numFmtId="183" fontId="3" fillId="4" borderId="9" xfId="0" applyNumberFormat="1" applyFont="1" applyFill="1" applyBorder="1" applyAlignment="1">
      <alignment horizontal="center" vertical="center"/>
    </xf>
    <xf numFmtId="0" fontId="4" fillId="0" borderId="0" xfId="0" applyFont="1" applyAlignment="1" quotePrefix="1">
      <alignment horizontal="right" vertical="top"/>
    </xf>
    <xf numFmtId="0" fontId="6" fillId="4" borderId="10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15" fillId="0" borderId="0" xfId="0" applyFont="1" applyAlignment="1" quotePrefix="1">
      <alignment horizontal="left"/>
    </xf>
    <xf numFmtId="0" fontId="3" fillId="4" borderId="2" xfId="0" applyFont="1" applyFill="1" applyBorder="1" applyAlignment="1">
      <alignment horizontal="center" vertical="top" wrapText="1"/>
    </xf>
    <xf numFmtId="0" fontId="3" fillId="4" borderId="3" xfId="0" applyFont="1" applyFill="1" applyBorder="1" applyAlignment="1">
      <alignment horizontal="center" vertical="top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top"/>
    </xf>
    <xf numFmtId="0" fontId="3" fillId="4" borderId="29" xfId="0" applyFont="1" applyFill="1" applyBorder="1" applyAlignment="1">
      <alignment horizontal="center" vertical="top"/>
    </xf>
    <xf numFmtId="0" fontId="3" fillId="4" borderId="35" xfId="0" applyFont="1" applyFill="1" applyBorder="1" applyAlignment="1">
      <alignment horizontal="center" vertical="top" wrapText="1"/>
    </xf>
    <xf numFmtId="0" fontId="3" fillId="4" borderId="29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17" fontId="2" fillId="0" borderId="0" xfId="0" applyNumberFormat="1" applyFont="1" applyBorder="1" applyAlignment="1">
      <alignment horizontal="center" vertical="center"/>
    </xf>
    <xf numFmtId="17" fontId="2" fillId="0" borderId="0" xfId="0" applyNumberFormat="1" applyFont="1" applyBorder="1" applyAlignment="1" quotePrefix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4" borderId="7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17" fontId="16" fillId="0" borderId="0" xfId="0" applyNumberFormat="1" applyFont="1" applyBorder="1" applyAlignment="1">
      <alignment horizontal="center" vertical="center"/>
    </xf>
    <xf numFmtId="17" fontId="16" fillId="0" borderId="0" xfId="0" applyNumberFormat="1" applyFont="1" applyBorder="1" applyAlignment="1" quotePrefix="1">
      <alignment horizontal="center" vertical="center"/>
    </xf>
    <xf numFmtId="0" fontId="3" fillId="4" borderId="5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vertical="top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andard_E00seit45" xfId="22"/>
    <cellStyle name="Titre ligne" xfId="23"/>
    <cellStyle name="Total intermediair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A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00FFF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41"/>
  <dimension ref="B1:D60"/>
  <sheetViews>
    <sheetView tabSelected="1" workbookViewId="0" topLeftCell="A1">
      <selection activeCell="D33" sqref="B1:D33"/>
    </sheetView>
  </sheetViews>
  <sheetFormatPr defaultColWidth="9.140625" defaultRowHeight="12.75"/>
  <cols>
    <col min="1" max="1" width="0.85546875" style="439" customWidth="1"/>
    <col min="2" max="2" width="7.7109375" style="441" customWidth="1"/>
    <col min="3" max="3" width="2.00390625" style="442" customWidth="1"/>
    <col min="4" max="4" width="65.8515625" style="439" customWidth="1"/>
    <col min="5" max="16384" width="9.140625" style="439" customWidth="1"/>
  </cols>
  <sheetData>
    <row r="1" spans="2:4" ht="19.5" customHeight="1">
      <c r="B1" s="861" t="s">
        <v>155</v>
      </c>
      <c r="C1" s="861"/>
      <c r="D1" s="861"/>
    </row>
    <row r="2" spans="2:4" ht="19.5" customHeight="1">
      <c r="B2" s="862" t="s">
        <v>156</v>
      </c>
      <c r="C2" s="862"/>
      <c r="D2" s="862"/>
    </row>
    <row r="3" spans="2:4" ht="19.5" customHeight="1">
      <c r="B3" s="863" t="s">
        <v>203</v>
      </c>
      <c r="C3" s="863"/>
      <c r="D3" s="863"/>
    </row>
    <row r="4" spans="2:4" ht="19.5" customHeight="1">
      <c r="B4" s="864" t="s">
        <v>172</v>
      </c>
      <c r="C4" s="864"/>
      <c r="D4" s="864"/>
    </row>
    <row r="5" spans="2:4" ht="19.5" customHeight="1">
      <c r="B5" s="440"/>
      <c r="C5" s="440"/>
      <c r="D5" s="440"/>
    </row>
    <row r="6" ht="19.5" customHeight="1"/>
    <row r="7" spans="2:4" ht="19.5" customHeight="1">
      <c r="B7" s="861" t="s">
        <v>204</v>
      </c>
      <c r="C7" s="861"/>
      <c r="D7" s="861"/>
    </row>
    <row r="8" spans="2:4" ht="19.5" customHeight="1">
      <c r="B8" s="860" t="s">
        <v>205</v>
      </c>
      <c r="C8" s="860"/>
      <c r="D8" s="860"/>
    </row>
    <row r="9" spans="2:4" ht="19.5" customHeight="1">
      <c r="B9" s="443"/>
      <c r="C9" s="443"/>
      <c r="D9" s="443"/>
    </row>
    <row r="10" spans="2:4" ht="19.5" customHeight="1">
      <c r="B10" s="858" t="s">
        <v>206</v>
      </c>
      <c r="C10" s="858"/>
      <c r="D10" s="858"/>
    </row>
    <row r="11" ht="19.5" customHeight="1">
      <c r="B11" s="444"/>
    </row>
    <row r="12" spans="2:4" ht="19.5" customHeight="1">
      <c r="B12" s="859" t="s">
        <v>207</v>
      </c>
      <c r="C12" s="859"/>
      <c r="D12" s="859"/>
    </row>
    <row r="13" spans="2:4" ht="19.5" customHeight="1">
      <c r="B13" s="859" t="s">
        <v>157</v>
      </c>
      <c r="C13" s="859"/>
      <c r="D13" s="859"/>
    </row>
    <row r="14" spans="2:4" ht="19.5" customHeight="1">
      <c r="B14" s="444"/>
      <c r="D14"/>
    </row>
    <row r="15" ht="19.5" customHeight="1">
      <c r="B15" s="444"/>
    </row>
    <row r="16" spans="2:4" ht="15" customHeight="1">
      <c r="B16" s="445" t="s">
        <v>208</v>
      </c>
      <c r="C16" s="446"/>
      <c r="D16" s="447" t="s">
        <v>197</v>
      </c>
    </row>
    <row r="17" spans="2:4" ht="15" customHeight="1">
      <c r="B17" s="445" t="s">
        <v>209</v>
      </c>
      <c r="C17" s="448"/>
      <c r="D17" s="447" t="s">
        <v>158</v>
      </c>
    </row>
    <row r="18" spans="2:4" ht="15" customHeight="1">
      <c r="B18" s="445" t="s">
        <v>210</v>
      </c>
      <c r="C18" s="448"/>
      <c r="D18" s="447" t="s">
        <v>159</v>
      </c>
    </row>
    <row r="19" spans="2:4" ht="15" customHeight="1">
      <c r="B19" s="445" t="s">
        <v>211</v>
      </c>
      <c r="C19" s="446"/>
      <c r="D19" s="449" t="s">
        <v>160</v>
      </c>
    </row>
    <row r="20" spans="2:4" ht="15" customHeight="1">
      <c r="B20" s="445" t="s">
        <v>212</v>
      </c>
      <c r="C20" s="446"/>
      <c r="D20" s="447" t="s">
        <v>161</v>
      </c>
    </row>
    <row r="21" spans="2:4" ht="15" customHeight="1">
      <c r="B21" s="445" t="s">
        <v>213</v>
      </c>
      <c r="C21" s="446"/>
      <c r="D21" s="447" t="s">
        <v>162</v>
      </c>
    </row>
    <row r="22" spans="2:4" ht="15" customHeight="1">
      <c r="B22" s="445" t="s">
        <v>214</v>
      </c>
      <c r="C22" s="450"/>
      <c r="D22" s="447" t="s">
        <v>163</v>
      </c>
    </row>
    <row r="23" spans="2:4" ht="15" customHeight="1">
      <c r="B23" s="445" t="s">
        <v>215</v>
      </c>
      <c r="C23" s="450"/>
      <c r="D23" s="447" t="s">
        <v>164</v>
      </c>
    </row>
    <row r="24" spans="2:4" ht="15" customHeight="1">
      <c r="B24" s="445" t="s">
        <v>216</v>
      </c>
      <c r="C24" s="446"/>
      <c r="D24" s="447" t="s">
        <v>165</v>
      </c>
    </row>
    <row r="25" spans="2:4" ht="15" customHeight="1">
      <c r="B25" s="445" t="s">
        <v>217</v>
      </c>
      <c r="C25" s="446"/>
      <c r="D25" s="447" t="s">
        <v>166</v>
      </c>
    </row>
    <row r="26" spans="2:4" ht="15" customHeight="1">
      <c r="B26" s="445" t="s">
        <v>218</v>
      </c>
      <c r="C26" s="451"/>
      <c r="D26" s="449" t="s">
        <v>167</v>
      </c>
    </row>
    <row r="27" spans="2:4" ht="15" customHeight="1">
      <c r="B27" s="445" t="s">
        <v>219</v>
      </c>
      <c r="C27" s="451"/>
      <c r="D27" s="449" t="s">
        <v>168</v>
      </c>
    </row>
    <row r="28" spans="2:4" ht="15" customHeight="1">
      <c r="B28" s="445" t="s">
        <v>220</v>
      </c>
      <c r="C28" s="451"/>
      <c r="D28" s="449" t="s">
        <v>169</v>
      </c>
    </row>
    <row r="29" spans="2:4" ht="15" customHeight="1">
      <c r="B29" s="445" t="s">
        <v>221</v>
      </c>
      <c r="C29" s="450"/>
      <c r="D29" s="447" t="s">
        <v>198</v>
      </c>
    </row>
    <row r="30" spans="2:4" ht="15" customHeight="1">
      <c r="B30" s="445" t="s">
        <v>222</v>
      </c>
      <c r="C30" s="450"/>
      <c r="D30" s="447" t="s">
        <v>199</v>
      </c>
    </row>
    <row r="31" spans="2:4" ht="15" customHeight="1">
      <c r="B31" s="445" t="s">
        <v>223</v>
      </c>
      <c r="C31" s="446"/>
      <c r="D31" s="447" t="s">
        <v>200</v>
      </c>
    </row>
    <row r="32" spans="2:4" ht="15" customHeight="1">
      <c r="B32" s="445" t="s">
        <v>224</v>
      </c>
      <c r="C32" s="446"/>
      <c r="D32" s="447" t="s">
        <v>170</v>
      </c>
    </row>
    <row r="33" spans="2:4" ht="15" customHeight="1">
      <c r="B33" s="445" t="s">
        <v>225</v>
      </c>
      <c r="C33" s="446"/>
      <c r="D33" s="447" t="s">
        <v>171</v>
      </c>
    </row>
    <row r="34" ht="12.75">
      <c r="B34" s="444"/>
    </row>
    <row r="35" ht="12.75">
      <c r="B35" s="444"/>
    </row>
    <row r="36" ht="12.75">
      <c r="B36" s="444"/>
    </row>
    <row r="37" ht="12.75">
      <c r="B37" s="444"/>
    </row>
    <row r="38" ht="12.75">
      <c r="B38" s="444"/>
    </row>
    <row r="40" ht="13.5">
      <c r="B40" s="452"/>
    </row>
    <row r="41" ht="12.75">
      <c r="B41" s="444"/>
    </row>
    <row r="42" ht="12.75">
      <c r="B42" s="444"/>
    </row>
    <row r="43" ht="12.75">
      <c r="B43" s="444"/>
    </row>
    <row r="50" spans="3:4" ht="12.75">
      <c r="C50" s="453"/>
      <c r="D50" s="454"/>
    </row>
    <row r="57" ht="12.75"/>
    <row r="60" spans="3:4" ht="12.75">
      <c r="C60"/>
      <c r="D60"/>
    </row>
  </sheetData>
  <mergeCells count="9">
    <mergeCell ref="B7:D7"/>
    <mergeCell ref="B1:D1"/>
    <mergeCell ref="B2:D2"/>
    <mergeCell ref="B3:D3"/>
    <mergeCell ref="B4:D4"/>
    <mergeCell ref="B10:D10"/>
    <mergeCell ref="B12:D12"/>
    <mergeCell ref="B13:D13"/>
    <mergeCell ref="B8:D8"/>
  </mergeCells>
  <printOptions horizontalCentered="1"/>
  <pageMargins left="0.6692913385826772" right="0.2755905511811024" top="0.5118110236220472" bottom="0.2755905511811024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9"/>
  <dimension ref="A1:U46"/>
  <sheetViews>
    <sheetView workbookViewId="0" topLeftCell="A1">
      <selection activeCell="O5" sqref="O5"/>
    </sheetView>
  </sheetViews>
  <sheetFormatPr defaultColWidth="9.140625" defaultRowHeight="12.75"/>
  <cols>
    <col min="1" max="1" width="3.7109375" style="0" customWidth="1"/>
    <col min="2" max="2" width="4.00390625" style="8" customWidth="1"/>
    <col min="3" max="3" width="8.7109375" style="8" hidden="1" customWidth="1"/>
    <col min="4" max="12" width="8.7109375" style="8" customWidth="1"/>
    <col min="13" max="13" width="8.421875" style="8" customWidth="1"/>
    <col min="14" max="14" width="4.00390625" style="8" customWidth="1"/>
    <col min="15" max="15" width="7.28125" style="0" customWidth="1"/>
  </cols>
  <sheetData>
    <row r="1" spans="2:13" ht="14.25" customHeight="1">
      <c r="B1" s="45"/>
      <c r="C1" s="45"/>
      <c r="D1" s="45"/>
      <c r="E1" s="45"/>
      <c r="F1" s="45"/>
      <c r="J1" s="32"/>
      <c r="K1" s="32"/>
      <c r="L1" s="32"/>
      <c r="M1" s="32" t="s">
        <v>216</v>
      </c>
    </row>
    <row r="2" spans="2:14" s="80" customFormat="1" ht="30" customHeight="1">
      <c r="B2" s="851" t="s">
        <v>118</v>
      </c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289"/>
    </row>
    <row r="3" spans="2:21" ht="15" customHeight="1">
      <c r="B3" s="889" t="s">
        <v>116</v>
      </c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16"/>
      <c r="O3" s="16"/>
      <c r="P3" s="16"/>
      <c r="Q3" s="16"/>
      <c r="R3" s="16"/>
      <c r="S3" s="16"/>
      <c r="T3" s="16"/>
      <c r="U3" s="16"/>
    </row>
    <row r="4" spans="12:15" ht="12.75" customHeight="1">
      <c r="L4" s="10" t="s">
        <v>5</v>
      </c>
      <c r="M4" s="10"/>
      <c r="O4" s="10"/>
    </row>
    <row r="5" spans="3:15" ht="33" customHeight="1">
      <c r="C5" s="114">
        <v>1995</v>
      </c>
      <c r="D5" s="114">
        <v>2000</v>
      </c>
      <c r="E5" s="115">
        <v>2001</v>
      </c>
      <c r="F5" s="115">
        <v>2002</v>
      </c>
      <c r="G5" s="115">
        <v>2003</v>
      </c>
      <c r="H5" s="115">
        <v>2004</v>
      </c>
      <c r="I5" s="115">
        <v>2005</v>
      </c>
      <c r="J5" s="115">
        <v>2006</v>
      </c>
      <c r="K5" s="115">
        <v>2007</v>
      </c>
      <c r="L5" s="115">
        <v>2008</v>
      </c>
      <c r="M5" s="116">
        <v>2009</v>
      </c>
      <c r="O5" s="815" t="s">
        <v>234</v>
      </c>
    </row>
    <row r="6" spans="2:15" ht="12.75" customHeight="1">
      <c r="B6" s="113" t="s">
        <v>40</v>
      </c>
      <c r="C6" s="336"/>
      <c r="D6" s="719"/>
      <c r="E6" s="719"/>
      <c r="F6" s="719"/>
      <c r="G6" s="720"/>
      <c r="H6" s="720"/>
      <c r="I6" s="720"/>
      <c r="J6" s="720"/>
      <c r="K6" s="720"/>
      <c r="L6" s="720"/>
      <c r="M6" s="721"/>
      <c r="N6" s="113" t="s">
        <v>40</v>
      </c>
      <c r="O6" s="721"/>
    </row>
    <row r="7" spans="2:15" ht="12.75" customHeight="1">
      <c r="B7" s="110" t="s">
        <v>71</v>
      </c>
      <c r="C7" s="337"/>
      <c r="D7" s="722">
        <f aca="true" t="shared" si="0" ref="D7:M7">SUM(D9,D12:D13,D15:D19,D23,D26:D27,D29,D33:D35)</f>
        <v>1333.1709999999998</v>
      </c>
      <c r="E7" s="722">
        <f t="shared" si="0"/>
        <v>1191.303</v>
      </c>
      <c r="F7" s="722">
        <f t="shared" si="0"/>
        <v>1115.241</v>
      </c>
      <c r="G7" s="722">
        <f t="shared" si="0"/>
        <v>1136.936</v>
      </c>
      <c r="H7" s="722">
        <f t="shared" si="0"/>
        <v>1193.9660000000001</v>
      </c>
      <c r="I7" s="722">
        <f t="shared" si="0"/>
        <v>1296.0320000000002</v>
      </c>
      <c r="J7" s="722">
        <f t="shared" si="0"/>
        <v>1418.495</v>
      </c>
      <c r="K7" s="722">
        <f t="shared" si="0"/>
        <v>1470.0389999999998</v>
      </c>
      <c r="L7" s="722">
        <f t="shared" si="0"/>
        <v>1355.429</v>
      </c>
      <c r="M7" s="723">
        <f t="shared" si="0"/>
        <v>1194.443</v>
      </c>
      <c r="N7" s="110" t="s">
        <v>71</v>
      </c>
      <c r="O7" s="723">
        <f>100*(M7/L7-1)</f>
        <v>-11.877125249644216</v>
      </c>
    </row>
    <row r="8" spans="2:15" ht="12.75" customHeight="1">
      <c r="B8" s="112" t="s">
        <v>131</v>
      </c>
      <c r="C8" s="339"/>
      <c r="D8" s="724"/>
      <c r="E8" s="724"/>
      <c r="F8" s="724"/>
      <c r="G8" s="724"/>
      <c r="H8" s="724"/>
      <c r="I8" s="724"/>
      <c r="J8" s="724"/>
      <c r="K8" s="724"/>
      <c r="L8" s="724"/>
      <c r="M8" s="725"/>
      <c r="N8" s="112" t="s">
        <v>131</v>
      </c>
      <c r="O8" s="725"/>
    </row>
    <row r="9" spans="1:15" ht="12.75" customHeight="1">
      <c r="A9" s="11"/>
      <c r="B9" s="12" t="s">
        <v>72</v>
      </c>
      <c r="C9" s="340"/>
      <c r="D9" s="726">
        <v>25.319</v>
      </c>
      <c r="E9" s="726">
        <v>21.229</v>
      </c>
      <c r="F9" s="726">
        <v>21.503</v>
      </c>
      <c r="G9" s="726">
        <v>22.224</v>
      </c>
      <c r="H9" s="726">
        <v>25.055</v>
      </c>
      <c r="I9" s="726">
        <v>24.955</v>
      </c>
      <c r="J9" s="726">
        <v>27.269</v>
      </c>
      <c r="K9" s="726">
        <v>30.131</v>
      </c>
      <c r="L9" s="726">
        <v>26.393</v>
      </c>
      <c r="M9" s="727">
        <v>26.423</v>
      </c>
      <c r="N9" s="12" t="s">
        <v>72</v>
      </c>
      <c r="O9" s="727">
        <f>100*(M9/L9-1)</f>
        <v>0.11366650248170185</v>
      </c>
    </row>
    <row r="10" spans="1:15" ht="12.75" customHeight="1">
      <c r="A10" s="11"/>
      <c r="B10" s="110" t="s">
        <v>54</v>
      </c>
      <c r="C10" s="341"/>
      <c r="D10" s="728"/>
      <c r="E10" s="728"/>
      <c r="F10" s="728"/>
      <c r="G10" s="728"/>
      <c r="H10" s="728"/>
      <c r="I10" s="728"/>
      <c r="J10" s="728"/>
      <c r="K10" s="728"/>
      <c r="L10" s="728"/>
      <c r="M10" s="729"/>
      <c r="N10" s="110" t="s">
        <v>54</v>
      </c>
      <c r="O10" s="729"/>
    </row>
    <row r="11" spans="1:15" ht="12.75" customHeight="1">
      <c r="A11" s="11"/>
      <c r="B11" s="13" t="s">
        <v>56</v>
      </c>
      <c r="C11" s="342">
        <v>6.876</v>
      </c>
      <c r="D11" s="730">
        <v>3.865</v>
      </c>
      <c r="E11" s="730">
        <v>5.308</v>
      </c>
      <c r="F11" s="730">
        <v>7.88</v>
      </c>
      <c r="G11" s="730">
        <v>5.959</v>
      </c>
      <c r="H11" s="730">
        <v>7.217</v>
      </c>
      <c r="I11" s="730">
        <v>7.592</v>
      </c>
      <c r="J11" s="730">
        <v>8.423</v>
      </c>
      <c r="K11" s="730">
        <v>9.985</v>
      </c>
      <c r="L11" s="730">
        <v>9.641</v>
      </c>
      <c r="M11" s="731">
        <v>7.214</v>
      </c>
      <c r="N11" s="13" t="s">
        <v>56</v>
      </c>
      <c r="O11" s="731">
        <f aca="true" t="shared" si="1" ref="O11:O41">100*(M11/L11-1)</f>
        <v>-25.173737164194577</v>
      </c>
    </row>
    <row r="12" spans="1:15" ht="12.75" customHeight="1">
      <c r="A12" s="11"/>
      <c r="B12" s="110" t="s">
        <v>67</v>
      </c>
      <c r="C12" s="341">
        <v>2.288</v>
      </c>
      <c r="D12" s="728">
        <v>3.3</v>
      </c>
      <c r="E12" s="728">
        <v>2.416</v>
      </c>
      <c r="F12" s="728">
        <v>2.625</v>
      </c>
      <c r="G12" s="728">
        <v>2.824</v>
      </c>
      <c r="H12" s="728">
        <v>3.631</v>
      </c>
      <c r="I12" s="728">
        <v>5.78</v>
      </c>
      <c r="J12" s="728">
        <v>7.578</v>
      </c>
      <c r="K12" s="728">
        <v>9.777</v>
      </c>
      <c r="L12" s="728">
        <v>6.692</v>
      </c>
      <c r="M12" s="729">
        <v>5.165</v>
      </c>
      <c r="N12" s="110" t="s">
        <v>67</v>
      </c>
      <c r="O12" s="729">
        <f t="shared" si="1"/>
        <v>-22.81829049611477</v>
      </c>
    </row>
    <row r="13" spans="1:15" ht="12.75" customHeight="1">
      <c r="A13" s="11"/>
      <c r="B13" s="13" t="s">
        <v>73</v>
      </c>
      <c r="C13" s="342">
        <v>218.245</v>
      </c>
      <c r="D13" s="730">
        <v>252.616</v>
      </c>
      <c r="E13" s="730">
        <v>226.958</v>
      </c>
      <c r="F13" s="730">
        <v>204.129</v>
      </c>
      <c r="G13" s="730">
        <v>191.262</v>
      </c>
      <c r="H13" s="730">
        <v>173.524</v>
      </c>
      <c r="I13" s="730">
        <v>168.652</v>
      </c>
      <c r="J13" s="730">
        <v>165.842</v>
      </c>
      <c r="K13" s="730">
        <v>166.883</v>
      </c>
      <c r="L13" s="730">
        <v>166.281</v>
      </c>
      <c r="M13" s="731">
        <v>138.979</v>
      </c>
      <c r="N13" s="13" t="s">
        <v>73</v>
      </c>
      <c r="O13" s="731">
        <f t="shared" si="1"/>
        <v>-16.419194014950588</v>
      </c>
    </row>
    <row r="14" spans="1:15" ht="12.75" customHeight="1">
      <c r="A14" s="11"/>
      <c r="B14" s="110" t="s">
        <v>57</v>
      </c>
      <c r="C14" s="341" t="s">
        <v>93</v>
      </c>
      <c r="D14" s="728">
        <v>0.053</v>
      </c>
      <c r="E14" s="728">
        <v>0.152</v>
      </c>
      <c r="F14" s="728">
        <v>0.173</v>
      </c>
      <c r="G14" s="728">
        <v>0.185</v>
      </c>
      <c r="H14" s="728">
        <v>0.231</v>
      </c>
      <c r="I14" s="728">
        <v>0.319</v>
      </c>
      <c r="J14" s="728">
        <v>0.771</v>
      </c>
      <c r="K14" s="728">
        <v>1.254</v>
      </c>
      <c r="L14" s="728">
        <v>1.186</v>
      </c>
      <c r="M14" s="729">
        <v>0.468</v>
      </c>
      <c r="N14" s="110" t="s">
        <v>57</v>
      </c>
      <c r="O14" s="729">
        <f t="shared" si="1"/>
        <v>-60.53962900505903</v>
      </c>
    </row>
    <row r="15" spans="1:15" ht="12.75" customHeight="1">
      <c r="A15" s="11"/>
      <c r="B15" s="13" t="s">
        <v>76</v>
      </c>
      <c r="C15" s="342"/>
      <c r="D15" s="730">
        <v>3.848</v>
      </c>
      <c r="E15" s="730">
        <v>4.705</v>
      </c>
      <c r="F15" s="730">
        <v>5.596</v>
      </c>
      <c r="G15" s="730">
        <v>2.853</v>
      </c>
      <c r="H15" s="730">
        <v>2.534</v>
      </c>
      <c r="I15" s="730">
        <v>2.391</v>
      </c>
      <c r="J15" s="730">
        <v>2.508</v>
      </c>
      <c r="K15" s="730">
        <v>2.882</v>
      </c>
      <c r="L15" s="730">
        <v>2.645</v>
      </c>
      <c r="M15" s="731">
        <v>1.422</v>
      </c>
      <c r="N15" s="13" t="s">
        <v>76</v>
      </c>
      <c r="O15" s="731">
        <f t="shared" si="1"/>
        <v>-46.238185255198495</v>
      </c>
    </row>
    <row r="16" spans="1:15" ht="12.75" customHeight="1">
      <c r="A16" s="11"/>
      <c r="B16" s="110" t="s">
        <v>68</v>
      </c>
      <c r="C16" s="341"/>
      <c r="D16" s="728">
        <v>64.042</v>
      </c>
      <c r="E16" s="728">
        <v>66.833</v>
      </c>
      <c r="F16" s="728">
        <v>56.069</v>
      </c>
      <c r="G16" s="728">
        <v>59.137</v>
      </c>
      <c r="H16" s="728">
        <v>72.023</v>
      </c>
      <c r="I16" s="728">
        <v>83.078</v>
      </c>
      <c r="J16" s="728">
        <v>88.48</v>
      </c>
      <c r="K16" s="728">
        <v>100.458</v>
      </c>
      <c r="L16" s="728">
        <v>100.118</v>
      </c>
      <c r="M16" s="729">
        <v>69.246</v>
      </c>
      <c r="N16" s="110" t="s">
        <v>68</v>
      </c>
      <c r="O16" s="729">
        <f t="shared" si="1"/>
        <v>-30.835613975508902</v>
      </c>
    </row>
    <row r="17" spans="1:15" ht="12.75" customHeight="1">
      <c r="A17" s="11"/>
      <c r="B17" s="13" t="s">
        <v>74</v>
      </c>
      <c r="C17" s="342"/>
      <c r="D17" s="730">
        <v>72.022</v>
      </c>
      <c r="E17" s="730">
        <v>64.129</v>
      </c>
      <c r="F17" s="730">
        <v>63.365</v>
      </c>
      <c r="G17" s="730">
        <v>77.439</v>
      </c>
      <c r="H17" s="730">
        <v>123.143</v>
      </c>
      <c r="I17" s="730">
        <v>205.626</v>
      </c>
      <c r="J17" s="730">
        <v>258.355</v>
      </c>
      <c r="K17" s="730">
        <v>269.479</v>
      </c>
      <c r="L17" s="730">
        <v>209.941</v>
      </c>
      <c r="M17" s="731">
        <v>134.64</v>
      </c>
      <c r="N17" s="13" t="s">
        <v>74</v>
      </c>
      <c r="O17" s="731">
        <f t="shared" si="1"/>
        <v>-35.867696162255115</v>
      </c>
    </row>
    <row r="18" spans="1:15" ht="12.75" customHeight="1">
      <c r="A18" s="11"/>
      <c r="B18" s="110" t="s">
        <v>75</v>
      </c>
      <c r="C18" s="341"/>
      <c r="D18" s="728">
        <v>179.552</v>
      </c>
      <c r="E18" s="728">
        <v>179.59</v>
      </c>
      <c r="F18" s="728">
        <v>168.754</v>
      </c>
      <c r="G18" s="728">
        <v>176.006</v>
      </c>
      <c r="H18" s="728">
        <v>183.811</v>
      </c>
      <c r="I18" s="728">
        <v>196.618</v>
      </c>
      <c r="J18" s="728">
        <v>229.364</v>
      </c>
      <c r="K18" s="728">
        <v>238.966</v>
      </c>
      <c r="L18" s="728">
        <v>237.592</v>
      </c>
      <c r="M18" s="729">
        <v>200.017</v>
      </c>
      <c r="N18" s="110" t="s">
        <v>75</v>
      </c>
      <c r="O18" s="729">
        <f t="shared" si="1"/>
        <v>-15.814926428499287</v>
      </c>
    </row>
    <row r="19" spans="1:15" ht="12.75" customHeight="1">
      <c r="A19" s="11"/>
      <c r="B19" s="13" t="s">
        <v>77</v>
      </c>
      <c r="C19" s="342"/>
      <c r="D19" s="730">
        <v>524.619</v>
      </c>
      <c r="E19" s="730">
        <v>420.355</v>
      </c>
      <c r="F19" s="730">
        <v>392.763</v>
      </c>
      <c r="G19" s="730">
        <v>408.617</v>
      </c>
      <c r="H19" s="730">
        <v>421.489</v>
      </c>
      <c r="I19" s="730">
        <v>420.478</v>
      </c>
      <c r="J19" s="730">
        <v>444.987</v>
      </c>
      <c r="K19" s="730">
        <v>435.959</v>
      </c>
      <c r="L19" s="730">
        <v>408.249</v>
      </c>
      <c r="M19" s="731">
        <v>445.621</v>
      </c>
      <c r="N19" s="13" t="s">
        <v>77</v>
      </c>
      <c r="O19" s="731">
        <f t="shared" si="1"/>
        <v>9.15421715668623</v>
      </c>
    </row>
    <row r="20" spans="1:15" ht="12.75" customHeight="1">
      <c r="A20" s="11"/>
      <c r="B20" s="110" t="s">
        <v>55</v>
      </c>
      <c r="C20" s="341" t="s">
        <v>93</v>
      </c>
      <c r="D20" s="728"/>
      <c r="E20" s="728">
        <v>2.834</v>
      </c>
      <c r="F20" s="728">
        <v>2.145</v>
      </c>
      <c r="G20" s="728">
        <v>1.824</v>
      </c>
      <c r="H20" s="728">
        <v>2.273</v>
      </c>
      <c r="I20" s="728">
        <v>2.455</v>
      </c>
      <c r="J20" s="728">
        <v>2.925</v>
      </c>
      <c r="K20" s="728">
        <v>3.71</v>
      </c>
      <c r="L20" s="728">
        <v>4.459</v>
      </c>
      <c r="M20" s="729">
        <v>3.14</v>
      </c>
      <c r="N20" s="110" t="s">
        <v>55</v>
      </c>
      <c r="O20" s="729">
        <f t="shared" si="1"/>
        <v>-29.580623458174472</v>
      </c>
    </row>
    <row r="21" spans="1:15" ht="12.75" customHeight="1">
      <c r="A21" s="11"/>
      <c r="B21" s="13" t="s">
        <v>59</v>
      </c>
      <c r="C21" s="342" t="s">
        <v>93</v>
      </c>
      <c r="D21" s="730" t="s">
        <v>93</v>
      </c>
      <c r="E21" s="730" t="s">
        <v>93</v>
      </c>
      <c r="F21" s="730">
        <v>0.216</v>
      </c>
      <c r="G21" s="730">
        <v>0.221</v>
      </c>
      <c r="H21" s="730">
        <v>0.373</v>
      </c>
      <c r="I21" s="730">
        <v>0.4</v>
      </c>
      <c r="J21" s="730">
        <v>0.773</v>
      </c>
      <c r="K21" s="730">
        <v>1.53</v>
      </c>
      <c r="L21" s="730">
        <v>1.568</v>
      </c>
      <c r="M21" s="731">
        <v>0.355</v>
      </c>
      <c r="N21" s="13" t="s">
        <v>59</v>
      </c>
      <c r="O21" s="731">
        <f t="shared" si="1"/>
        <v>-77.35969387755102</v>
      </c>
    </row>
    <row r="22" spans="1:15" ht="12.75" customHeight="1">
      <c r="A22" s="11"/>
      <c r="B22" s="110" t="s">
        <v>60</v>
      </c>
      <c r="C22" s="341" t="s">
        <v>93</v>
      </c>
      <c r="D22" s="728">
        <v>0.377</v>
      </c>
      <c r="E22" s="728">
        <v>0.516</v>
      </c>
      <c r="F22" s="728">
        <v>0.793</v>
      </c>
      <c r="G22" s="728">
        <v>0.858</v>
      </c>
      <c r="H22" s="728">
        <v>1.101</v>
      </c>
      <c r="I22" s="728">
        <v>1.653</v>
      </c>
      <c r="J22" s="728">
        <v>2.457</v>
      </c>
      <c r="K22" s="728">
        <v>4.42</v>
      </c>
      <c r="L22" s="728">
        <v>5.622</v>
      </c>
      <c r="M22" s="729">
        <v>3.89</v>
      </c>
      <c r="N22" s="110" t="s">
        <v>60</v>
      </c>
      <c r="O22" s="729">
        <f t="shared" si="1"/>
        <v>-30.80754180007115</v>
      </c>
    </row>
    <row r="23" spans="1:15" ht="12.75" customHeight="1">
      <c r="A23" s="11"/>
      <c r="B23" s="13" t="s">
        <v>78</v>
      </c>
      <c r="C23" s="342">
        <v>0.985</v>
      </c>
      <c r="D23" s="730">
        <v>1.26</v>
      </c>
      <c r="E23" s="730">
        <v>1.139</v>
      </c>
      <c r="F23" s="730">
        <v>1.324</v>
      </c>
      <c r="G23" s="730">
        <v>1.437</v>
      </c>
      <c r="H23" s="730">
        <v>1.354</v>
      </c>
      <c r="I23" s="730">
        <v>1.265</v>
      </c>
      <c r="J23" s="730">
        <v>1.378</v>
      </c>
      <c r="K23" s="730">
        <v>1.417</v>
      </c>
      <c r="L23" s="730">
        <v>1.353</v>
      </c>
      <c r="M23" s="731">
        <v>1.553</v>
      </c>
      <c r="N23" s="13" t="s">
        <v>78</v>
      </c>
      <c r="O23" s="731">
        <f t="shared" si="1"/>
        <v>14.781966001478185</v>
      </c>
    </row>
    <row r="24" spans="1:15" ht="12.75" customHeight="1">
      <c r="A24" s="11"/>
      <c r="B24" s="110" t="s">
        <v>58</v>
      </c>
      <c r="C24" s="341" t="s">
        <v>93</v>
      </c>
      <c r="D24" s="728" t="s">
        <v>93</v>
      </c>
      <c r="E24" s="728" t="s">
        <v>93</v>
      </c>
      <c r="F24" s="728">
        <v>7.438</v>
      </c>
      <c r="G24" s="728">
        <v>8.875</v>
      </c>
      <c r="H24" s="728">
        <v>16.152</v>
      </c>
      <c r="I24" s="728">
        <v>12.538</v>
      </c>
      <c r="J24" s="728">
        <v>12.048</v>
      </c>
      <c r="K24" s="728">
        <v>12.781</v>
      </c>
      <c r="L24" s="728">
        <v>12.285</v>
      </c>
      <c r="M24" s="729">
        <v>4.369</v>
      </c>
      <c r="N24" s="110" t="s">
        <v>58</v>
      </c>
      <c r="O24" s="729">
        <f t="shared" si="1"/>
        <v>-64.43630443630444</v>
      </c>
    </row>
    <row r="25" spans="1:15" ht="12.75" customHeight="1">
      <c r="A25" s="11"/>
      <c r="B25" s="13" t="s">
        <v>61</v>
      </c>
      <c r="C25" s="342" t="s">
        <v>93</v>
      </c>
      <c r="D25" s="730"/>
      <c r="E25" s="730"/>
      <c r="F25" s="730">
        <v>0.551</v>
      </c>
      <c r="G25" s="730">
        <v>0.508</v>
      </c>
      <c r="H25" s="730">
        <v>0.473</v>
      </c>
      <c r="I25" s="730">
        <v>0.408</v>
      </c>
      <c r="J25" s="730">
        <v>0.544</v>
      </c>
      <c r="K25" s="730">
        <v>0.532</v>
      </c>
      <c r="L25" s="730">
        <v>0.699</v>
      </c>
      <c r="M25" s="731">
        <v>0.608</v>
      </c>
      <c r="N25" s="13" t="s">
        <v>61</v>
      </c>
      <c r="O25" s="731">
        <f t="shared" si="1"/>
        <v>-13.01859799713877</v>
      </c>
    </row>
    <row r="26" spans="1:15" ht="12.75" customHeight="1">
      <c r="A26" s="11"/>
      <c r="B26" s="111" t="s">
        <v>69</v>
      </c>
      <c r="C26" s="341">
        <v>17.799</v>
      </c>
      <c r="D26" s="728">
        <v>19.626</v>
      </c>
      <c r="E26" s="728">
        <v>17.562</v>
      </c>
      <c r="F26" s="728">
        <v>16.845</v>
      </c>
      <c r="G26" s="728">
        <v>16.737</v>
      </c>
      <c r="H26" s="728">
        <v>17.566</v>
      </c>
      <c r="I26" s="728">
        <v>16.814</v>
      </c>
      <c r="J26" s="728">
        <v>14.79</v>
      </c>
      <c r="K26" s="728">
        <v>16.237</v>
      </c>
      <c r="L26" s="728">
        <v>16.961</v>
      </c>
      <c r="M26" s="729">
        <v>18.278</v>
      </c>
      <c r="N26" s="111" t="s">
        <v>69</v>
      </c>
      <c r="O26" s="729">
        <f t="shared" si="1"/>
        <v>7.764872354224406</v>
      </c>
    </row>
    <row r="27" spans="1:15" ht="12.75" customHeight="1">
      <c r="A27" s="11"/>
      <c r="B27" s="13" t="s">
        <v>79</v>
      </c>
      <c r="C27" s="342">
        <v>18.704</v>
      </c>
      <c r="D27" s="730">
        <v>23.775</v>
      </c>
      <c r="E27" s="730">
        <v>19.952</v>
      </c>
      <c r="F27" s="730">
        <v>16.687</v>
      </c>
      <c r="G27" s="730">
        <v>17.93</v>
      </c>
      <c r="H27" s="730">
        <v>18.748</v>
      </c>
      <c r="I27" s="730">
        <v>19.094</v>
      </c>
      <c r="J27" s="730">
        <v>18.873</v>
      </c>
      <c r="K27" s="730">
        <v>23.748</v>
      </c>
      <c r="L27" s="730">
        <v>24.48</v>
      </c>
      <c r="M27" s="731">
        <v>23.712</v>
      </c>
      <c r="N27" s="13" t="s">
        <v>79</v>
      </c>
      <c r="O27" s="731">
        <f t="shared" si="1"/>
        <v>-3.1372549019607843</v>
      </c>
    </row>
    <row r="28" spans="1:15" ht="12.75" customHeight="1">
      <c r="A28" s="11"/>
      <c r="B28" s="110" t="s">
        <v>62</v>
      </c>
      <c r="C28" s="341" t="s">
        <v>93</v>
      </c>
      <c r="D28" s="728" t="s">
        <v>93</v>
      </c>
      <c r="E28" s="728" t="s">
        <v>93</v>
      </c>
      <c r="F28" s="728"/>
      <c r="G28" s="728">
        <v>1.3</v>
      </c>
      <c r="H28" s="728">
        <v>1.95</v>
      </c>
      <c r="I28" s="728">
        <v>3.841</v>
      </c>
      <c r="J28" s="728">
        <v>5.115</v>
      </c>
      <c r="K28" s="728">
        <v>7.574</v>
      </c>
      <c r="L28" s="728">
        <v>10.696</v>
      </c>
      <c r="M28" s="729">
        <v>9.43</v>
      </c>
      <c r="N28" s="110" t="s">
        <v>62</v>
      </c>
      <c r="O28" s="729">
        <f t="shared" si="1"/>
        <v>-11.836200448765899</v>
      </c>
    </row>
    <row r="29" spans="1:15" ht="12.75" customHeight="1">
      <c r="A29" s="11"/>
      <c r="B29" s="13" t="s">
        <v>80</v>
      </c>
      <c r="C29" s="342">
        <v>12.059</v>
      </c>
      <c r="D29" s="730">
        <v>17.716</v>
      </c>
      <c r="E29" s="730">
        <v>17.087</v>
      </c>
      <c r="F29" s="730">
        <v>14.218</v>
      </c>
      <c r="G29" s="730">
        <v>11.198</v>
      </c>
      <c r="H29" s="730">
        <v>11.562</v>
      </c>
      <c r="I29" s="730">
        <v>11.232</v>
      </c>
      <c r="J29" s="730">
        <v>11.435</v>
      </c>
      <c r="K29" s="730">
        <v>11.991</v>
      </c>
      <c r="L29" s="730">
        <v>10.762</v>
      </c>
      <c r="M29" s="731">
        <v>13.475</v>
      </c>
      <c r="N29" s="13" t="s">
        <v>80</v>
      </c>
      <c r="O29" s="731">
        <f t="shared" si="1"/>
        <v>25.20906894629251</v>
      </c>
    </row>
    <row r="30" spans="1:15" ht="12.75" customHeight="1">
      <c r="A30" s="11"/>
      <c r="B30" s="110" t="s">
        <v>63</v>
      </c>
      <c r="C30" s="341"/>
      <c r="D30" s="728"/>
      <c r="E30" s="728"/>
      <c r="F30" s="728"/>
      <c r="G30" s="728">
        <v>0.616</v>
      </c>
      <c r="H30" s="728">
        <v>0.833</v>
      </c>
      <c r="I30" s="728">
        <v>0.828</v>
      </c>
      <c r="J30" s="728">
        <v>5.083</v>
      </c>
      <c r="K30" s="728">
        <v>4.779</v>
      </c>
      <c r="L30" s="728">
        <v>6.961</v>
      </c>
      <c r="M30" s="729">
        <v>8.64</v>
      </c>
      <c r="N30" s="110" t="s">
        <v>63</v>
      </c>
      <c r="O30" s="729">
        <f t="shared" si="1"/>
        <v>24.12009768711392</v>
      </c>
    </row>
    <row r="31" spans="1:15" ht="12.75" customHeight="1">
      <c r="A31" s="11"/>
      <c r="B31" s="13" t="s">
        <v>65</v>
      </c>
      <c r="C31" s="342" t="s">
        <v>93</v>
      </c>
      <c r="D31" s="730">
        <v>1.23</v>
      </c>
      <c r="E31" s="730">
        <v>0.965</v>
      </c>
      <c r="F31" s="730">
        <v>1.159</v>
      </c>
      <c r="G31" s="730">
        <v>1.466</v>
      </c>
      <c r="H31" s="730">
        <v>2.072</v>
      </c>
      <c r="I31" s="730">
        <v>2.535</v>
      </c>
      <c r="J31" s="730">
        <v>3.598</v>
      </c>
      <c r="K31" s="730">
        <v>5.061</v>
      </c>
      <c r="L31" s="730">
        <v>5.296</v>
      </c>
      <c r="M31" s="731">
        <v>3.795</v>
      </c>
      <c r="N31" s="13" t="s">
        <v>65</v>
      </c>
      <c r="O31" s="731">
        <f t="shared" si="1"/>
        <v>-28.342145015105746</v>
      </c>
    </row>
    <row r="32" spans="1:15" ht="12.75" customHeight="1">
      <c r="A32" s="11"/>
      <c r="B32" s="110" t="s">
        <v>64</v>
      </c>
      <c r="C32" s="341" t="s">
        <v>93</v>
      </c>
      <c r="D32" s="728" t="s">
        <v>93</v>
      </c>
      <c r="E32" s="728" t="s">
        <v>93</v>
      </c>
      <c r="F32" s="728"/>
      <c r="G32" s="728"/>
      <c r="H32" s="728">
        <v>1.165</v>
      </c>
      <c r="I32" s="728">
        <v>1.165</v>
      </c>
      <c r="J32" s="728">
        <v>2.122</v>
      </c>
      <c r="K32" s="728">
        <v>3.144</v>
      </c>
      <c r="L32" s="728">
        <v>3.139</v>
      </c>
      <c r="M32" s="729">
        <v>2.331</v>
      </c>
      <c r="N32" s="110" t="s">
        <v>64</v>
      </c>
      <c r="O32" s="729">
        <f t="shared" si="1"/>
        <v>-25.740681745778904</v>
      </c>
    </row>
    <row r="33" spans="1:15" ht="12.75" customHeight="1">
      <c r="A33" s="11"/>
      <c r="B33" s="13" t="s">
        <v>81</v>
      </c>
      <c r="C33" s="342"/>
      <c r="D33" s="730">
        <v>5.167</v>
      </c>
      <c r="E33" s="730">
        <v>4.408</v>
      </c>
      <c r="F33" s="730">
        <v>4.92</v>
      </c>
      <c r="G33" s="730">
        <v>6.264</v>
      </c>
      <c r="H33" s="730">
        <v>7.835</v>
      </c>
      <c r="I33" s="730">
        <v>9.228</v>
      </c>
      <c r="J33" s="730">
        <v>11.058</v>
      </c>
      <c r="K33" s="730">
        <v>11.533</v>
      </c>
      <c r="L33" s="730">
        <v>9.065</v>
      </c>
      <c r="M33" s="731">
        <v>8.842</v>
      </c>
      <c r="N33" s="13" t="s">
        <v>81</v>
      </c>
      <c r="O33" s="731">
        <f t="shared" si="1"/>
        <v>-2.4600110314395907</v>
      </c>
    </row>
    <row r="34" spans="1:15" ht="12.75" customHeight="1">
      <c r="A34" s="11"/>
      <c r="B34" s="110" t="s">
        <v>82</v>
      </c>
      <c r="C34" s="341"/>
      <c r="D34" s="728">
        <v>18.401</v>
      </c>
      <c r="E34" s="728">
        <v>21.074</v>
      </c>
      <c r="F34" s="728">
        <v>23.052</v>
      </c>
      <c r="G34" s="728">
        <v>23.66</v>
      </c>
      <c r="H34" s="728">
        <v>25.3</v>
      </c>
      <c r="I34" s="728">
        <v>22.763</v>
      </c>
      <c r="J34" s="728">
        <v>27.051</v>
      </c>
      <c r="K34" s="728">
        <v>30.715</v>
      </c>
      <c r="L34" s="728">
        <v>20.423</v>
      </c>
      <c r="M34" s="729">
        <v>11.839</v>
      </c>
      <c r="N34" s="110" t="s">
        <v>82</v>
      </c>
      <c r="O34" s="729">
        <f t="shared" si="1"/>
        <v>-42.03104343142535</v>
      </c>
    </row>
    <row r="35" spans="1:15" ht="12.75" customHeight="1">
      <c r="A35" s="11"/>
      <c r="B35" s="14" t="s">
        <v>70</v>
      </c>
      <c r="C35" s="344"/>
      <c r="D35" s="732">
        <v>121.908</v>
      </c>
      <c r="E35" s="732">
        <v>123.866</v>
      </c>
      <c r="F35" s="732">
        <v>123.391</v>
      </c>
      <c r="G35" s="732">
        <v>119.348</v>
      </c>
      <c r="H35" s="732">
        <v>106.391</v>
      </c>
      <c r="I35" s="732">
        <v>108.058</v>
      </c>
      <c r="J35" s="732">
        <v>109.527</v>
      </c>
      <c r="K35" s="732">
        <v>119.863</v>
      </c>
      <c r="L35" s="732">
        <v>114.474</v>
      </c>
      <c r="M35" s="733">
        <v>95.231</v>
      </c>
      <c r="N35" s="14" t="s">
        <v>70</v>
      </c>
      <c r="O35" s="733">
        <f t="shared" si="1"/>
        <v>-16.80993063927181</v>
      </c>
    </row>
    <row r="36" spans="1:15" ht="12.75" customHeight="1">
      <c r="A36" s="11"/>
      <c r="B36" s="113" t="s">
        <v>86</v>
      </c>
      <c r="C36" s="539"/>
      <c r="D36" s="734"/>
      <c r="E36" s="734"/>
      <c r="F36" s="734">
        <v>4.483</v>
      </c>
      <c r="G36" s="734">
        <v>6.875</v>
      </c>
      <c r="H36" s="734">
        <v>6.662</v>
      </c>
      <c r="I36" s="734">
        <v>6.722</v>
      </c>
      <c r="J36" s="734">
        <v>7.775</v>
      </c>
      <c r="K36" s="734">
        <v>8.974</v>
      </c>
      <c r="L36" s="734">
        <v>8.811</v>
      </c>
      <c r="M36" s="735">
        <v>4.717</v>
      </c>
      <c r="N36" s="113" t="s">
        <v>86</v>
      </c>
      <c r="O36" s="735">
        <f t="shared" si="1"/>
        <v>-46.464646464646464</v>
      </c>
    </row>
    <row r="37" spans="1:15" ht="12.75" customHeight="1">
      <c r="A37" s="11"/>
      <c r="B37" s="13" t="s">
        <v>1</v>
      </c>
      <c r="C37" s="342"/>
      <c r="D37" s="730"/>
      <c r="E37" s="730"/>
      <c r="F37" s="730"/>
      <c r="G37" s="730"/>
      <c r="H37" s="730"/>
      <c r="I37" s="730"/>
      <c r="J37" s="730"/>
      <c r="K37" s="730">
        <v>3.176</v>
      </c>
      <c r="L37" s="730">
        <v>6.429</v>
      </c>
      <c r="M37" s="731"/>
      <c r="N37" s="13" t="s">
        <v>1</v>
      </c>
      <c r="O37" s="731"/>
    </row>
    <row r="38" spans="1:15" ht="12.75" customHeight="1">
      <c r="A38" s="11"/>
      <c r="B38" s="112" t="s">
        <v>66</v>
      </c>
      <c r="C38" s="540"/>
      <c r="D38" s="736"/>
      <c r="E38" s="736"/>
      <c r="F38" s="736">
        <v>12.86</v>
      </c>
      <c r="G38" s="736">
        <v>21.521</v>
      </c>
      <c r="H38" s="736">
        <v>92.187</v>
      </c>
      <c r="I38" s="736">
        <v>227.657</v>
      </c>
      <c r="J38" s="736">
        <v>389.503</v>
      </c>
      <c r="K38" s="736">
        <v>191.897</v>
      </c>
      <c r="L38" s="736">
        <v>189.572</v>
      </c>
      <c r="M38" s="737">
        <v>138.903</v>
      </c>
      <c r="N38" s="112" t="s">
        <v>66</v>
      </c>
      <c r="O38" s="737">
        <f t="shared" si="1"/>
        <v>-26.728103306395468</v>
      </c>
    </row>
    <row r="39" spans="1:15" ht="12.75" customHeight="1">
      <c r="A39" s="11"/>
      <c r="B39" s="13" t="s">
        <v>52</v>
      </c>
      <c r="C39" s="342"/>
      <c r="D39" s="730"/>
      <c r="E39" s="730"/>
      <c r="F39" s="730"/>
      <c r="G39" s="730"/>
      <c r="H39" s="730"/>
      <c r="I39" s="730"/>
      <c r="J39" s="730"/>
      <c r="K39" s="730"/>
      <c r="L39" s="730"/>
      <c r="M39" s="731"/>
      <c r="N39" s="13" t="s">
        <v>52</v>
      </c>
      <c r="O39" s="731"/>
    </row>
    <row r="40" spans="1:15" ht="12.75" customHeight="1">
      <c r="A40" s="11"/>
      <c r="B40" s="110" t="s">
        <v>83</v>
      </c>
      <c r="C40" s="341"/>
      <c r="D40" s="728"/>
      <c r="E40" s="728"/>
      <c r="F40" s="728">
        <v>6.062</v>
      </c>
      <c r="G40" s="728">
        <v>5.494</v>
      </c>
      <c r="H40" s="728">
        <v>5.609</v>
      </c>
      <c r="I40" s="728">
        <v>6.217</v>
      </c>
      <c r="J40" s="728">
        <v>7.764</v>
      </c>
      <c r="K40" s="728">
        <v>9.591</v>
      </c>
      <c r="L40" s="728">
        <v>10.137</v>
      </c>
      <c r="M40" s="729">
        <v>4.346</v>
      </c>
      <c r="N40" s="110" t="s">
        <v>83</v>
      </c>
      <c r="O40" s="729">
        <f t="shared" si="1"/>
        <v>-57.127355233303746</v>
      </c>
    </row>
    <row r="41" spans="1:15" ht="12.75" customHeight="1">
      <c r="A41" s="11"/>
      <c r="B41" s="14" t="s">
        <v>53</v>
      </c>
      <c r="C41" s="344"/>
      <c r="D41" s="732"/>
      <c r="E41" s="732"/>
      <c r="F41" s="732">
        <v>47.292</v>
      </c>
      <c r="G41" s="732">
        <v>48.76</v>
      </c>
      <c r="H41" s="732">
        <v>47.723</v>
      </c>
      <c r="I41" s="732">
        <v>45.137</v>
      </c>
      <c r="J41" s="732">
        <v>45.57</v>
      </c>
      <c r="K41" s="732">
        <v>47.857</v>
      </c>
      <c r="L41" s="732">
        <v>48.633</v>
      </c>
      <c r="M41" s="733">
        <v>34.663</v>
      </c>
      <c r="N41" s="14" t="s">
        <v>53</v>
      </c>
      <c r="O41" s="733">
        <f t="shared" si="1"/>
        <v>-28.72535109904798</v>
      </c>
    </row>
    <row r="42" spans="1:15" ht="23.25" customHeight="1">
      <c r="A42" s="11"/>
      <c r="B42" s="872" t="s">
        <v>180</v>
      </c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26"/>
      <c r="O42" s="4"/>
    </row>
    <row r="43" spans="1:15" ht="11.25" customHeight="1">
      <c r="A43" s="11"/>
      <c r="B43" s="850" t="s">
        <v>2</v>
      </c>
      <c r="C43" s="850"/>
      <c r="D43" s="850"/>
      <c r="E43" s="850"/>
      <c r="F43" s="850"/>
      <c r="G43" s="850"/>
      <c r="H43" s="850"/>
      <c r="I43" s="850"/>
      <c r="J43" s="850"/>
      <c r="K43" s="850"/>
      <c r="L43" s="850"/>
      <c r="M43" s="850"/>
      <c r="N43" s="623"/>
      <c r="O43" s="623"/>
    </row>
    <row r="44" spans="1:15" ht="12.75" customHeight="1">
      <c r="A44" s="11"/>
      <c r="B44" s="850" t="s">
        <v>4</v>
      </c>
      <c r="C44" s="850"/>
      <c r="D44" s="850"/>
      <c r="E44" s="850"/>
      <c r="F44" s="850"/>
      <c r="G44" s="850"/>
      <c r="H44" s="850"/>
      <c r="I44" s="850"/>
      <c r="J44" s="850"/>
      <c r="K44" s="850"/>
      <c r="L44" s="850"/>
      <c r="M44" s="850"/>
      <c r="N44" s="26"/>
      <c r="O44" s="4"/>
    </row>
    <row r="45" spans="2:13" ht="12.75" customHeight="1">
      <c r="B45" s="850" t="s">
        <v>89</v>
      </c>
      <c r="C45" s="850"/>
      <c r="D45" s="850"/>
      <c r="E45" s="850"/>
      <c r="F45" s="850"/>
      <c r="G45" s="850"/>
      <c r="H45" s="850"/>
      <c r="I45" s="850"/>
      <c r="J45" s="850"/>
      <c r="K45" s="850"/>
      <c r="L45" s="850"/>
      <c r="M45" s="850"/>
    </row>
    <row r="46" spans="2:13" ht="12.75" customHeight="1">
      <c r="B46" s="850" t="s">
        <v>130</v>
      </c>
      <c r="C46" s="850"/>
      <c r="D46" s="850"/>
      <c r="E46" s="850"/>
      <c r="F46" s="850"/>
      <c r="G46" s="850"/>
      <c r="H46" s="850"/>
      <c r="I46" s="850"/>
      <c r="J46" s="850"/>
      <c r="K46" s="850"/>
      <c r="L46" s="850"/>
      <c r="M46" s="850"/>
    </row>
  </sheetData>
  <mergeCells count="7">
    <mergeCell ref="B46:M46"/>
    <mergeCell ref="B2:M2"/>
    <mergeCell ref="B3:M3"/>
    <mergeCell ref="B42:M42"/>
    <mergeCell ref="B43:M43"/>
    <mergeCell ref="B44:M44"/>
    <mergeCell ref="B45:M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2"/>
  <dimension ref="A1:P43"/>
  <sheetViews>
    <sheetView workbookViewId="0" topLeftCell="A1">
      <selection activeCell="P5" sqref="P5"/>
    </sheetView>
  </sheetViews>
  <sheetFormatPr defaultColWidth="9.140625" defaultRowHeight="12.75"/>
  <cols>
    <col min="1" max="1" width="3.7109375" style="0" customWidth="1"/>
    <col min="2" max="2" width="4.00390625" style="8" customWidth="1"/>
    <col min="3" max="4" width="8.7109375" style="8" hidden="1" customWidth="1"/>
    <col min="5" max="14" width="8.7109375" style="8" customWidth="1"/>
    <col min="15" max="15" width="4.00390625" style="8" customWidth="1"/>
    <col min="16" max="16" width="8.00390625" style="8" customWidth="1"/>
  </cols>
  <sheetData>
    <row r="1" spans="2:16" ht="14.25" customHeight="1">
      <c r="B1" s="45"/>
      <c r="C1" s="45"/>
      <c r="D1" s="45"/>
      <c r="E1" s="45"/>
      <c r="F1" s="45"/>
      <c r="G1" s="45"/>
      <c r="K1" s="32"/>
      <c r="L1" s="32"/>
      <c r="M1" s="32"/>
      <c r="N1" s="32" t="s">
        <v>217</v>
      </c>
      <c r="O1" s="45"/>
      <c r="P1" s="32"/>
    </row>
    <row r="2" spans="2:16" s="80" customFormat="1" ht="30" customHeight="1">
      <c r="B2" s="851" t="s">
        <v>119</v>
      </c>
      <c r="C2" s="851"/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289"/>
      <c r="O2" s="289"/>
      <c r="P2" s="289"/>
    </row>
    <row r="3" spans="2:13" ht="15" customHeight="1">
      <c r="B3" s="838" t="s">
        <v>121</v>
      </c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</row>
    <row r="4" spans="13:16" ht="12.75" customHeight="1">
      <c r="M4" s="10"/>
      <c r="N4" s="10"/>
      <c r="P4" s="10"/>
    </row>
    <row r="5" spans="3:16" ht="24.75" customHeight="1">
      <c r="C5" s="114">
        <v>1995</v>
      </c>
      <c r="D5" s="114">
        <v>1995</v>
      </c>
      <c r="E5" s="114">
        <v>2000</v>
      </c>
      <c r="F5" s="115">
        <v>2001</v>
      </c>
      <c r="G5" s="115">
        <v>2002</v>
      </c>
      <c r="H5" s="115">
        <v>2003</v>
      </c>
      <c r="I5" s="115">
        <v>2004</v>
      </c>
      <c r="J5" s="115">
        <v>2005</v>
      </c>
      <c r="K5" s="115">
        <v>2006</v>
      </c>
      <c r="L5" s="115">
        <v>2007</v>
      </c>
      <c r="M5" s="115">
        <v>2008</v>
      </c>
      <c r="N5" s="116">
        <v>2009</v>
      </c>
      <c r="P5" s="815" t="s">
        <v>234</v>
      </c>
    </row>
    <row r="6" spans="2:16" ht="12.75" customHeight="1">
      <c r="B6" s="113" t="s">
        <v>40</v>
      </c>
      <c r="C6" s="345"/>
      <c r="D6" s="345"/>
      <c r="E6" s="131"/>
      <c r="F6" s="131"/>
      <c r="G6" s="131"/>
      <c r="H6" s="131"/>
      <c r="I6" s="131"/>
      <c r="J6" s="131"/>
      <c r="K6" s="131"/>
      <c r="L6" s="131"/>
      <c r="M6" s="131"/>
      <c r="N6" s="617"/>
      <c r="O6" s="113" t="s">
        <v>40</v>
      </c>
      <c r="P6" s="693"/>
    </row>
    <row r="7" spans="2:16" ht="12.75" customHeight="1">
      <c r="B7" s="110" t="s">
        <v>71</v>
      </c>
      <c r="C7" s="337"/>
      <c r="D7" s="337"/>
      <c r="E7" s="132">
        <f>SUM(E9,E12:E13,E15:E19,E23,E26:E27,E29,E33:E35)</f>
        <v>1094.8990000000001</v>
      </c>
      <c r="F7" s="132">
        <f aca="true" t="shared" si="0" ref="F7:N7">SUM(F9,F12:F13,F15:F19,F23,F26:F27,F29,F33:F35)</f>
        <v>856.197</v>
      </c>
      <c r="G7" s="132">
        <f t="shared" si="0"/>
        <v>732.502</v>
      </c>
      <c r="H7" s="132">
        <f t="shared" si="0"/>
        <v>714.225</v>
      </c>
      <c r="I7" s="132">
        <f t="shared" si="0"/>
        <v>663.2379999999999</v>
      </c>
      <c r="J7" s="132">
        <f t="shared" si="0"/>
        <v>673.0189999999999</v>
      </c>
      <c r="K7" s="132">
        <f t="shared" si="0"/>
        <v>747.764</v>
      </c>
      <c r="L7" s="132">
        <f t="shared" si="0"/>
        <v>789.428</v>
      </c>
      <c r="M7" s="132">
        <f t="shared" si="0"/>
        <v>715.8829999999999</v>
      </c>
      <c r="N7" s="618">
        <f t="shared" si="0"/>
        <v>630.478</v>
      </c>
      <c r="O7" s="110" t="s">
        <v>71</v>
      </c>
      <c r="P7" s="694">
        <f>100*(N7/M7-1)</f>
        <v>-11.930022084614379</v>
      </c>
    </row>
    <row r="8" spans="2:16" ht="12.75" customHeight="1">
      <c r="B8" s="112" t="s">
        <v>131</v>
      </c>
      <c r="C8" s="339"/>
      <c r="D8" s="339"/>
      <c r="E8" s="423"/>
      <c r="F8" s="423"/>
      <c r="G8" s="423"/>
      <c r="H8" s="423"/>
      <c r="I8" s="423"/>
      <c r="J8" s="423"/>
      <c r="K8" s="423"/>
      <c r="L8" s="423"/>
      <c r="M8" s="423"/>
      <c r="N8" s="543"/>
      <c r="O8" s="112" t="s">
        <v>131</v>
      </c>
      <c r="P8" s="697"/>
    </row>
    <row r="9" spans="1:16" ht="12.75" customHeight="1">
      <c r="A9" s="11"/>
      <c r="B9" s="12" t="s">
        <v>72</v>
      </c>
      <c r="C9" s="340">
        <v>27.582</v>
      </c>
      <c r="D9" s="340">
        <v>27.582</v>
      </c>
      <c r="E9" s="138">
        <v>33.191</v>
      </c>
      <c r="F9" s="138">
        <v>30.191</v>
      </c>
      <c r="G9" s="138">
        <v>26.651</v>
      </c>
      <c r="H9" s="138">
        <v>20.581</v>
      </c>
      <c r="I9" s="138">
        <v>17.751</v>
      </c>
      <c r="J9" s="138">
        <v>17.347</v>
      </c>
      <c r="K9" s="138">
        <v>20.279</v>
      </c>
      <c r="L9" s="138">
        <v>21.434</v>
      </c>
      <c r="M9" s="138">
        <v>19.614</v>
      </c>
      <c r="N9" s="544">
        <v>17.044</v>
      </c>
      <c r="O9" s="12" t="s">
        <v>72</v>
      </c>
      <c r="P9" s="699">
        <f>100*(N9/M9-1)</f>
        <v>-13.10288569389212</v>
      </c>
    </row>
    <row r="10" spans="1:16" ht="12.75" customHeight="1">
      <c r="A10" s="11"/>
      <c r="B10" s="110" t="s">
        <v>54</v>
      </c>
      <c r="C10" s="341"/>
      <c r="D10" s="341"/>
      <c r="E10" s="266"/>
      <c r="F10" s="266"/>
      <c r="G10" s="266"/>
      <c r="H10" s="266"/>
      <c r="I10" s="266"/>
      <c r="J10" s="266"/>
      <c r="K10" s="266"/>
      <c r="L10" s="266"/>
      <c r="M10" s="266"/>
      <c r="N10" s="545"/>
      <c r="O10" s="110" t="s">
        <v>54</v>
      </c>
      <c r="P10" s="700"/>
    </row>
    <row r="11" spans="1:16" ht="12.75" customHeight="1">
      <c r="A11" s="11"/>
      <c r="B11" s="13" t="s">
        <v>56</v>
      </c>
      <c r="C11" s="342"/>
      <c r="D11" s="342"/>
      <c r="E11" s="76"/>
      <c r="F11" s="76"/>
      <c r="G11" s="76"/>
      <c r="H11" s="76">
        <v>7.724</v>
      </c>
      <c r="I11" s="76">
        <v>6.903</v>
      </c>
      <c r="J11" s="76">
        <v>8.017</v>
      </c>
      <c r="K11" s="76">
        <v>6.079</v>
      </c>
      <c r="L11" s="76">
        <v>6.121</v>
      </c>
      <c r="M11" s="76">
        <v>5.707</v>
      </c>
      <c r="N11" s="546">
        <v>4.327</v>
      </c>
      <c r="O11" s="13" t="s">
        <v>56</v>
      </c>
      <c r="P11" s="678">
        <f>100*(N11/M11-1)</f>
        <v>-24.180830558962676</v>
      </c>
    </row>
    <row r="12" spans="1:16" ht="12.75" customHeight="1">
      <c r="A12" s="11"/>
      <c r="B12" s="110" t="s">
        <v>67</v>
      </c>
      <c r="C12" s="341">
        <v>10.818</v>
      </c>
      <c r="D12" s="341">
        <v>10.818</v>
      </c>
      <c r="E12" s="266">
        <v>9.766</v>
      </c>
      <c r="F12" s="266">
        <v>6.796</v>
      </c>
      <c r="G12" s="266">
        <v>5.048</v>
      </c>
      <c r="H12" s="266">
        <v>3.758</v>
      </c>
      <c r="I12" s="266">
        <v>4.197</v>
      </c>
      <c r="J12" s="266">
        <v>4.916</v>
      </c>
      <c r="K12" s="266">
        <v>4.462</v>
      </c>
      <c r="L12" s="266">
        <v>4.518</v>
      </c>
      <c r="M12" s="266">
        <v>3.67</v>
      </c>
      <c r="N12" s="545">
        <v>17.424</v>
      </c>
      <c r="O12" s="110" t="s">
        <v>67</v>
      </c>
      <c r="P12" s="700">
        <f>100*(N12/M12-1)</f>
        <v>374.7683923705722</v>
      </c>
    </row>
    <row r="13" spans="1:16" ht="12.75" customHeight="1">
      <c r="A13" s="11"/>
      <c r="B13" s="13" t="s">
        <v>73</v>
      </c>
      <c r="C13" s="342">
        <v>124.497</v>
      </c>
      <c r="D13" s="342">
        <v>124.497</v>
      </c>
      <c r="E13" s="76">
        <v>108.671</v>
      </c>
      <c r="F13" s="76">
        <v>112.322</v>
      </c>
      <c r="G13" s="76">
        <v>94.577</v>
      </c>
      <c r="H13" s="76">
        <v>93.02</v>
      </c>
      <c r="I13" s="76">
        <v>81.28</v>
      </c>
      <c r="J13" s="76">
        <v>97.333</v>
      </c>
      <c r="K13" s="76">
        <v>109.906</v>
      </c>
      <c r="L13" s="76">
        <v>94.215</v>
      </c>
      <c r="M13" s="76">
        <v>79.56</v>
      </c>
      <c r="N13" s="546">
        <v>74.688</v>
      </c>
      <c r="O13" s="13" t="s">
        <v>73</v>
      </c>
      <c r="P13" s="678">
        <f>100*(N13/M13-1)</f>
        <v>-6.123680241327301</v>
      </c>
    </row>
    <row r="14" spans="1:16" ht="12.75" customHeight="1">
      <c r="A14" s="11"/>
      <c r="B14" s="110" t="s">
        <v>57</v>
      </c>
      <c r="C14" s="341"/>
      <c r="D14" s="341"/>
      <c r="E14" s="266"/>
      <c r="F14" s="266"/>
      <c r="G14" s="266"/>
      <c r="H14" s="266"/>
      <c r="I14" s="266"/>
      <c r="J14" s="266"/>
      <c r="K14" s="266"/>
      <c r="L14" s="266"/>
      <c r="M14" s="266"/>
      <c r="N14" s="545"/>
      <c r="O14" s="110" t="s">
        <v>57</v>
      </c>
      <c r="P14" s="700"/>
    </row>
    <row r="15" spans="1:16" ht="12.75" customHeight="1">
      <c r="A15" s="11"/>
      <c r="B15" s="13" t="s">
        <v>76</v>
      </c>
      <c r="C15" s="342">
        <v>0.437</v>
      </c>
      <c r="D15" s="342">
        <v>0.437</v>
      </c>
      <c r="E15" s="76">
        <v>3.023</v>
      </c>
      <c r="F15" s="76">
        <v>2.214</v>
      </c>
      <c r="G15" s="76">
        <v>2.349</v>
      </c>
      <c r="H15" s="76">
        <v>2.14</v>
      </c>
      <c r="I15" s="76">
        <v>1.299</v>
      </c>
      <c r="J15" s="76">
        <v>0.849</v>
      </c>
      <c r="K15" s="76">
        <v>0.698</v>
      </c>
      <c r="L15" s="76">
        <v>0.641</v>
      </c>
      <c r="M15" s="76">
        <v>0.549</v>
      </c>
      <c r="N15" s="546">
        <v>0.447</v>
      </c>
      <c r="O15" s="13" t="s">
        <v>76</v>
      </c>
      <c r="P15" s="678">
        <f aca="true" t="shared" si="1" ref="P15:P23">100*(N15/M15-1)</f>
        <v>-18.579234972677604</v>
      </c>
    </row>
    <row r="16" spans="1:16" ht="12.75" customHeight="1">
      <c r="A16" s="11"/>
      <c r="B16" s="110" t="s">
        <v>68</v>
      </c>
      <c r="C16" s="341">
        <v>13.5</v>
      </c>
      <c r="D16" s="341">
        <v>13.5</v>
      </c>
      <c r="E16" s="266">
        <v>19.243</v>
      </c>
      <c r="F16" s="266">
        <v>21.149</v>
      </c>
      <c r="G16" s="266">
        <v>20.221</v>
      </c>
      <c r="H16" s="266">
        <v>20.921</v>
      </c>
      <c r="I16" s="266">
        <v>21.856</v>
      </c>
      <c r="J16" s="266">
        <v>24.107</v>
      </c>
      <c r="K16" s="266">
        <v>36.295</v>
      </c>
      <c r="L16" s="266">
        <v>21.899</v>
      </c>
      <c r="M16" s="266">
        <v>25.01</v>
      </c>
      <c r="N16" s="545">
        <v>20.387</v>
      </c>
      <c r="O16" s="110" t="s">
        <v>68</v>
      </c>
      <c r="P16" s="700">
        <f t="shared" si="1"/>
        <v>-18.484606157536987</v>
      </c>
    </row>
    <row r="17" spans="1:16" ht="12.75" customHeight="1">
      <c r="A17" s="11"/>
      <c r="B17" s="13" t="s">
        <v>74</v>
      </c>
      <c r="C17" s="342">
        <v>155.23</v>
      </c>
      <c r="D17" s="342">
        <v>155.23</v>
      </c>
      <c r="E17" s="76">
        <v>248.633</v>
      </c>
      <c r="F17" s="76">
        <v>176.489</v>
      </c>
      <c r="G17" s="76">
        <v>113.756</v>
      </c>
      <c r="H17" s="76">
        <v>110.421</v>
      </c>
      <c r="I17" s="76">
        <v>118.128</v>
      </c>
      <c r="J17" s="76">
        <v>115.142</v>
      </c>
      <c r="K17" s="76">
        <v>137.46</v>
      </c>
      <c r="L17" s="76">
        <v>125.862</v>
      </c>
      <c r="M17" s="76">
        <v>84.222</v>
      </c>
      <c r="N17" s="546">
        <v>43.954</v>
      </c>
      <c r="O17" s="13" t="s">
        <v>74</v>
      </c>
      <c r="P17" s="678">
        <f t="shared" si="1"/>
        <v>-47.81173565101754</v>
      </c>
    </row>
    <row r="18" spans="1:16" ht="12.75" customHeight="1">
      <c r="A18" s="11"/>
      <c r="B18" s="110" t="s">
        <v>75</v>
      </c>
      <c r="C18" s="341">
        <v>218.198</v>
      </c>
      <c r="D18" s="341">
        <v>218.198</v>
      </c>
      <c r="E18" s="266">
        <v>192.273</v>
      </c>
      <c r="F18" s="266">
        <v>184.666</v>
      </c>
      <c r="G18" s="266">
        <v>166.124</v>
      </c>
      <c r="H18" s="266">
        <v>166.127</v>
      </c>
      <c r="I18" s="266">
        <v>166.003</v>
      </c>
      <c r="J18" s="266">
        <v>154.922</v>
      </c>
      <c r="K18" s="266">
        <v>184.869</v>
      </c>
      <c r="L18" s="266">
        <v>209.451</v>
      </c>
      <c r="M18" s="266">
        <v>190.315</v>
      </c>
      <c r="N18" s="545">
        <v>156.963</v>
      </c>
      <c r="O18" s="110" t="s">
        <v>75</v>
      </c>
      <c r="P18" s="700">
        <f t="shared" si="1"/>
        <v>-17.524630218322258</v>
      </c>
    </row>
    <row r="19" spans="1:16" ht="12.75" customHeight="1">
      <c r="A19" s="11"/>
      <c r="B19" s="13" t="s">
        <v>77</v>
      </c>
      <c r="C19" s="342">
        <v>575.112</v>
      </c>
      <c r="D19" s="342">
        <v>575.112</v>
      </c>
      <c r="E19" s="76">
        <v>311.836</v>
      </c>
      <c r="F19" s="76">
        <v>175.543</v>
      </c>
      <c r="G19" s="76">
        <v>166.755</v>
      </c>
      <c r="H19" s="76">
        <v>161.893</v>
      </c>
      <c r="I19" s="76">
        <v>132.367</v>
      </c>
      <c r="J19" s="76">
        <v>128.284</v>
      </c>
      <c r="K19" s="76">
        <v>109.85</v>
      </c>
      <c r="L19" s="76">
        <v>130.696</v>
      </c>
      <c r="M19" s="76">
        <v>123.11</v>
      </c>
      <c r="N19" s="546">
        <v>114.368</v>
      </c>
      <c r="O19" s="13" t="s">
        <v>77</v>
      </c>
      <c r="P19" s="678">
        <f t="shared" si="1"/>
        <v>-7.100966615222159</v>
      </c>
    </row>
    <row r="20" spans="1:16" ht="12.75" customHeight="1">
      <c r="A20" s="11"/>
      <c r="B20" s="110" t="s">
        <v>55</v>
      </c>
      <c r="C20" s="341"/>
      <c r="D20" s="341"/>
      <c r="E20" s="266"/>
      <c r="F20" s="266"/>
      <c r="G20" s="266">
        <v>2.315</v>
      </c>
      <c r="H20" s="266">
        <v>2.652</v>
      </c>
      <c r="I20" s="266">
        <v>2.412</v>
      </c>
      <c r="J20" s="266">
        <v>2.08</v>
      </c>
      <c r="K20" s="266">
        <v>1.739</v>
      </c>
      <c r="L20" s="266">
        <v>1.747</v>
      </c>
      <c r="M20" s="266">
        <v>1.731</v>
      </c>
      <c r="N20" s="545">
        <v>1.416</v>
      </c>
      <c r="O20" s="110" t="s">
        <v>55</v>
      </c>
      <c r="P20" s="700">
        <f t="shared" si="1"/>
        <v>-18.197573656845766</v>
      </c>
    </row>
    <row r="21" spans="1:16" ht="12.75" customHeight="1">
      <c r="A21" s="11"/>
      <c r="B21" s="13" t="s">
        <v>59</v>
      </c>
      <c r="C21" s="342"/>
      <c r="D21" s="342"/>
      <c r="E21" s="76"/>
      <c r="F21" s="76"/>
      <c r="G21" s="76"/>
      <c r="H21" s="76"/>
      <c r="I21" s="76">
        <v>0.457</v>
      </c>
      <c r="J21" s="76">
        <v>0.637</v>
      </c>
      <c r="K21" s="76">
        <v>1.711</v>
      </c>
      <c r="L21" s="76">
        <v>3.464</v>
      </c>
      <c r="M21" s="76">
        <v>2.907</v>
      </c>
      <c r="N21" s="546">
        <v>0.577</v>
      </c>
      <c r="O21" s="13" t="s">
        <v>59</v>
      </c>
      <c r="P21" s="678">
        <f t="shared" si="1"/>
        <v>-80.15135878912969</v>
      </c>
    </row>
    <row r="22" spans="1:16" ht="12.75" customHeight="1">
      <c r="A22" s="11"/>
      <c r="B22" s="110" t="s">
        <v>60</v>
      </c>
      <c r="C22" s="341"/>
      <c r="D22" s="341"/>
      <c r="E22" s="266"/>
      <c r="F22" s="266"/>
      <c r="G22" s="266"/>
      <c r="H22" s="266"/>
      <c r="I22" s="266"/>
      <c r="J22" s="266"/>
      <c r="K22" s="266"/>
      <c r="L22" s="266"/>
      <c r="M22" s="266">
        <v>5.404</v>
      </c>
      <c r="N22" s="545">
        <v>3.499</v>
      </c>
      <c r="O22" s="110" t="s">
        <v>60</v>
      </c>
      <c r="P22" s="700">
        <f t="shared" si="1"/>
        <v>-35.25166543301258</v>
      </c>
    </row>
    <row r="23" spans="1:16" ht="12.75" customHeight="1">
      <c r="A23" s="11"/>
      <c r="B23" s="13" t="s">
        <v>78</v>
      </c>
      <c r="C23" s="342"/>
      <c r="D23" s="342"/>
      <c r="E23" s="76">
        <v>0.454</v>
      </c>
      <c r="F23" s="76">
        <v>0.437</v>
      </c>
      <c r="G23" s="76">
        <v>0.483</v>
      </c>
      <c r="H23" s="76">
        <v>0.63</v>
      </c>
      <c r="I23" s="76">
        <v>0.552</v>
      </c>
      <c r="J23" s="76">
        <v>0.528</v>
      </c>
      <c r="K23" s="76">
        <v>0.657</v>
      </c>
      <c r="L23" s="76">
        <v>0.604</v>
      </c>
      <c r="M23" s="76">
        <v>0.677</v>
      </c>
      <c r="N23" s="546">
        <v>0.645</v>
      </c>
      <c r="O23" s="13" t="s">
        <v>78</v>
      </c>
      <c r="P23" s="678">
        <f t="shared" si="1"/>
        <v>-4.726735598227483</v>
      </c>
    </row>
    <row r="24" spans="1:16" ht="12.75" customHeight="1">
      <c r="A24" s="11"/>
      <c r="B24" s="110" t="s">
        <v>58</v>
      </c>
      <c r="C24" s="341"/>
      <c r="D24" s="341"/>
      <c r="E24" s="266"/>
      <c r="F24" s="266"/>
      <c r="G24" s="266"/>
      <c r="H24" s="266"/>
      <c r="I24" s="266"/>
      <c r="J24" s="266"/>
      <c r="K24" s="266"/>
      <c r="L24" s="266"/>
      <c r="M24" s="266"/>
      <c r="N24" s="545"/>
      <c r="O24" s="110" t="s">
        <v>58</v>
      </c>
      <c r="P24" s="700"/>
    </row>
    <row r="25" spans="1:16" ht="12.75" customHeight="1">
      <c r="A25" s="11"/>
      <c r="B25" s="13" t="s">
        <v>61</v>
      </c>
      <c r="C25" s="342"/>
      <c r="D25" s="342"/>
      <c r="E25" s="76"/>
      <c r="F25" s="76"/>
      <c r="G25" s="76"/>
      <c r="H25" s="76"/>
      <c r="I25" s="76"/>
      <c r="J25" s="76"/>
      <c r="K25" s="76"/>
      <c r="L25" s="76"/>
      <c r="M25" s="76"/>
      <c r="N25" s="546"/>
      <c r="O25" s="13" t="s">
        <v>61</v>
      </c>
      <c r="P25" s="678"/>
    </row>
    <row r="26" spans="1:16" ht="12.75" customHeight="1">
      <c r="A26" s="11"/>
      <c r="B26" s="111" t="s">
        <v>69</v>
      </c>
      <c r="C26" s="341">
        <v>59.153</v>
      </c>
      <c r="D26" s="341">
        <v>59.153</v>
      </c>
      <c r="E26" s="266">
        <v>66.941</v>
      </c>
      <c r="F26" s="266">
        <v>56.206</v>
      </c>
      <c r="G26" s="266">
        <v>53.857</v>
      </c>
      <c r="H26" s="266">
        <v>45.878</v>
      </c>
      <c r="I26" s="266">
        <v>39.131</v>
      </c>
      <c r="J26" s="266">
        <v>40.858</v>
      </c>
      <c r="K26" s="266">
        <v>48.776</v>
      </c>
      <c r="L26" s="266">
        <v>57.427</v>
      </c>
      <c r="M26" s="266">
        <v>69.594</v>
      </c>
      <c r="N26" s="545">
        <v>93.821</v>
      </c>
      <c r="O26" s="111" t="s">
        <v>69</v>
      </c>
      <c r="P26" s="700">
        <f>100*(N26/M26-1)</f>
        <v>34.81190907262122</v>
      </c>
    </row>
    <row r="27" spans="1:16" ht="12.75" customHeight="1">
      <c r="A27" s="11"/>
      <c r="B27" s="13" t="s">
        <v>79</v>
      </c>
      <c r="C27" s="342">
        <v>10.742</v>
      </c>
      <c r="D27" s="342">
        <v>10.742</v>
      </c>
      <c r="E27" s="76">
        <v>21.335</v>
      </c>
      <c r="F27" s="76">
        <v>20.459</v>
      </c>
      <c r="G27" s="76">
        <v>16.278</v>
      </c>
      <c r="H27" s="76">
        <v>19.914</v>
      </c>
      <c r="I27" s="76">
        <v>21.711</v>
      </c>
      <c r="J27" s="76">
        <v>27.728</v>
      </c>
      <c r="K27" s="76">
        <v>28.292</v>
      </c>
      <c r="L27" s="76">
        <v>30.933</v>
      </c>
      <c r="M27" s="76">
        <v>30.97</v>
      </c>
      <c r="N27" s="546">
        <v>26.057</v>
      </c>
      <c r="O27" s="13" t="s">
        <v>79</v>
      </c>
      <c r="P27" s="678">
        <f>100*(N27/M27-1)</f>
        <v>-15.863739102357123</v>
      </c>
    </row>
    <row r="28" spans="1:16" ht="12.75" customHeight="1">
      <c r="A28" s="11"/>
      <c r="B28" s="110" t="s">
        <v>62</v>
      </c>
      <c r="C28" s="341"/>
      <c r="D28" s="341"/>
      <c r="E28" s="266"/>
      <c r="F28" s="266"/>
      <c r="G28" s="266"/>
      <c r="H28" s="266"/>
      <c r="I28" s="266"/>
      <c r="J28" s="266">
        <v>23.309</v>
      </c>
      <c r="K28" s="266">
        <v>43.57</v>
      </c>
      <c r="L28" s="266">
        <v>91.913</v>
      </c>
      <c r="M28" s="266">
        <v>135.994</v>
      </c>
      <c r="N28" s="545">
        <v>94.031</v>
      </c>
      <c r="O28" s="110" t="s">
        <v>62</v>
      </c>
      <c r="P28" s="700">
        <f>100*(N28/M28-1)</f>
        <v>-30.856508375369497</v>
      </c>
    </row>
    <row r="29" spans="1:16" ht="12.75" customHeight="1">
      <c r="A29" s="11"/>
      <c r="B29" s="13" t="s">
        <v>80</v>
      </c>
      <c r="C29" s="342"/>
      <c r="D29" s="342">
        <v>42</v>
      </c>
      <c r="E29" s="76">
        <v>14.969</v>
      </c>
      <c r="F29" s="76">
        <v>7.636</v>
      </c>
      <c r="G29" s="76"/>
      <c r="H29" s="76"/>
      <c r="I29" s="76"/>
      <c r="J29" s="76"/>
      <c r="K29" s="76">
        <v>1.982</v>
      </c>
      <c r="L29" s="76">
        <v>7.886</v>
      </c>
      <c r="M29" s="76">
        <v>7.236</v>
      </c>
      <c r="N29" s="546">
        <v>5.693</v>
      </c>
      <c r="O29" s="13" t="s">
        <v>80</v>
      </c>
      <c r="P29" s="678">
        <f>100*(N29/M29-1)</f>
        <v>-21.323935876174684</v>
      </c>
    </row>
    <row r="30" spans="1:16" ht="12.75" customHeight="1">
      <c r="A30" s="11"/>
      <c r="B30" s="110" t="s">
        <v>63</v>
      </c>
      <c r="C30" s="341">
        <v>42</v>
      </c>
      <c r="D30" s="341"/>
      <c r="E30" s="266"/>
      <c r="F30" s="266"/>
      <c r="G30" s="266"/>
      <c r="H30" s="266"/>
      <c r="I30" s="266"/>
      <c r="J30" s="266"/>
      <c r="K30" s="266"/>
      <c r="L30" s="266"/>
      <c r="M30" s="266"/>
      <c r="N30" s="545"/>
      <c r="O30" s="110" t="s">
        <v>63</v>
      </c>
      <c r="P30" s="700"/>
    </row>
    <row r="31" spans="1:16" ht="12.75" customHeight="1">
      <c r="A31" s="11"/>
      <c r="B31" s="13" t="s">
        <v>65</v>
      </c>
      <c r="C31" s="342"/>
      <c r="D31" s="342"/>
      <c r="E31" s="76"/>
      <c r="F31" s="76"/>
      <c r="G31" s="76">
        <v>1.741</v>
      </c>
      <c r="H31" s="76">
        <v>1.398</v>
      </c>
      <c r="I31" s="76">
        <v>2.215</v>
      </c>
      <c r="J31" s="76">
        <v>3.121</v>
      </c>
      <c r="K31" s="76">
        <v>4.689</v>
      </c>
      <c r="L31" s="76">
        <v>5.735</v>
      </c>
      <c r="M31" s="76">
        <v>5.86</v>
      </c>
      <c r="N31" s="546">
        <v>4.566</v>
      </c>
      <c r="O31" s="13" t="s">
        <v>65</v>
      </c>
      <c r="P31" s="678">
        <f aca="true" t="shared" si="2" ref="P31:P36">100*(N31/M31-1)</f>
        <v>-22.081911262798638</v>
      </c>
    </row>
    <row r="32" spans="1:16" ht="12.75" customHeight="1">
      <c r="A32" s="11"/>
      <c r="B32" s="110" t="s">
        <v>64</v>
      </c>
      <c r="C32" s="341"/>
      <c r="D32" s="341"/>
      <c r="E32" s="266"/>
      <c r="F32" s="266"/>
      <c r="G32" s="266"/>
      <c r="H32" s="266"/>
      <c r="I32" s="266">
        <v>1.763</v>
      </c>
      <c r="J32" s="266">
        <v>2.037</v>
      </c>
      <c r="K32" s="266">
        <v>2.577</v>
      </c>
      <c r="L32" s="266">
        <v>3.017</v>
      </c>
      <c r="M32" s="266">
        <v>2.616</v>
      </c>
      <c r="N32" s="545">
        <v>2.076</v>
      </c>
      <c r="O32" s="110" t="s">
        <v>64</v>
      </c>
      <c r="P32" s="700">
        <f t="shared" si="2"/>
        <v>-20.642201834862384</v>
      </c>
    </row>
    <row r="33" spans="1:16" ht="12.75" customHeight="1">
      <c r="A33" s="11"/>
      <c r="B33" s="13" t="s">
        <v>81</v>
      </c>
      <c r="C33" s="342"/>
      <c r="D33" s="342"/>
      <c r="E33" s="76">
        <v>6.423</v>
      </c>
      <c r="F33" s="76">
        <v>6.705</v>
      </c>
      <c r="G33" s="76">
        <v>8.835</v>
      </c>
      <c r="H33" s="76">
        <v>12.751</v>
      </c>
      <c r="I33" s="76">
        <v>17.808</v>
      </c>
      <c r="J33" s="76">
        <v>20.895</v>
      </c>
      <c r="K33" s="76">
        <v>25.693</v>
      </c>
      <c r="L33" s="76">
        <v>27.448</v>
      </c>
      <c r="M33" s="76">
        <v>25.255</v>
      </c>
      <c r="N33" s="546">
        <v>21.1</v>
      </c>
      <c r="O33" s="13" t="s">
        <v>81</v>
      </c>
      <c r="P33" s="678">
        <f t="shared" si="2"/>
        <v>-16.452187685606802</v>
      </c>
    </row>
    <row r="34" spans="1:16" ht="12.75" customHeight="1">
      <c r="A34" s="11"/>
      <c r="B34" s="110" t="s">
        <v>82</v>
      </c>
      <c r="C34" s="341">
        <v>5.7</v>
      </c>
      <c r="D34" s="341">
        <v>5.7</v>
      </c>
      <c r="E34" s="266">
        <v>9.977</v>
      </c>
      <c r="F34" s="266">
        <v>10.01</v>
      </c>
      <c r="G34" s="266">
        <v>21.297</v>
      </c>
      <c r="H34" s="266">
        <v>19.846</v>
      </c>
      <c r="I34" s="266">
        <v>13.608</v>
      </c>
      <c r="J34" s="266">
        <v>15.365</v>
      </c>
      <c r="K34" s="266">
        <v>14.995</v>
      </c>
      <c r="L34" s="266">
        <v>31.852</v>
      </c>
      <c r="M34" s="266">
        <v>31.148</v>
      </c>
      <c r="N34" s="545">
        <v>21.443</v>
      </c>
      <c r="O34" s="110" t="s">
        <v>82</v>
      </c>
      <c r="P34" s="700">
        <f t="shared" si="2"/>
        <v>-31.157698728650306</v>
      </c>
    </row>
    <row r="35" spans="1:16" ht="12.75" customHeight="1">
      <c r="A35" s="11"/>
      <c r="B35" s="14" t="s">
        <v>70</v>
      </c>
      <c r="C35" s="344">
        <v>6.292</v>
      </c>
      <c r="D35" s="344">
        <v>6.292</v>
      </c>
      <c r="E35" s="139">
        <v>48.164</v>
      </c>
      <c r="F35" s="139">
        <v>45.374</v>
      </c>
      <c r="G35" s="139">
        <v>36.271</v>
      </c>
      <c r="H35" s="139">
        <v>36.345</v>
      </c>
      <c r="I35" s="139">
        <v>27.547</v>
      </c>
      <c r="J35" s="139">
        <v>24.745</v>
      </c>
      <c r="K35" s="139">
        <v>23.55</v>
      </c>
      <c r="L35" s="139">
        <v>24.562</v>
      </c>
      <c r="M35" s="139">
        <v>24.953</v>
      </c>
      <c r="N35" s="547">
        <v>16.444</v>
      </c>
      <c r="O35" s="14" t="s">
        <v>70</v>
      </c>
      <c r="P35" s="704">
        <f t="shared" si="2"/>
        <v>-34.100108203422444</v>
      </c>
    </row>
    <row r="36" spans="1:16" ht="12.75" customHeight="1">
      <c r="A36" s="11"/>
      <c r="B36" s="113" t="s">
        <v>86</v>
      </c>
      <c r="C36" s="539"/>
      <c r="D36" s="539"/>
      <c r="E36" s="548"/>
      <c r="F36" s="548"/>
      <c r="G36" s="548"/>
      <c r="H36" s="548"/>
      <c r="I36" s="548"/>
      <c r="J36" s="548">
        <v>13.233</v>
      </c>
      <c r="K36" s="548">
        <v>15.228</v>
      </c>
      <c r="L36" s="548">
        <v>18.159</v>
      </c>
      <c r="M36" s="548">
        <v>19.785</v>
      </c>
      <c r="N36" s="549">
        <v>10.57</v>
      </c>
      <c r="O36" s="113" t="s">
        <v>86</v>
      </c>
      <c r="P36" s="816">
        <f t="shared" si="2"/>
        <v>-46.57568865301997</v>
      </c>
    </row>
    <row r="37" spans="1:16" ht="12.75" customHeight="1">
      <c r="A37" s="11"/>
      <c r="B37" s="13" t="s">
        <v>1</v>
      </c>
      <c r="C37" s="342"/>
      <c r="D37" s="342"/>
      <c r="E37" s="76"/>
      <c r="F37" s="76"/>
      <c r="G37" s="76"/>
      <c r="H37" s="76"/>
      <c r="I37" s="76"/>
      <c r="J37" s="76"/>
      <c r="K37" s="76"/>
      <c r="L37" s="76"/>
      <c r="M37" s="76"/>
      <c r="N37" s="546"/>
      <c r="O37" s="13" t="s">
        <v>1</v>
      </c>
      <c r="P37" s="678"/>
    </row>
    <row r="38" spans="1:16" ht="12.75" customHeight="1">
      <c r="A38" s="11"/>
      <c r="B38" s="112" t="s">
        <v>66</v>
      </c>
      <c r="C38" s="540"/>
      <c r="D38" s="540"/>
      <c r="E38" s="315"/>
      <c r="F38" s="315"/>
      <c r="G38" s="315"/>
      <c r="H38" s="315"/>
      <c r="I38" s="315"/>
      <c r="J38" s="315"/>
      <c r="K38" s="315"/>
      <c r="L38" s="315"/>
      <c r="M38" s="315"/>
      <c r="N38" s="550">
        <v>2.441</v>
      </c>
      <c r="O38" s="112" t="s">
        <v>66</v>
      </c>
      <c r="P38" s="817"/>
    </row>
    <row r="39" spans="1:16" ht="12.75" customHeight="1">
      <c r="A39" s="11"/>
      <c r="B39" s="12" t="s">
        <v>52</v>
      </c>
      <c r="C39" s="340"/>
      <c r="D39" s="340"/>
      <c r="E39" s="138"/>
      <c r="F39" s="138"/>
      <c r="G39" s="138"/>
      <c r="H39" s="138"/>
      <c r="I39" s="138"/>
      <c r="J39" s="138"/>
      <c r="K39" s="138"/>
      <c r="L39" s="138"/>
      <c r="M39" s="138"/>
      <c r="N39" s="544"/>
      <c r="O39" s="12" t="s">
        <v>52</v>
      </c>
      <c r="P39" s="699"/>
    </row>
    <row r="40" spans="1:16" ht="12.75" customHeight="1">
      <c r="A40" s="11"/>
      <c r="B40" s="110" t="s">
        <v>83</v>
      </c>
      <c r="C40" s="341"/>
      <c r="D40" s="341"/>
      <c r="E40" s="266"/>
      <c r="F40" s="266"/>
      <c r="G40" s="266">
        <v>13.64</v>
      </c>
      <c r="H40" s="266">
        <v>15.009</v>
      </c>
      <c r="I40" s="266">
        <v>16.37</v>
      </c>
      <c r="J40" s="266">
        <v>11.857</v>
      </c>
      <c r="K40" s="266">
        <v>11.02</v>
      </c>
      <c r="L40" s="266">
        <v>10.534</v>
      </c>
      <c r="M40" s="266">
        <v>11.438</v>
      </c>
      <c r="N40" s="545">
        <v>9.033</v>
      </c>
      <c r="O40" s="110" t="s">
        <v>83</v>
      </c>
      <c r="P40" s="700">
        <f>100*(N40/M40-1)</f>
        <v>-21.026403217345703</v>
      </c>
    </row>
    <row r="41" spans="1:16" ht="12.75" customHeight="1">
      <c r="A41" s="11"/>
      <c r="B41" s="14" t="s">
        <v>53</v>
      </c>
      <c r="C41" s="344"/>
      <c r="D41" s="344"/>
      <c r="E41" s="738"/>
      <c r="F41" s="738"/>
      <c r="G41" s="738">
        <v>18.425</v>
      </c>
      <c r="H41" s="738">
        <v>6.642</v>
      </c>
      <c r="I41" s="738">
        <v>3.434</v>
      </c>
      <c r="J41" s="738">
        <v>3.086</v>
      </c>
      <c r="K41" s="738">
        <v>3.014</v>
      </c>
      <c r="L41" s="738">
        <v>2.738</v>
      </c>
      <c r="M41" s="738">
        <v>3.127</v>
      </c>
      <c r="N41" s="739">
        <v>9.352</v>
      </c>
      <c r="O41" s="14" t="s">
        <v>53</v>
      </c>
      <c r="P41" s="704">
        <f>100*(N41/M41-1)</f>
        <v>199.07259354013433</v>
      </c>
    </row>
    <row r="42" spans="2:16" ht="24" customHeight="1">
      <c r="B42" s="872" t="s">
        <v>180</v>
      </c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26"/>
      <c r="O42" s="26"/>
      <c r="P42" s="26"/>
    </row>
    <row r="43" spans="2:13" ht="14.25" customHeight="1">
      <c r="B43" s="885" t="s">
        <v>148</v>
      </c>
      <c r="C43" s="885"/>
      <c r="D43" s="885"/>
      <c r="E43" s="885"/>
      <c r="F43" s="885"/>
      <c r="G43" s="885"/>
      <c r="H43" s="885"/>
      <c r="I43" s="869"/>
      <c r="J43" s="869"/>
      <c r="K43" s="869"/>
      <c r="L43" s="869"/>
      <c r="M43" s="869"/>
    </row>
  </sheetData>
  <mergeCells count="4">
    <mergeCell ref="B42:M42"/>
    <mergeCell ref="B2:M2"/>
    <mergeCell ref="B3:M3"/>
    <mergeCell ref="B43:M43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3"/>
  <dimension ref="A1:L46"/>
  <sheetViews>
    <sheetView workbookViewId="0" topLeftCell="A1">
      <selection activeCell="A1" sqref="A1:IV16384"/>
    </sheetView>
  </sheetViews>
  <sheetFormatPr defaultColWidth="9.140625" defaultRowHeight="12.75"/>
  <cols>
    <col min="1" max="1" width="3.7109375" style="29" customWidth="1"/>
    <col min="2" max="2" width="4.00390625" style="4" customWidth="1"/>
    <col min="3" max="10" width="8.7109375" style="4" customWidth="1"/>
    <col min="11" max="11" width="4.00390625" style="4" customWidth="1"/>
    <col min="12" max="16384" width="9.140625" style="4" customWidth="1"/>
  </cols>
  <sheetData>
    <row r="1" spans="1:11" ht="14.25" customHeight="1">
      <c r="A1" s="44"/>
      <c r="B1" s="46"/>
      <c r="C1" s="46"/>
      <c r="D1" s="46"/>
      <c r="E1" s="46"/>
      <c r="F1" s="46"/>
      <c r="G1" s="46"/>
      <c r="H1" s="46"/>
      <c r="I1" s="46"/>
      <c r="K1" s="19" t="s">
        <v>218</v>
      </c>
    </row>
    <row r="2" spans="1:11" s="125" customFormat="1" ht="30" customHeight="1">
      <c r="A2" s="288"/>
      <c r="B2" s="866" t="s">
        <v>22</v>
      </c>
      <c r="C2" s="866"/>
      <c r="D2" s="866"/>
      <c r="E2" s="866"/>
      <c r="F2" s="866"/>
      <c r="G2" s="866"/>
      <c r="H2" s="866"/>
      <c r="I2" s="866"/>
      <c r="J2" s="866"/>
      <c r="K2" s="866"/>
    </row>
    <row r="3" spans="1:11" s="17" customFormat="1" ht="15" customHeight="1">
      <c r="A3" s="51"/>
      <c r="B3" s="839" t="s">
        <v>23</v>
      </c>
      <c r="C3" s="839"/>
      <c r="D3" s="839"/>
      <c r="E3" s="839"/>
      <c r="F3" s="839"/>
      <c r="G3" s="839"/>
      <c r="H3" s="839"/>
      <c r="I3" s="839"/>
      <c r="J3" s="839"/>
      <c r="K3" s="839"/>
    </row>
    <row r="4" spans="1:11" s="17" customFormat="1" ht="12.75" customHeight="1">
      <c r="A4" s="51"/>
      <c r="B4" s="840" t="s">
        <v>235</v>
      </c>
      <c r="C4" s="840"/>
      <c r="D4" s="840"/>
      <c r="E4" s="840"/>
      <c r="F4" s="840"/>
      <c r="G4" s="840"/>
      <c r="H4" s="840"/>
      <c r="I4" s="840"/>
      <c r="J4" s="840"/>
      <c r="K4" s="840"/>
    </row>
    <row r="5" spans="3:11" ht="30" customHeight="1">
      <c r="C5" s="842" t="s">
        <v>24</v>
      </c>
      <c r="D5" s="843"/>
      <c r="E5" s="842" t="s">
        <v>25</v>
      </c>
      <c r="F5" s="843"/>
      <c r="G5" s="842" t="s">
        <v>95</v>
      </c>
      <c r="H5" s="843"/>
      <c r="I5" s="842" t="s">
        <v>236</v>
      </c>
      <c r="J5" s="843"/>
      <c r="K5" s="140"/>
    </row>
    <row r="6" spans="1:11" ht="15" customHeight="1">
      <c r="A6" s="4"/>
      <c r="B6" s="5"/>
      <c r="C6" s="142" t="s">
        <v>26</v>
      </c>
      <c r="D6" s="143" t="s">
        <v>27</v>
      </c>
      <c r="E6" s="142" t="s">
        <v>26</v>
      </c>
      <c r="F6" s="143" t="s">
        <v>27</v>
      </c>
      <c r="G6" s="142" t="s">
        <v>26</v>
      </c>
      <c r="H6" s="143" t="s">
        <v>27</v>
      </c>
      <c r="I6" s="142" t="s">
        <v>26</v>
      </c>
      <c r="J6" s="144" t="s">
        <v>27</v>
      </c>
      <c r="K6" s="141"/>
    </row>
    <row r="7" spans="1:12" ht="12.75" customHeight="1">
      <c r="A7" s="4"/>
      <c r="B7" s="108" t="s">
        <v>40</v>
      </c>
      <c r="C7" s="179">
        <f aca="true" t="shared" si="0" ref="C7:H7">SUM(C10:C36)</f>
        <v>11621</v>
      </c>
      <c r="D7" s="109">
        <f t="shared" si="0"/>
        <v>417.894</v>
      </c>
      <c r="E7" s="179">
        <f t="shared" si="0"/>
        <v>3538</v>
      </c>
      <c r="F7" s="562">
        <f t="shared" si="0"/>
        <v>127.93700000000003</v>
      </c>
      <c r="G7" s="179">
        <f t="shared" si="0"/>
        <v>8083</v>
      </c>
      <c r="H7" s="562">
        <f t="shared" si="0"/>
        <v>289.957</v>
      </c>
      <c r="I7" s="201"/>
      <c r="J7" s="178"/>
      <c r="K7" s="108" t="s">
        <v>40</v>
      </c>
      <c r="L7" s="73"/>
    </row>
    <row r="8" spans="1:12" ht="12.75" customHeight="1">
      <c r="A8" s="11"/>
      <c r="B8" s="105" t="s">
        <v>71</v>
      </c>
      <c r="C8" s="179">
        <f aca="true" t="shared" si="1" ref="C8:H8">SUM(C10,C13:C14,C16:C20,C24,C27:C28,C30,C34:C36)</f>
        <v>10718</v>
      </c>
      <c r="D8" s="109">
        <f t="shared" si="1"/>
        <v>402.885</v>
      </c>
      <c r="E8" s="179">
        <f t="shared" si="1"/>
        <v>3303</v>
      </c>
      <c r="F8" s="562">
        <f t="shared" si="1"/>
        <v>123.87400000000001</v>
      </c>
      <c r="G8" s="179">
        <f t="shared" si="1"/>
        <v>7415</v>
      </c>
      <c r="H8" s="562">
        <f t="shared" si="1"/>
        <v>279.011</v>
      </c>
      <c r="I8" s="290"/>
      <c r="J8" s="109"/>
      <c r="K8" s="105" t="s">
        <v>71</v>
      </c>
      <c r="L8" s="73"/>
    </row>
    <row r="9" spans="1:12" ht="12.75" customHeight="1">
      <c r="A9" s="11"/>
      <c r="B9" s="112" t="s">
        <v>131</v>
      </c>
      <c r="C9" s="291">
        <f aca="true" t="shared" si="2" ref="C9:H9">SUM(C11,C12,C15,C21,C22,C23,C25,C26,C29,C31,C32,C33)</f>
        <v>903</v>
      </c>
      <c r="D9" s="563">
        <f t="shared" si="2"/>
        <v>15.009</v>
      </c>
      <c r="E9" s="291">
        <f t="shared" si="2"/>
        <v>235</v>
      </c>
      <c r="F9" s="563">
        <f t="shared" si="2"/>
        <v>4.063000000000001</v>
      </c>
      <c r="G9" s="291">
        <f t="shared" si="2"/>
        <v>668</v>
      </c>
      <c r="H9" s="563">
        <f t="shared" si="2"/>
        <v>10.946000000000002</v>
      </c>
      <c r="I9" s="292"/>
      <c r="J9" s="292"/>
      <c r="K9" s="112" t="s">
        <v>131</v>
      </c>
      <c r="L9" s="73"/>
    </row>
    <row r="10" spans="1:11" ht="12.75" customHeight="1">
      <c r="A10" s="11"/>
      <c r="B10" s="53" t="s">
        <v>72</v>
      </c>
      <c r="C10" s="180">
        <f aca="true" t="shared" si="3" ref="C10:D23">E10+G10</f>
        <v>177</v>
      </c>
      <c r="D10" s="740">
        <f t="shared" si="3"/>
        <v>12.55</v>
      </c>
      <c r="E10" s="180">
        <v>68</v>
      </c>
      <c r="F10" s="564">
        <v>5.89</v>
      </c>
      <c r="G10" s="180">
        <v>109</v>
      </c>
      <c r="H10" s="564">
        <v>6.66</v>
      </c>
      <c r="I10" s="188">
        <f>G10/C10</f>
        <v>0.615819209039548</v>
      </c>
      <c r="J10" s="189">
        <f>H10/D10</f>
        <v>0.5306772908366534</v>
      </c>
      <c r="K10" s="53" t="s">
        <v>72</v>
      </c>
    </row>
    <row r="11" spans="1:11" ht="12.75" customHeight="1">
      <c r="A11" s="11"/>
      <c r="B11" s="105" t="s">
        <v>54</v>
      </c>
      <c r="C11" s="181">
        <f t="shared" si="3"/>
        <v>33</v>
      </c>
      <c r="D11" s="741">
        <f t="shared" si="3"/>
        <v>0.383</v>
      </c>
      <c r="E11" s="181">
        <v>2</v>
      </c>
      <c r="F11" s="565">
        <v>0.028</v>
      </c>
      <c r="G11" s="181">
        <v>31</v>
      </c>
      <c r="H11" s="565">
        <v>0.355</v>
      </c>
      <c r="I11" s="187">
        <f aca="true" t="shared" si="4" ref="I11:J23">G11/C11</f>
        <v>0.9393939393939394</v>
      </c>
      <c r="J11" s="186">
        <f t="shared" si="4"/>
        <v>0.9268929503916449</v>
      </c>
      <c r="K11" s="105" t="s">
        <v>54</v>
      </c>
    </row>
    <row r="12" spans="1:11" ht="12.75" customHeight="1">
      <c r="A12" s="11"/>
      <c r="B12" s="54" t="s">
        <v>56</v>
      </c>
      <c r="C12" s="182">
        <f t="shared" si="3"/>
        <v>1</v>
      </c>
      <c r="D12" s="742">
        <f t="shared" si="3"/>
        <v>0.004</v>
      </c>
      <c r="E12" s="182">
        <v>0</v>
      </c>
      <c r="F12" s="566"/>
      <c r="G12" s="182">
        <v>1</v>
      </c>
      <c r="H12" s="566">
        <v>0.004</v>
      </c>
      <c r="I12" s="190">
        <f t="shared" si="4"/>
        <v>1</v>
      </c>
      <c r="J12" s="191">
        <f t="shared" si="4"/>
        <v>1</v>
      </c>
      <c r="K12" s="54" t="s">
        <v>56</v>
      </c>
    </row>
    <row r="13" spans="1:11" ht="12.75" customHeight="1">
      <c r="A13" s="11"/>
      <c r="B13" s="105" t="s">
        <v>67</v>
      </c>
      <c r="C13" s="181">
        <f t="shared" si="3"/>
        <v>803</v>
      </c>
      <c r="D13" s="741">
        <f t="shared" si="3"/>
        <v>30.305</v>
      </c>
      <c r="E13" s="181">
        <v>289</v>
      </c>
      <c r="F13" s="565">
        <v>11.401</v>
      </c>
      <c r="G13" s="181">
        <v>514</v>
      </c>
      <c r="H13" s="565">
        <v>18.904</v>
      </c>
      <c r="I13" s="187">
        <f t="shared" si="4"/>
        <v>0.6400996264009963</v>
      </c>
      <c r="J13" s="186">
        <f t="shared" si="4"/>
        <v>0.6237914535555189</v>
      </c>
      <c r="K13" s="105" t="s">
        <v>67</v>
      </c>
    </row>
    <row r="14" spans="1:11" ht="12.75" customHeight="1">
      <c r="A14" s="11"/>
      <c r="B14" s="54" t="s">
        <v>73</v>
      </c>
      <c r="C14" s="182">
        <f t="shared" si="3"/>
        <v>3476</v>
      </c>
      <c r="D14" s="742">
        <f t="shared" si="3"/>
        <v>104.876</v>
      </c>
      <c r="E14" s="182">
        <v>442</v>
      </c>
      <c r="F14" s="566">
        <v>17.62</v>
      </c>
      <c r="G14" s="182">
        <v>3034</v>
      </c>
      <c r="H14" s="566">
        <v>87.256</v>
      </c>
      <c r="I14" s="190">
        <f t="shared" si="4"/>
        <v>0.8728423475258918</v>
      </c>
      <c r="J14" s="191">
        <f t="shared" si="4"/>
        <v>0.8319920668217704</v>
      </c>
      <c r="K14" s="54" t="s">
        <v>73</v>
      </c>
    </row>
    <row r="15" spans="1:11" ht="12.75" customHeight="1">
      <c r="A15" s="11"/>
      <c r="B15" s="105" t="s">
        <v>57</v>
      </c>
      <c r="C15" s="181">
        <f t="shared" si="3"/>
        <v>108</v>
      </c>
      <c r="D15" s="741">
        <f t="shared" si="3"/>
        <v>0.382</v>
      </c>
      <c r="E15" s="181">
        <v>21</v>
      </c>
      <c r="F15" s="565">
        <v>0.068</v>
      </c>
      <c r="G15" s="181">
        <v>87</v>
      </c>
      <c r="H15" s="565">
        <v>0.314</v>
      </c>
      <c r="I15" s="187">
        <f t="shared" si="4"/>
        <v>0.8055555555555556</v>
      </c>
      <c r="J15" s="186">
        <f t="shared" si="4"/>
        <v>0.8219895287958116</v>
      </c>
      <c r="K15" s="105" t="s">
        <v>57</v>
      </c>
    </row>
    <row r="16" spans="1:11" ht="12.75" customHeight="1">
      <c r="A16" s="11"/>
      <c r="B16" s="54" t="s">
        <v>76</v>
      </c>
      <c r="C16" s="182">
        <f t="shared" si="3"/>
        <v>36</v>
      </c>
      <c r="D16" s="742">
        <f t="shared" si="3"/>
        <v>0.15000000000000002</v>
      </c>
      <c r="E16" s="182">
        <v>19</v>
      </c>
      <c r="F16" s="566">
        <v>0.085</v>
      </c>
      <c r="G16" s="182">
        <v>17</v>
      </c>
      <c r="H16" s="566">
        <v>0.065</v>
      </c>
      <c r="I16" s="190">
        <f t="shared" si="4"/>
        <v>0.4722222222222222</v>
      </c>
      <c r="J16" s="191">
        <f t="shared" si="4"/>
        <v>0.4333333333333333</v>
      </c>
      <c r="K16" s="54" t="s">
        <v>76</v>
      </c>
    </row>
    <row r="17" spans="1:11" ht="12.75" customHeight="1">
      <c r="A17" s="11"/>
      <c r="B17" s="105" t="s">
        <v>68</v>
      </c>
      <c r="C17" s="181">
        <f t="shared" si="3"/>
        <v>3094</v>
      </c>
      <c r="D17" s="741">
        <f t="shared" si="3"/>
        <v>175.484</v>
      </c>
      <c r="E17" s="181">
        <v>733</v>
      </c>
      <c r="F17" s="565">
        <v>54.361</v>
      </c>
      <c r="G17" s="181">
        <v>2361</v>
      </c>
      <c r="H17" s="565">
        <v>121.123</v>
      </c>
      <c r="I17" s="187">
        <f t="shared" si="4"/>
        <v>0.7630898513251454</v>
      </c>
      <c r="J17" s="186">
        <f t="shared" si="4"/>
        <v>0.6902224704246541</v>
      </c>
      <c r="K17" s="105" t="s">
        <v>68</v>
      </c>
    </row>
    <row r="18" spans="1:11" ht="12.75" customHeight="1">
      <c r="A18" s="11"/>
      <c r="B18" s="54" t="s">
        <v>74</v>
      </c>
      <c r="C18" s="182">
        <f t="shared" si="3"/>
        <v>259</v>
      </c>
      <c r="D18" s="742">
        <f t="shared" si="3"/>
        <v>4.582000000000001</v>
      </c>
      <c r="E18" s="182">
        <v>128</v>
      </c>
      <c r="F18" s="566">
        <v>1.499</v>
      </c>
      <c r="G18" s="182">
        <v>131</v>
      </c>
      <c r="H18" s="566">
        <v>3.083</v>
      </c>
      <c r="I18" s="190">
        <f t="shared" si="4"/>
        <v>0.5057915057915058</v>
      </c>
      <c r="J18" s="191">
        <f t="shared" si="4"/>
        <v>0.6728502837189</v>
      </c>
      <c r="K18" s="54" t="s">
        <v>74</v>
      </c>
    </row>
    <row r="19" spans="1:11" ht="12.75" customHeight="1">
      <c r="A19" s="11"/>
      <c r="B19" s="105" t="s">
        <v>75</v>
      </c>
      <c r="C19" s="181">
        <f t="shared" si="3"/>
        <v>285</v>
      </c>
      <c r="D19" s="741">
        <f t="shared" si="3"/>
        <v>7.652</v>
      </c>
      <c r="E19" s="181">
        <v>121</v>
      </c>
      <c r="F19" s="565">
        <v>2.87</v>
      </c>
      <c r="G19" s="181">
        <v>164</v>
      </c>
      <c r="H19" s="565">
        <v>4.782</v>
      </c>
      <c r="I19" s="187">
        <f t="shared" si="4"/>
        <v>0.5754385964912281</v>
      </c>
      <c r="J19" s="186">
        <f t="shared" si="4"/>
        <v>0.6249346576058546</v>
      </c>
      <c r="K19" s="105" t="s">
        <v>75</v>
      </c>
    </row>
    <row r="20" spans="1:11" ht="12.75" customHeight="1">
      <c r="A20" s="11"/>
      <c r="B20" s="54" t="s">
        <v>77</v>
      </c>
      <c r="C20" s="182">
        <f t="shared" si="3"/>
        <v>745</v>
      </c>
      <c r="D20" s="742">
        <f t="shared" si="3"/>
        <v>18.942</v>
      </c>
      <c r="E20" s="182">
        <v>527</v>
      </c>
      <c r="F20" s="566">
        <v>12.757</v>
      </c>
      <c r="G20" s="182">
        <v>218</v>
      </c>
      <c r="H20" s="566">
        <v>6.185</v>
      </c>
      <c r="I20" s="190">
        <f t="shared" si="4"/>
        <v>0.29261744966442954</v>
      </c>
      <c r="J20" s="191">
        <f t="shared" si="4"/>
        <v>0.32652307042550943</v>
      </c>
      <c r="K20" s="54" t="s">
        <v>77</v>
      </c>
    </row>
    <row r="21" spans="1:11" ht="12.75" customHeight="1">
      <c r="A21" s="11"/>
      <c r="B21" s="105" t="s">
        <v>55</v>
      </c>
      <c r="C21" s="181">
        <f t="shared" si="3"/>
        <v>347</v>
      </c>
      <c r="D21" s="741">
        <f t="shared" si="3"/>
        <v>7.886000000000001</v>
      </c>
      <c r="E21" s="181">
        <v>123</v>
      </c>
      <c r="F21" s="565">
        <v>3.305</v>
      </c>
      <c r="G21" s="181">
        <v>224</v>
      </c>
      <c r="H21" s="565">
        <v>4.581</v>
      </c>
      <c r="I21" s="187">
        <f t="shared" si="4"/>
        <v>0.6455331412103746</v>
      </c>
      <c r="J21" s="186">
        <f t="shared" si="4"/>
        <v>0.5809028658381943</v>
      </c>
      <c r="K21" s="105" t="s">
        <v>55</v>
      </c>
    </row>
    <row r="22" spans="1:11" ht="12.75" customHeight="1">
      <c r="A22" s="11"/>
      <c r="B22" s="54" t="s">
        <v>59</v>
      </c>
      <c r="C22" s="182">
        <f t="shared" si="3"/>
        <v>127</v>
      </c>
      <c r="D22" s="742">
        <f t="shared" si="3"/>
        <v>1.812</v>
      </c>
      <c r="E22" s="182">
        <v>12</v>
      </c>
      <c r="F22" s="566">
        <v>0.169</v>
      </c>
      <c r="G22" s="182">
        <v>115</v>
      </c>
      <c r="H22" s="566">
        <v>1.643</v>
      </c>
      <c r="I22" s="190">
        <f t="shared" si="4"/>
        <v>0.905511811023622</v>
      </c>
      <c r="J22" s="191">
        <f t="shared" si="4"/>
        <v>0.9067328918322296</v>
      </c>
      <c r="K22" s="54" t="s">
        <v>59</v>
      </c>
    </row>
    <row r="23" spans="1:11" ht="12.75" customHeight="1">
      <c r="A23" s="11"/>
      <c r="B23" s="105" t="s">
        <v>60</v>
      </c>
      <c r="C23" s="181">
        <f t="shared" si="3"/>
        <v>64</v>
      </c>
      <c r="D23" s="741">
        <f t="shared" si="3"/>
        <v>0.389</v>
      </c>
      <c r="E23" s="181">
        <v>37</v>
      </c>
      <c r="F23" s="565">
        <v>0.28</v>
      </c>
      <c r="G23" s="181">
        <v>27</v>
      </c>
      <c r="H23" s="565">
        <v>0.109</v>
      </c>
      <c r="I23" s="187">
        <f t="shared" si="4"/>
        <v>0.421875</v>
      </c>
      <c r="J23" s="186">
        <f t="shared" si="4"/>
        <v>0.2802056555269923</v>
      </c>
      <c r="K23" s="105" t="s">
        <v>60</v>
      </c>
    </row>
    <row r="24" spans="1:11" ht="12.75" customHeight="1">
      <c r="A24" s="11"/>
      <c r="B24" s="54" t="s">
        <v>78</v>
      </c>
      <c r="C24" s="182"/>
      <c r="D24" s="742"/>
      <c r="E24" s="182"/>
      <c r="F24" s="566"/>
      <c r="G24" s="182"/>
      <c r="H24" s="566"/>
      <c r="I24" s="190"/>
      <c r="J24" s="191"/>
      <c r="K24" s="54" t="s">
        <v>78</v>
      </c>
    </row>
    <row r="25" spans="1:11" ht="12.75" customHeight="1">
      <c r="A25" s="11"/>
      <c r="B25" s="105" t="s">
        <v>58</v>
      </c>
      <c r="C25" s="181"/>
      <c r="D25" s="741"/>
      <c r="E25" s="181"/>
      <c r="F25" s="565"/>
      <c r="G25" s="181"/>
      <c r="H25" s="565"/>
      <c r="I25" s="187"/>
      <c r="J25" s="186"/>
      <c r="K25" s="105" t="s">
        <v>58</v>
      </c>
    </row>
    <row r="26" spans="1:11" ht="12.75" customHeight="1">
      <c r="A26" s="11"/>
      <c r="B26" s="54" t="s">
        <v>61</v>
      </c>
      <c r="C26" s="182">
        <f aca="true" t="shared" si="5" ref="C26:D32">E26+G26</f>
        <v>17</v>
      </c>
      <c r="D26" s="742">
        <f t="shared" si="5"/>
        <v>0.059</v>
      </c>
      <c r="E26" s="182">
        <v>15</v>
      </c>
      <c r="F26" s="566">
        <v>0.053</v>
      </c>
      <c r="G26" s="182">
        <v>2</v>
      </c>
      <c r="H26" s="566">
        <v>0.006</v>
      </c>
      <c r="I26" s="190">
        <f aca="true" t="shared" si="6" ref="I26:J32">G26/C26</f>
        <v>0.11764705882352941</v>
      </c>
      <c r="J26" s="191">
        <f t="shared" si="6"/>
        <v>0.1016949152542373</v>
      </c>
      <c r="K26" s="54" t="s">
        <v>61</v>
      </c>
    </row>
    <row r="27" spans="1:11" ht="12.75" customHeight="1">
      <c r="A27" s="11"/>
      <c r="B27" s="106" t="s">
        <v>69</v>
      </c>
      <c r="C27" s="181">
        <f t="shared" si="5"/>
        <v>578</v>
      </c>
      <c r="D27" s="741">
        <f t="shared" si="5"/>
        <v>5.973000000000001</v>
      </c>
      <c r="E27" s="181">
        <v>426</v>
      </c>
      <c r="F27" s="565">
        <v>3.805</v>
      </c>
      <c r="G27" s="181">
        <v>152</v>
      </c>
      <c r="H27" s="565">
        <v>2.168</v>
      </c>
      <c r="I27" s="187">
        <f t="shared" si="6"/>
        <v>0.2629757785467128</v>
      </c>
      <c r="J27" s="186">
        <f t="shared" si="6"/>
        <v>0.36296668340867233</v>
      </c>
      <c r="K27" s="106" t="s">
        <v>69</v>
      </c>
    </row>
    <row r="28" spans="1:11" ht="12.75" customHeight="1">
      <c r="A28" s="11"/>
      <c r="B28" s="54" t="s">
        <v>79</v>
      </c>
      <c r="C28" s="182">
        <f t="shared" si="5"/>
        <v>4</v>
      </c>
      <c r="D28" s="742">
        <f t="shared" si="5"/>
        <v>0.025</v>
      </c>
      <c r="E28" s="182">
        <v>2</v>
      </c>
      <c r="F28" s="566">
        <v>0.012</v>
      </c>
      <c r="G28" s="182">
        <v>2</v>
      </c>
      <c r="H28" s="566">
        <v>0.013</v>
      </c>
      <c r="I28" s="190">
        <f t="shared" si="6"/>
        <v>0.5</v>
      </c>
      <c r="J28" s="191">
        <f t="shared" si="6"/>
        <v>0.5199999999999999</v>
      </c>
      <c r="K28" s="54" t="s">
        <v>79</v>
      </c>
    </row>
    <row r="29" spans="1:11" ht="12.75" customHeight="1">
      <c r="A29" s="11"/>
      <c r="B29" s="105" t="s">
        <v>62</v>
      </c>
      <c r="C29" s="181">
        <f t="shared" si="5"/>
        <v>115</v>
      </c>
      <c r="D29" s="741">
        <f t="shared" si="5"/>
        <v>2.438</v>
      </c>
      <c r="E29" s="181">
        <v>13</v>
      </c>
      <c r="F29" s="565">
        <v>0.04</v>
      </c>
      <c r="G29" s="181">
        <v>102</v>
      </c>
      <c r="H29" s="565">
        <v>2.398</v>
      </c>
      <c r="I29" s="187">
        <f t="shared" si="6"/>
        <v>0.8869565217391304</v>
      </c>
      <c r="J29" s="186">
        <f t="shared" si="6"/>
        <v>0.9835931091058244</v>
      </c>
      <c r="K29" s="105" t="s">
        <v>62</v>
      </c>
    </row>
    <row r="30" spans="1:11" ht="12.75" customHeight="1">
      <c r="A30" s="11"/>
      <c r="B30" s="54" t="s">
        <v>80</v>
      </c>
      <c r="C30" s="182">
        <f t="shared" si="5"/>
        <v>41</v>
      </c>
      <c r="D30" s="742">
        <f t="shared" si="5"/>
        <v>0.828</v>
      </c>
      <c r="E30" s="182">
        <v>25</v>
      </c>
      <c r="F30" s="566">
        <v>0.094</v>
      </c>
      <c r="G30" s="182">
        <v>16</v>
      </c>
      <c r="H30" s="566">
        <v>0.734</v>
      </c>
      <c r="I30" s="190">
        <f t="shared" si="6"/>
        <v>0.3902439024390244</v>
      </c>
      <c r="J30" s="191">
        <f t="shared" si="6"/>
        <v>0.8864734299516909</v>
      </c>
      <c r="K30" s="54" t="s">
        <v>80</v>
      </c>
    </row>
    <row r="31" spans="1:11" ht="12.75" customHeight="1">
      <c r="A31" s="11"/>
      <c r="B31" s="105" t="s">
        <v>63</v>
      </c>
      <c r="C31" s="181">
        <f t="shared" si="5"/>
        <v>57</v>
      </c>
      <c r="D31" s="741">
        <f t="shared" si="5"/>
        <v>0.789</v>
      </c>
      <c r="E31" s="181">
        <v>11</v>
      </c>
      <c r="F31" s="565">
        <v>0.114</v>
      </c>
      <c r="G31" s="181">
        <v>46</v>
      </c>
      <c r="H31" s="565">
        <v>0.675</v>
      </c>
      <c r="I31" s="187">
        <f t="shared" si="6"/>
        <v>0.8070175438596491</v>
      </c>
      <c r="J31" s="186">
        <f t="shared" si="6"/>
        <v>0.8555133079847909</v>
      </c>
      <c r="K31" s="105" t="s">
        <v>63</v>
      </c>
    </row>
    <row r="32" spans="1:11" ht="12.75" customHeight="1">
      <c r="A32" s="11"/>
      <c r="B32" s="54" t="s">
        <v>65</v>
      </c>
      <c r="C32" s="182">
        <f t="shared" si="5"/>
        <v>33</v>
      </c>
      <c r="D32" s="742">
        <f t="shared" si="5"/>
        <v>0.861</v>
      </c>
      <c r="E32" s="185">
        <v>0</v>
      </c>
      <c r="F32" s="566"/>
      <c r="G32" s="182">
        <v>33</v>
      </c>
      <c r="H32" s="566">
        <v>0.861</v>
      </c>
      <c r="I32" s="190">
        <f t="shared" si="6"/>
        <v>1</v>
      </c>
      <c r="J32" s="191">
        <f t="shared" si="6"/>
        <v>1</v>
      </c>
      <c r="K32" s="54" t="s">
        <v>65</v>
      </c>
    </row>
    <row r="33" spans="1:11" ht="12.75" customHeight="1">
      <c r="A33" s="11"/>
      <c r="B33" s="105" t="s">
        <v>64</v>
      </c>
      <c r="C33" s="181">
        <f>E33+G33</f>
        <v>1</v>
      </c>
      <c r="D33" s="741">
        <f>F33+H33</f>
        <v>0.006</v>
      </c>
      <c r="E33" s="181">
        <v>1</v>
      </c>
      <c r="F33" s="565">
        <v>0.006</v>
      </c>
      <c r="G33" s="181">
        <v>0</v>
      </c>
      <c r="H33" s="565"/>
      <c r="I33" s="187"/>
      <c r="J33" s="186"/>
      <c r="K33" s="105" t="s">
        <v>64</v>
      </c>
    </row>
    <row r="34" spans="1:11" ht="12.75" customHeight="1">
      <c r="A34" s="11"/>
      <c r="B34" s="54" t="s">
        <v>81</v>
      </c>
      <c r="C34" s="182">
        <f aca="true" t="shared" si="7" ref="C34:D37">E34+G34</f>
        <v>133</v>
      </c>
      <c r="D34" s="742">
        <f t="shared" si="7"/>
        <v>1.947</v>
      </c>
      <c r="E34" s="182">
        <v>85</v>
      </c>
      <c r="F34" s="566">
        <v>0.873</v>
      </c>
      <c r="G34" s="182">
        <v>48</v>
      </c>
      <c r="H34" s="566">
        <v>1.074</v>
      </c>
      <c r="I34" s="190">
        <f aca="true" t="shared" si="8" ref="I34:J37">G34/C34</f>
        <v>0.3609022556390977</v>
      </c>
      <c r="J34" s="191">
        <f t="shared" si="8"/>
        <v>0.551617873651772</v>
      </c>
      <c r="K34" s="54" t="s">
        <v>81</v>
      </c>
    </row>
    <row r="35" spans="1:11" ht="12.75" customHeight="1">
      <c r="A35" s="11"/>
      <c r="B35" s="105" t="s">
        <v>82</v>
      </c>
      <c r="C35" s="181">
        <f t="shared" si="7"/>
        <v>347</v>
      </c>
      <c r="D35" s="741">
        <f t="shared" si="7"/>
        <v>7.285</v>
      </c>
      <c r="E35" s="181">
        <v>136</v>
      </c>
      <c r="F35" s="565">
        <v>1.719</v>
      </c>
      <c r="G35" s="181">
        <v>211</v>
      </c>
      <c r="H35" s="565">
        <v>5.566</v>
      </c>
      <c r="I35" s="187">
        <f t="shared" si="8"/>
        <v>0.6080691642651297</v>
      </c>
      <c r="J35" s="186">
        <f t="shared" si="8"/>
        <v>0.7640356897735072</v>
      </c>
      <c r="K35" s="105" t="s">
        <v>82</v>
      </c>
    </row>
    <row r="36" spans="1:11" ht="12.75" customHeight="1">
      <c r="A36" s="11"/>
      <c r="B36" s="55" t="s">
        <v>70</v>
      </c>
      <c r="C36" s="183">
        <f t="shared" si="7"/>
        <v>740</v>
      </c>
      <c r="D36" s="743">
        <f t="shared" si="7"/>
        <v>32.286</v>
      </c>
      <c r="E36" s="183">
        <v>302</v>
      </c>
      <c r="F36" s="567">
        <v>10.888</v>
      </c>
      <c r="G36" s="183">
        <v>438</v>
      </c>
      <c r="H36" s="567">
        <v>21.398</v>
      </c>
      <c r="I36" s="192">
        <f t="shared" si="8"/>
        <v>0.5918918918918918</v>
      </c>
      <c r="J36" s="193">
        <f t="shared" si="8"/>
        <v>0.662764046335873</v>
      </c>
      <c r="K36" s="55" t="s">
        <v>70</v>
      </c>
    </row>
    <row r="37" spans="1:11" ht="12.75" customHeight="1">
      <c r="A37" s="11"/>
      <c r="B37" s="105" t="s">
        <v>86</v>
      </c>
      <c r="C37" s="181">
        <f t="shared" si="7"/>
        <v>112</v>
      </c>
      <c r="D37" s="741">
        <f t="shared" si="7"/>
        <v>3.295</v>
      </c>
      <c r="E37" s="181">
        <v>79</v>
      </c>
      <c r="F37" s="565">
        <v>2.34</v>
      </c>
      <c r="G37" s="181">
        <v>33</v>
      </c>
      <c r="H37" s="565">
        <v>0.955</v>
      </c>
      <c r="I37" s="187">
        <f t="shared" si="8"/>
        <v>0.29464285714285715</v>
      </c>
      <c r="J37" s="186">
        <f t="shared" si="8"/>
        <v>0.2898330804248862</v>
      </c>
      <c r="K37" s="105" t="s">
        <v>86</v>
      </c>
    </row>
    <row r="38" spans="1:11" ht="12.75" customHeight="1">
      <c r="A38" s="11"/>
      <c r="B38" s="54" t="s">
        <v>1</v>
      </c>
      <c r="C38" s="182"/>
      <c r="D38" s="742"/>
      <c r="E38" s="182"/>
      <c r="F38" s="566"/>
      <c r="G38" s="182"/>
      <c r="H38" s="566"/>
      <c r="I38" s="190"/>
      <c r="J38" s="191"/>
      <c r="K38" s="54" t="s">
        <v>1</v>
      </c>
    </row>
    <row r="39" spans="1:11" ht="12.75" customHeight="1">
      <c r="A39" s="11"/>
      <c r="B39" s="107" t="s">
        <v>66</v>
      </c>
      <c r="C39" s="184">
        <f aca="true" t="shared" si="9" ref="C39:D42">E39+G39</f>
        <v>1156</v>
      </c>
      <c r="D39" s="744">
        <f t="shared" si="9"/>
        <v>15.328</v>
      </c>
      <c r="E39" s="184">
        <v>520</v>
      </c>
      <c r="F39" s="568">
        <v>6.736</v>
      </c>
      <c r="G39" s="184">
        <v>636</v>
      </c>
      <c r="H39" s="568">
        <v>8.592</v>
      </c>
      <c r="I39" s="194">
        <f aca="true" t="shared" si="10" ref="I39:J42">G39/C39</f>
        <v>0.5501730103806228</v>
      </c>
      <c r="J39" s="195">
        <f t="shared" si="10"/>
        <v>0.5605427974947809</v>
      </c>
      <c r="K39" s="107" t="s">
        <v>66</v>
      </c>
    </row>
    <row r="40" spans="1:11" ht="12.75" customHeight="1">
      <c r="A40" s="11"/>
      <c r="B40" s="54" t="s">
        <v>52</v>
      </c>
      <c r="C40" s="182">
        <f t="shared" si="9"/>
        <v>34</v>
      </c>
      <c r="D40" s="742">
        <f t="shared" si="9"/>
        <v>0.419</v>
      </c>
      <c r="E40" s="182">
        <v>2</v>
      </c>
      <c r="F40" s="566">
        <v>0.001</v>
      </c>
      <c r="G40" s="182">
        <v>32</v>
      </c>
      <c r="H40" s="566">
        <v>0.418</v>
      </c>
      <c r="I40" s="190">
        <f t="shared" si="10"/>
        <v>0.9411764705882353</v>
      </c>
      <c r="J40" s="191">
        <f t="shared" si="10"/>
        <v>0.9976133651551312</v>
      </c>
      <c r="K40" s="54" t="s">
        <v>52</v>
      </c>
    </row>
    <row r="41" spans="1:11" ht="12.75" customHeight="1">
      <c r="A41" s="11"/>
      <c r="B41" s="105" t="s">
        <v>83</v>
      </c>
      <c r="C41" s="181">
        <f t="shared" si="9"/>
        <v>1468</v>
      </c>
      <c r="D41" s="741">
        <f t="shared" si="9"/>
        <v>43.649</v>
      </c>
      <c r="E41" s="181">
        <v>453</v>
      </c>
      <c r="F41" s="565">
        <v>9.206</v>
      </c>
      <c r="G41" s="181">
        <v>1015</v>
      </c>
      <c r="H41" s="565">
        <v>34.443</v>
      </c>
      <c r="I41" s="187">
        <f t="shared" si="10"/>
        <v>0.69141689373297</v>
      </c>
      <c r="J41" s="186">
        <f t="shared" si="10"/>
        <v>0.789090242617242</v>
      </c>
      <c r="K41" s="105" t="s">
        <v>83</v>
      </c>
    </row>
    <row r="42" spans="1:11" ht="12.75" customHeight="1">
      <c r="A42" s="11"/>
      <c r="B42" s="55" t="s">
        <v>53</v>
      </c>
      <c r="C42" s="183">
        <f t="shared" si="9"/>
        <v>137</v>
      </c>
      <c r="D42" s="743">
        <f t="shared" si="9"/>
        <v>3.515</v>
      </c>
      <c r="E42" s="183">
        <v>35</v>
      </c>
      <c r="F42" s="567">
        <v>1.012</v>
      </c>
      <c r="G42" s="183">
        <v>102</v>
      </c>
      <c r="H42" s="567">
        <v>2.503</v>
      </c>
      <c r="I42" s="192">
        <f t="shared" si="10"/>
        <v>0.7445255474452555</v>
      </c>
      <c r="J42" s="193">
        <f t="shared" si="10"/>
        <v>0.7120910384068279</v>
      </c>
      <c r="K42" s="55" t="s">
        <v>53</v>
      </c>
    </row>
    <row r="43" spans="2:11" ht="26.25" customHeight="1">
      <c r="B43" s="841" t="s">
        <v>144</v>
      </c>
      <c r="C43" s="841"/>
      <c r="D43" s="841"/>
      <c r="E43" s="841"/>
      <c r="F43" s="841"/>
      <c r="G43" s="841"/>
      <c r="H43" s="841"/>
      <c r="I43" s="841"/>
      <c r="J43" s="841"/>
      <c r="K43" s="96"/>
    </row>
    <row r="44" spans="2:11" ht="11.25" customHeight="1">
      <c r="B44" s="852" t="s">
        <v>0</v>
      </c>
      <c r="C44" s="852"/>
      <c r="D44" s="20"/>
      <c r="E44" s="20"/>
      <c r="F44" s="20"/>
      <c r="G44" s="20"/>
      <c r="H44" s="20"/>
      <c r="I44" s="20"/>
      <c r="J44" s="20"/>
      <c r="K44" s="20"/>
    </row>
    <row r="45" spans="2:11" ht="22.5" customHeight="1">
      <c r="B45" s="867" t="s">
        <v>149</v>
      </c>
      <c r="C45" s="867"/>
      <c r="D45" s="867"/>
      <c r="E45" s="867"/>
      <c r="F45" s="867"/>
      <c r="G45" s="867"/>
      <c r="H45" s="867"/>
      <c r="I45" s="867"/>
      <c r="J45" s="867"/>
      <c r="K45" s="867"/>
    </row>
    <row r="46" spans="2:11" ht="24.75" customHeight="1">
      <c r="B46" s="867" t="s">
        <v>237</v>
      </c>
      <c r="C46" s="867"/>
      <c r="D46" s="867"/>
      <c r="E46" s="867"/>
      <c r="F46" s="867"/>
      <c r="G46" s="867"/>
      <c r="H46" s="867"/>
      <c r="I46" s="867"/>
      <c r="J46" s="867"/>
      <c r="K46" s="867"/>
    </row>
  </sheetData>
  <mergeCells count="11">
    <mergeCell ref="I5:J5"/>
    <mergeCell ref="B44:C44"/>
    <mergeCell ref="B46:K46"/>
    <mergeCell ref="B2:K2"/>
    <mergeCell ref="B3:K3"/>
    <mergeCell ref="B4:K4"/>
    <mergeCell ref="B45:K45"/>
    <mergeCell ref="B43:J43"/>
    <mergeCell ref="C5:D5"/>
    <mergeCell ref="E5:F5"/>
    <mergeCell ref="G5:H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4"/>
  <dimension ref="A1:N26"/>
  <sheetViews>
    <sheetView workbookViewId="0" topLeftCell="A1">
      <selection activeCell="I1" sqref="I1:K16384"/>
    </sheetView>
  </sheetViews>
  <sheetFormatPr defaultColWidth="9.140625" defaultRowHeight="12.75"/>
  <cols>
    <col min="1" max="1" width="1.8515625" style="0" customWidth="1"/>
    <col min="2" max="2" width="17.140625" style="0" customWidth="1"/>
    <col min="3" max="4" width="9.7109375" style="0" customWidth="1"/>
    <col min="5" max="8" width="9.7109375" style="0" hidden="1" customWidth="1"/>
    <col min="9" max="11" width="9.7109375" style="0" customWidth="1"/>
    <col min="14" max="14" width="1.7109375" style="0" customWidth="1"/>
  </cols>
  <sheetData>
    <row r="1" spans="2:14" ht="14.25" customHeight="1">
      <c r="B1" s="898"/>
      <c r="C1" s="898"/>
      <c r="L1" s="19"/>
      <c r="M1" s="892" t="s">
        <v>219</v>
      </c>
      <c r="N1" s="892"/>
    </row>
    <row r="2" spans="2:13" s="80" customFormat="1" ht="30" customHeight="1">
      <c r="B2" s="866" t="s">
        <v>28</v>
      </c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</row>
    <row r="3" spans="2:14" ht="19.5" customHeight="1">
      <c r="B3" s="893" t="s">
        <v>123</v>
      </c>
      <c r="C3" s="894"/>
      <c r="D3" s="894"/>
      <c r="E3" s="894"/>
      <c r="F3" s="894"/>
      <c r="G3" s="894"/>
      <c r="H3" s="894"/>
      <c r="I3" s="894"/>
      <c r="J3" s="894"/>
      <c r="K3" s="894"/>
      <c r="L3" s="894"/>
      <c r="M3" s="894"/>
      <c r="N3" s="895"/>
    </row>
    <row r="4" spans="2:14" ht="9.75" customHeight="1">
      <c r="B4" s="899" t="s">
        <v>124</v>
      </c>
      <c r="C4" s="274" t="s">
        <v>122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625"/>
    </row>
    <row r="5" spans="2:14" ht="15" customHeight="1">
      <c r="B5" s="899"/>
      <c r="C5" s="275">
        <v>1995</v>
      </c>
      <c r="D5" s="276">
        <v>2000</v>
      </c>
      <c r="E5" s="276">
        <v>2001</v>
      </c>
      <c r="F5" s="276">
        <v>2002</v>
      </c>
      <c r="G5" s="276">
        <v>2003</v>
      </c>
      <c r="H5" s="276">
        <v>2004</v>
      </c>
      <c r="I5" s="276">
        <v>2005</v>
      </c>
      <c r="J5" s="276">
        <v>2006</v>
      </c>
      <c r="K5" s="276">
        <v>2007</v>
      </c>
      <c r="L5" s="276">
        <v>2008</v>
      </c>
      <c r="M5" s="896">
        <v>2009</v>
      </c>
      <c r="N5" s="897"/>
    </row>
    <row r="6" spans="2:14" ht="15" customHeight="1">
      <c r="B6" s="900"/>
      <c r="C6" s="901" t="s">
        <v>51</v>
      </c>
      <c r="D6" s="902"/>
      <c r="E6" s="902"/>
      <c r="F6" s="902"/>
      <c r="G6" s="902"/>
      <c r="H6" s="902"/>
      <c r="I6" s="902"/>
      <c r="J6" s="902"/>
      <c r="K6" s="902"/>
      <c r="L6" s="902"/>
      <c r="M6" s="902"/>
      <c r="N6" s="903"/>
    </row>
    <row r="7" spans="2:14" ht="19.5" customHeight="1">
      <c r="B7" s="97" t="s">
        <v>29</v>
      </c>
      <c r="C7" s="427">
        <v>311.246</v>
      </c>
      <c r="D7" s="569">
        <v>350.136</v>
      </c>
      <c r="E7" s="569">
        <v>361.422</v>
      </c>
      <c r="F7" s="569">
        <v>372.28</v>
      </c>
      <c r="G7" s="569">
        <v>371.672</v>
      </c>
      <c r="H7" s="569">
        <v>383.181</v>
      </c>
      <c r="I7" s="569">
        <v>400.947</v>
      </c>
      <c r="J7" s="569">
        <v>420.624</v>
      </c>
      <c r="K7" s="569">
        <v>465.147</v>
      </c>
      <c r="L7" s="569">
        <v>480.869</v>
      </c>
      <c r="M7" s="569">
        <v>507.666</v>
      </c>
      <c r="N7" s="745"/>
    </row>
    <row r="8" spans="2:14" ht="19.5" customHeight="1">
      <c r="B8" s="56" t="s">
        <v>113</v>
      </c>
      <c r="C8" s="428">
        <v>223.56400000000002</v>
      </c>
      <c r="D8" s="570">
        <v>257.975</v>
      </c>
      <c r="E8" s="570">
        <v>266.347</v>
      </c>
      <c r="F8" s="570">
        <v>274.612</v>
      </c>
      <c r="G8" s="570">
        <v>277.386</v>
      </c>
      <c r="H8" s="570">
        <v>292.79100000000005</v>
      </c>
      <c r="I8" s="570">
        <v>316.85</v>
      </c>
      <c r="J8" s="570">
        <v>332.11</v>
      </c>
      <c r="K8" s="570">
        <v>368.486</v>
      </c>
      <c r="L8" s="570">
        <v>392.052</v>
      </c>
      <c r="M8" s="570">
        <v>417.895</v>
      </c>
      <c r="N8" s="746"/>
    </row>
    <row r="9" spans="2:14" ht="19.5" customHeight="1">
      <c r="B9" s="56" t="s">
        <v>109</v>
      </c>
      <c r="C9" s="428">
        <v>207.543</v>
      </c>
      <c r="D9" s="570">
        <v>247.549</v>
      </c>
      <c r="E9" s="570">
        <v>257.254</v>
      </c>
      <c r="F9" s="570">
        <v>264.523</v>
      </c>
      <c r="G9" s="570">
        <v>267.194</v>
      </c>
      <c r="H9" s="570">
        <v>282.171</v>
      </c>
      <c r="I9" s="570">
        <v>305.03</v>
      </c>
      <c r="J9" s="570">
        <v>321.244</v>
      </c>
      <c r="K9" s="570">
        <v>355.85</v>
      </c>
      <c r="L9" s="570">
        <v>377.384</v>
      </c>
      <c r="M9" s="570">
        <v>402.884</v>
      </c>
      <c r="N9" s="746"/>
    </row>
    <row r="10" spans="2:14" ht="19.5" customHeight="1">
      <c r="B10" s="98" t="s">
        <v>30</v>
      </c>
      <c r="C10" s="418">
        <v>51.024</v>
      </c>
      <c r="D10" s="571">
        <v>49.413</v>
      </c>
      <c r="E10" s="571">
        <v>45.368</v>
      </c>
      <c r="F10" s="571">
        <v>42.62</v>
      </c>
      <c r="G10" s="571">
        <v>45.818</v>
      </c>
      <c r="H10" s="571">
        <v>49.67</v>
      </c>
      <c r="I10" s="571">
        <v>45.414</v>
      </c>
      <c r="J10" s="571">
        <v>51.569</v>
      </c>
      <c r="K10" s="571">
        <v>49.342</v>
      </c>
      <c r="L10" s="571">
        <v>49.689</v>
      </c>
      <c r="M10" s="571">
        <v>52.244</v>
      </c>
      <c r="N10" s="747"/>
    </row>
    <row r="11" spans="2:14" ht="19.5" customHeight="1">
      <c r="B11" s="98" t="s">
        <v>31</v>
      </c>
      <c r="C11" s="418">
        <v>18.691</v>
      </c>
      <c r="D11" s="571">
        <v>15.679</v>
      </c>
      <c r="E11" s="571">
        <v>14.335</v>
      </c>
      <c r="F11" s="571">
        <v>15.473</v>
      </c>
      <c r="G11" s="571">
        <v>14.599</v>
      </c>
      <c r="H11" s="571">
        <v>12.605</v>
      </c>
      <c r="I11" s="571">
        <v>14.422</v>
      </c>
      <c r="J11" s="571">
        <v>12.314</v>
      </c>
      <c r="K11" s="571">
        <v>12.398</v>
      </c>
      <c r="L11" s="571">
        <v>13.47</v>
      </c>
      <c r="M11" s="571">
        <v>13.99</v>
      </c>
      <c r="N11" s="747"/>
    </row>
    <row r="12" spans="2:14" ht="19.5" customHeight="1">
      <c r="B12" s="98" t="s">
        <v>32</v>
      </c>
      <c r="C12" s="418">
        <v>246.722</v>
      </c>
      <c r="D12" s="571">
        <v>292.722</v>
      </c>
      <c r="E12" s="571">
        <v>301.207</v>
      </c>
      <c r="F12" s="571">
        <v>304.7</v>
      </c>
      <c r="G12" s="571">
        <v>313.808</v>
      </c>
      <c r="H12" s="571">
        <v>329.485</v>
      </c>
      <c r="I12" s="571">
        <v>361.311</v>
      </c>
      <c r="J12" s="571">
        <v>399.419</v>
      </c>
      <c r="K12" s="571">
        <v>423.425</v>
      </c>
      <c r="L12" s="571">
        <v>462.661</v>
      </c>
      <c r="M12" s="571">
        <v>497.788</v>
      </c>
      <c r="N12" s="747"/>
    </row>
    <row r="13" spans="2:14" ht="19.5" customHeight="1">
      <c r="B13" s="98" t="s">
        <v>33</v>
      </c>
      <c r="C13" s="418">
        <v>6.742</v>
      </c>
      <c r="D13" s="571">
        <v>7.121</v>
      </c>
      <c r="E13" s="571">
        <v>5.439</v>
      </c>
      <c r="F13" s="571">
        <v>5.123</v>
      </c>
      <c r="G13" s="571">
        <v>4.831</v>
      </c>
      <c r="H13" s="571">
        <v>4.727</v>
      </c>
      <c r="I13" s="571">
        <v>5.142</v>
      </c>
      <c r="J13" s="571">
        <v>5.039</v>
      </c>
      <c r="K13" s="571">
        <v>5.016</v>
      </c>
      <c r="L13" s="571">
        <v>5.07</v>
      </c>
      <c r="M13" s="571">
        <v>5.04</v>
      </c>
      <c r="N13" s="747"/>
    </row>
    <row r="14" spans="2:14" ht="19.5" customHeight="1">
      <c r="B14" s="98" t="s">
        <v>34</v>
      </c>
      <c r="C14" s="572">
        <v>37.956</v>
      </c>
      <c r="D14" s="571">
        <v>38.115</v>
      </c>
      <c r="E14" s="571">
        <v>42.412</v>
      </c>
      <c r="F14" s="571">
        <v>51.14900000000005</v>
      </c>
      <c r="G14" s="571">
        <v>57.487</v>
      </c>
      <c r="H14" s="571">
        <v>52.56</v>
      </c>
      <c r="I14" s="571">
        <v>52.687</v>
      </c>
      <c r="J14" s="571">
        <v>47.4</v>
      </c>
      <c r="K14" s="571">
        <v>45.79</v>
      </c>
      <c r="L14" s="571">
        <v>59.274</v>
      </c>
      <c r="M14" s="571">
        <v>67.647</v>
      </c>
      <c r="N14" s="747"/>
    </row>
    <row r="15" spans="2:14" ht="19.5" customHeight="1">
      <c r="B15" s="99" t="s">
        <v>88</v>
      </c>
      <c r="C15" s="748">
        <v>672.381</v>
      </c>
      <c r="D15" s="749">
        <v>753.226</v>
      </c>
      <c r="E15" s="749">
        <v>770.183</v>
      </c>
      <c r="F15" s="749">
        <v>791.345</v>
      </c>
      <c r="G15" s="749">
        <v>808.215</v>
      </c>
      <c r="H15" s="749">
        <v>832.228</v>
      </c>
      <c r="I15" s="749">
        <f>827.237+52.686</f>
        <v>879.923</v>
      </c>
      <c r="J15" s="749">
        <v>936.363</v>
      </c>
      <c r="K15" s="749">
        <v>1001.118</v>
      </c>
      <c r="L15" s="749">
        <v>1071.033</v>
      </c>
      <c r="M15" s="749">
        <v>1144.375</v>
      </c>
      <c r="N15" s="750"/>
    </row>
    <row r="16" spans="2:14" ht="19.5" customHeight="1">
      <c r="B16" s="267"/>
      <c r="C16" s="844" t="s">
        <v>125</v>
      </c>
      <c r="D16" s="890"/>
      <c r="E16" s="890"/>
      <c r="F16" s="890"/>
      <c r="G16" s="890"/>
      <c r="H16" s="890"/>
      <c r="I16" s="890"/>
      <c r="J16" s="890"/>
      <c r="K16" s="890"/>
      <c r="L16" s="890"/>
      <c r="M16" s="890"/>
      <c r="N16" s="891"/>
    </row>
    <row r="17" spans="2:14" ht="19.5" customHeight="1">
      <c r="B17" s="100" t="s">
        <v>114</v>
      </c>
      <c r="C17" s="84">
        <v>0.3324960104464582</v>
      </c>
      <c r="D17" s="85">
        <v>0.34249348801023866</v>
      </c>
      <c r="E17" s="85">
        <v>0.3458230057012424</v>
      </c>
      <c r="F17" s="85">
        <v>0.34701931521649854</v>
      </c>
      <c r="G17" s="85">
        <v>0.3432081809914441</v>
      </c>
      <c r="H17" s="85">
        <v>0.35181584854150555</v>
      </c>
      <c r="I17" s="85">
        <v>0.36008832591033535</v>
      </c>
      <c r="J17" s="85">
        <v>0.35468082356949177</v>
      </c>
      <c r="K17" s="85">
        <v>0.3680744927171422</v>
      </c>
      <c r="L17" s="85">
        <v>0.3660503457876649</v>
      </c>
      <c r="M17" s="751">
        <v>0.3651731294374658</v>
      </c>
      <c r="N17" s="86"/>
    </row>
    <row r="18" spans="2:14" ht="19.5" customHeight="1">
      <c r="B18" s="101" t="s">
        <v>110</v>
      </c>
      <c r="C18" s="87">
        <v>0.3086687458449897</v>
      </c>
      <c r="D18" s="88">
        <v>0.3286516928518134</v>
      </c>
      <c r="E18" s="88">
        <v>0.3340167207014437</v>
      </c>
      <c r="F18" s="88">
        <v>0.3342701350232832</v>
      </c>
      <c r="G18" s="88">
        <v>0.3305976751235748</v>
      </c>
      <c r="H18" s="88">
        <v>0.33905492244913654</v>
      </c>
      <c r="I18" s="88">
        <v>0.34665533234157986</v>
      </c>
      <c r="J18" s="88">
        <v>0.3430763496635386</v>
      </c>
      <c r="K18" s="88">
        <v>0.35545260398874057</v>
      </c>
      <c r="L18" s="88">
        <v>0.3523551561903322</v>
      </c>
      <c r="M18" s="752">
        <v>0.3520559257236483</v>
      </c>
      <c r="N18" s="89"/>
    </row>
    <row r="19" spans="2:14" ht="19.5" customHeight="1">
      <c r="B19" s="102" t="s">
        <v>115</v>
      </c>
      <c r="C19" s="90">
        <v>0.565</v>
      </c>
      <c r="D19" s="91">
        <v>0.681</v>
      </c>
      <c r="E19" s="91">
        <v>0.664</v>
      </c>
      <c r="F19" s="91">
        <v>0.668</v>
      </c>
      <c r="G19" s="91">
        <v>0.678</v>
      </c>
      <c r="H19" s="91">
        <v>0.678</v>
      </c>
      <c r="I19" s="92">
        <v>0.678</v>
      </c>
      <c r="J19" s="92">
        <v>0.677</v>
      </c>
      <c r="K19" s="92">
        <v>0.693</v>
      </c>
      <c r="L19" s="92">
        <v>0.686</v>
      </c>
      <c r="M19" s="753">
        <v>0.694</v>
      </c>
      <c r="N19" s="93"/>
    </row>
    <row r="20" spans="2:14" ht="19.5" customHeight="1">
      <c r="B20" s="103" t="s">
        <v>111</v>
      </c>
      <c r="C20" s="329">
        <v>0.577</v>
      </c>
      <c r="D20" s="94">
        <v>0.677</v>
      </c>
      <c r="E20" s="94">
        <v>0.67</v>
      </c>
      <c r="F20" s="94">
        <v>0.667</v>
      </c>
      <c r="G20" s="94">
        <v>0.677</v>
      </c>
      <c r="H20" s="94">
        <v>0.677</v>
      </c>
      <c r="I20" s="94">
        <v>0.67038</v>
      </c>
      <c r="J20" s="94">
        <v>0.676</v>
      </c>
      <c r="K20" s="94">
        <v>0.694</v>
      </c>
      <c r="L20" s="94">
        <v>0.687</v>
      </c>
      <c r="M20" s="754">
        <v>0.693</v>
      </c>
      <c r="N20" s="95"/>
    </row>
    <row r="21" spans="2:12" ht="26.25" customHeight="1">
      <c r="B21" s="841" t="s">
        <v>144</v>
      </c>
      <c r="C21" s="841"/>
      <c r="D21" s="841"/>
      <c r="E21" s="841"/>
      <c r="F21" s="841"/>
      <c r="G21" s="841"/>
      <c r="H21" s="841"/>
      <c r="I21" s="841"/>
      <c r="J21" s="841"/>
      <c r="K21" s="841"/>
      <c r="L21" s="873"/>
    </row>
    <row r="22" spans="1:12" ht="15" customHeight="1">
      <c r="A22" s="1"/>
      <c r="B22" s="904" t="s">
        <v>185</v>
      </c>
      <c r="C22" s="904"/>
      <c r="D22" s="904"/>
      <c r="E22" s="904"/>
      <c r="F22" s="904"/>
      <c r="G22" s="904"/>
      <c r="H22" s="904"/>
      <c r="I22" s="904"/>
      <c r="J22" s="904"/>
      <c r="K22" s="869"/>
      <c r="L22" s="869"/>
    </row>
    <row r="23" spans="1:12" ht="26.25" customHeight="1">
      <c r="A23" s="1"/>
      <c r="B23" s="906" t="s">
        <v>186</v>
      </c>
      <c r="C23" s="906"/>
      <c r="D23" s="906"/>
      <c r="E23" s="906"/>
      <c r="F23" s="906"/>
      <c r="G23" s="906"/>
      <c r="H23" s="906"/>
      <c r="I23" s="906"/>
      <c r="J23" s="906"/>
      <c r="K23" s="907"/>
      <c r="L23" s="907"/>
    </row>
    <row r="24" spans="1:12" ht="12.75" customHeight="1">
      <c r="A24" s="1"/>
      <c r="B24" s="905" t="s">
        <v>112</v>
      </c>
      <c r="C24" s="905"/>
      <c r="D24" s="905"/>
      <c r="E24" s="905"/>
      <c r="F24" s="905"/>
      <c r="G24" s="905"/>
      <c r="H24" s="905"/>
      <c r="I24" s="905"/>
      <c r="J24" s="905"/>
      <c r="K24" s="905"/>
      <c r="L24" s="869"/>
    </row>
    <row r="25" spans="2:12" ht="12.75">
      <c r="B25" s="905" t="s">
        <v>12</v>
      </c>
      <c r="C25" s="905"/>
      <c r="D25" s="905"/>
      <c r="E25" s="905"/>
      <c r="F25" s="905"/>
      <c r="G25" s="905"/>
      <c r="H25" s="905"/>
      <c r="I25" s="905"/>
      <c r="J25" s="905"/>
      <c r="K25" s="869"/>
      <c r="L25" s="869"/>
    </row>
    <row r="26" ht="12.75">
      <c r="B26" s="4"/>
    </row>
  </sheetData>
  <mergeCells count="13">
    <mergeCell ref="B21:L21"/>
    <mergeCell ref="B22:L22"/>
    <mergeCell ref="B24:L24"/>
    <mergeCell ref="B25:L25"/>
    <mergeCell ref="B23:L23"/>
    <mergeCell ref="C16:N16"/>
    <mergeCell ref="M1:N1"/>
    <mergeCell ref="B2:M2"/>
    <mergeCell ref="B3:N3"/>
    <mergeCell ref="M5:N5"/>
    <mergeCell ref="B1:C1"/>
    <mergeCell ref="B4:B6"/>
    <mergeCell ref="C6:N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85"/>
  <dimension ref="B1:N40"/>
  <sheetViews>
    <sheetView workbookViewId="0" topLeftCell="A1">
      <selection activeCell="A1" sqref="A1:IV16384"/>
    </sheetView>
  </sheetViews>
  <sheetFormatPr defaultColWidth="9.140625" defaultRowHeight="12.75"/>
  <cols>
    <col min="1" max="1" width="1.8515625" style="0" customWidth="1"/>
    <col min="2" max="2" width="22.7109375" style="0" customWidth="1"/>
    <col min="3" max="3" width="6.7109375" style="0" customWidth="1"/>
    <col min="4" max="4" width="1.7109375" style="0" customWidth="1"/>
    <col min="5" max="5" width="6.7109375" style="0" customWidth="1"/>
    <col min="6" max="6" width="1.7109375" style="0" customWidth="1"/>
    <col min="7" max="7" width="5.7109375" style="0" customWidth="1"/>
    <col min="8" max="8" width="9.7109375" style="0" customWidth="1"/>
    <col min="9" max="9" width="1.7109375" style="0" customWidth="1"/>
    <col min="10" max="10" width="9.7109375" style="0" customWidth="1"/>
    <col min="11" max="11" width="1.7109375" style="0" customWidth="1"/>
    <col min="12" max="12" width="5.7109375" style="0" customWidth="1"/>
    <col min="13" max="13" width="2.57421875" style="0" customWidth="1"/>
  </cols>
  <sheetData>
    <row r="1" spans="2:13" ht="14.25" customHeight="1">
      <c r="B1" s="898"/>
      <c r="C1" s="898"/>
      <c r="D1" s="346"/>
      <c r="M1" s="19" t="s">
        <v>220</v>
      </c>
    </row>
    <row r="2" spans="2:12" s="80" customFormat="1" ht="30" customHeight="1">
      <c r="B2" s="888" t="s">
        <v>28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</row>
    <row r="3" spans="2:12" s="270" customFormat="1" ht="30" customHeight="1">
      <c r="B3" s="915" t="s">
        <v>175</v>
      </c>
      <c r="C3" s="915"/>
      <c r="D3" s="915"/>
      <c r="E3" s="915"/>
      <c r="F3" s="915"/>
      <c r="G3" s="915"/>
      <c r="H3" s="915"/>
      <c r="I3" s="915"/>
      <c r="J3" s="915"/>
      <c r="K3" s="915"/>
      <c r="L3" s="915"/>
    </row>
    <row r="4" spans="2:12" ht="19.5" customHeight="1">
      <c r="B4" s="460" t="s">
        <v>235</v>
      </c>
      <c r="C4" s="857" t="s">
        <v>26</v>
      </c>
      <c r="D4" s="845"/>
      <c r="E4" s="845"/>
      <c r="F4" s="845"/>
      <c r="G4" s="846"/>
      <c r="H4" s="857" t="s">
        <v>238</v>
      </c>
      <c r="I4" s="845"/>
      <c r="J4" s="845"/>
      <c r="K4" s="845"/>
      <c r="L4" s="846"/>
    </row>
    <row r="5" spans="2:12" ht="19.5" customHeight="1">
      <c r="B5" s="320" t="s">
        <v>41</v>
      </c>
      <c r="C5" s="910" t="s">
        <v>87</v>
      </c>
      <c r="D5" s="911"/>
      <c r="E5" s="912" t="s">
        <v>40</v>
      </c>
      <c r="F5" s="913"/>
      <c r="G5" s="326" t="s">
        <v>132</v>
      </c>
      <c r="H5" s="910" t="s">
        <v>87</v>
      </c>
      <c r="I5" s="911"/>
      <c r="J5" s="912" t="s">
        <v>40</v>
      </c>
      <c r="K5" s="913"/>
      <c r="L5" s="326" t="s">
        <v>132</v>
      </c>
    </row>
    <row r="6" spans="2:14" ht="30" customHeight="1">
      <c r="B6" s="461" t="s">
        <v>150</v>
      </c>
      <c r="C6" s="462">
        <v>36452</v>
      </c>
      <c r="D6" s="357"/>
      <c r="E6" s="463">
        <v>11621</v>
      </c>
      <c r="F6" s="463"/>
      <c r="G6" s="755">
        <v>31.88028091737079</v>
      </c>
      <c r="H6" s="462">
        <v>1144375</v>
      </c>
      <c r="I6" s="358"/>
      <c r="J6" s="463">
        <v>417895</v>
      </c>
      <c r="K6" s="464"/>
      <c r="L6" s="755">
        <v>36.51731294374659</v>
      </c>
      <c r="N6" s="70"/>
    </row>
    <row r="7" spans="2:14" ht="24.75" customHeight="1">
      <c r="B7" s="104" t="s">
        <v>176</v>
      </c>
      <c r="C7" s="136">
        <v>9336</v>
      </c>
      <c r="D7" s="466"/>
      <c r="E7" s="119">
        <v>2914</v>
      </c>
      <c r="F7" s="119"/>
      <c r="G7" s="756">
        <v>31.212510711225367</v>
      </c>
      <c r="H7" s="136">
        <v>460256</v>
      </c>
      <c r="I7" s="467"/>
      <c r="J7" s="119">
        <v>165920</v>
      </c>
      <c r="K7" s="338"/>
      <c r="L7" s="757">
        <v>36.04950288535076</v>
      </c>
      <c r="N7" s="70"/>
    </row>
    <row r="8" spans="2:14" ht="10.5" customHeight="1">
      <c r="B8" s="197" t="s">
        <v>96</v>
      </c>
      <c r="C8" s="69"/>
      <c r="D8" s="350"/>
      <c r="E8" s="351"/>
      <c r="F8" s="70"/>
      <c r="G8" s="758"/>
      <c r="H8" s="69"/>
      <c r="I8" s="353"/>
      <c r="J8" s="70"/>
      <c r="K8" s="24"/>
      <c r="L8" s="759"/>
      <c r="N8" s="70"/>
    </row>
    <row r="9" spans="2:14" ht="15" customHeight="1">
      <c r="B9" s="198" t="s">
        <v>36</v>
      </c>
      <c r="C9" s="69">
        <v>7396</v>
      </c>
      <c r="D9" s="350"/>
      <c r="E9" s="351">
        <v>2367</v>
      </c>
      <c r="F9" s="70"/>
      <c r="G9" s="758">
        <v>32.00378583017848</v>
      </c>
      <c r="H9" s="69">
        <v>415790</v>
      </c>
      <c r="I9" s="353"/>
      <c r="J9" s="70">
        <v>154499</v>
      </c>
      <c r="K9" s="24"/>
      <c r="L9" s="759">
        <v>37.157940306404676</v>
      </c>
      <c r="N9" s="70"/>
    </row>
    <row r="10" spans="2:14" ht="15" customHeight="1">
      <c r="B10" s="198" t="s">
        <v>104</v>
      </c>
      <c r="C10" s="69">
        <v>754</v>
      </c>
      <c r="D10" s="350"/>
      <c r="E10" s="351">
        <v>168</v>
      </c>
      <c r="F10" s="70"/>
      <c r="G10" s="758">
        <v>22.281167108753316</v>
      </c>
      <c r="H10" s="69">
        <v>8739</v>
      </c>
      <c r="I10" s="353"/>
      <c r="J10" s="70">
        <v>1753</v>
      </c>
      <c r="K10" s="468"/>
      <c r="L10" s="759">
        <v>20.059503375672275</v>
      </c>
      <c r="N10" s="70"/>
    </row>
    <row r="11" spans="2:14" ht="15" customHeight="1">
      <c r="B11" s="469" t="s">
        <v>105</v>
      </c>
      <c r="C11" s="74">
        <v>1186</v>
      </c>
      <c r="D11" s="470"/>
      <c r="E11" s="471">
        <v>379</v>
      </c>
      <c r="F11" s="75"/>
      <c r="G11" s="758">
        <v>31.956155143338954</v>
      </c>
      <c r="H11" s="74">
        <v>35727</v>
      </c>
      <c r="I11" s="355"/>
      <c r="J11" s="75">
        <v>9668</v>
      </c>
      <c r="K11" s="472"/>
      <c r="L11" s="760">
        <v>27.06076636717329</v>
      </c>
      <c r="N11" s="70"/>
    </row>
    <row r="12" spans="2:14" ht="24.75" customHeight="1">
      <c r="B12" s="104" t="s">
        <v>37</v>
      </c>
      <c r="C12" s="136">
        <v>7078</v>
      </c>
      <c r="D12" s="349"/>
      <c r="E12" s="473">
        <v>2152</v>
      </c>
      <c r="F12" s="127"/>
      <c r="G12" s="755">
        <v>30.40406894602995</v>
      </c>
      <c r="H12" s="136">
        <v>413986</v>
      </c>
      <c r="I12" s="352"/>
      <c r="J12" s="119">
        <v>131194</v>
      </c>
      <c r="K12" s="348"/>
      <c r="L12" s="761">
        <v>31.69044363819066</v>
      </c>
      <c r="N12" s="70"/>
    </row>
    <row r="13" spans="2:14" ht="9.75" customHeight="1" hidden="1">
      <c r="B13" s="197" t="s">
        <v>96</v>
      </c>
      <c r="C13" s="69"/>
      <c r="D13" s="350"/>
      <c r="E13" s="351"/>
      <c r="F13" s="70"/>
      <c r="G13" s="755" t="e">
        <v>#DIV/0!</v>
      </c>
      <c r="H13" s="69"/>
      <c r="I13" s="353"/>
      <c r="J13" s="70"/>
      <c r="K13" s="24"/>
      <c r="L13" s="759" t="e">
        <v>#DIV/0!</v>
      </c>
      <c r="N13" s="70"/>
    </row>
    <row r="14" spans="2:14" ht="15" customHeight="1" hidden="1">
      <c r="B14" s="474" t="s">
        <v>106</v>
      </c>
      <c r="C14" s="74"/>
      <c r="D14" s="470"/>
      <c r="E14" s="471"/>
      <c r="F14" s="75"/>
      <c r="G14" s="755" t="e">
        <v>#DIV/0!</v>
      </c>
      <c r="H14" s="74"/>
      <c r="I14" s="355"/>
      <c r="J14" s="75"/>
      <c r="K14" s="356"/>
      <c r="L14" s="760" t="e">
        <v>#DIV/0!</v>
      </c>
      <c r="N14" s="70"/>
    </row>
    <row r="15" spans="2:14" ht="24.75" customHeight="1">
      <c r="B15" s="461" t="s">
        <v>107</v>
      </c>
      <c r="C15" s="462">
        <v>4619</v>
      </c>
      <c r="D15" s="475"/>
      <c r="E15" s="476">
        <v>2430</v>
      </c>
      <c r="F15" s="477"/>
      <c r="G15" s="755">
        <v>52.60878978133795</v>
      </c>
      <c r="H15" s="462">
        <v>161914</v>
      </c>
      <c r="I15" s="478"/>
      <c r="J15" s="463">
        <v>88386</v>
      </c>
      <c r="K15" s="479"/>
      <c r="L15" s="762">
        <v>54.588238200526206</v>
      </c>
      <c r="N15" s="70"/>
    </row>
    <row r="16" spans="2:14" ht="24.75" customHeight="1">
      <c r="B16" s="104" t="s">
        <v>38</v>
      </c>
      <c r="C16" s="136">
        <v>13298</v>
      </c>
      <c r="D16" s="349"/>
      <c r="E16" s="473">
        <v>3390</v>
      </c>
      <c r="F16" s="127"/>
      <c r="G16" s="756">
        <v>25.492555271469392</v>
      </c>
      <c r="H16" s="136">
        <v>102219</v>
      </c>
      <c r="I16" s="352"/>
      <c r="J16" s="119">
        <v>30096</v>
      </c>
      <c r="K16" s="348"/>
      <c r="L16" s="761">
        <v>29.44266721451002</v>
      </c>
      <c r="N16" s="70"/>
    </row>
    <row r="17" spans="2:14" ht="10.5" customHeight="1">
      <c r="B17" s="197" t="s">
        <v>96</v>
      </c>
      <c r="C17" s="69"/>
      <c r="D17" s="350"/>
      <c r="E17" s="351"/>
      <c r="F17" s="70"/>
      <c r="G17" s="763"/>
      <c r="H17" s="69"/>
      <c r="I17" s="353"/>
      <c r="J17" s="70"/>
      <c r="K17" s="24"/>
      <c r="L17" s="759"/>
      <c r="N17" s="70"/>
    </row>
    <row r="18" spans="2:14" ht="15" customHeight="1">
      <c r="B18" s="198" t="s">
        <v>98</v>
      </c>
      <c r="C18" s="69">
        <v>7169</v>
      </c>
      <c r="D18" s="350"/>
      <c r="E18" s="351">
        <v>1573</v>
      </c>
      <c r="F18" s="70"/>
      <c r="G18" s="758">
        <v>21.94169340214814</v>
      </c>
      <c r="H18" s="69">
        <v>51100</v>
      </c>
      <c r="I18" s="354"/>
      <c r="J18" s="70">
        <v>12383</v>
      </c>
      <c r="K18" s="24"/>
      <c r="L18" s="759">
        <v>24.232876712328768</v>
      </c>
      <c r="M18" s="196"/>
      <c r="N18" s="70"/>
    </row>
    <row r="19" spans="2:14" ht="15" customHeight="1">
      <c r="B19" s="198" t="s">
        <v>99</v>
      </c>
      <c r="C19" s="69">
        <v>3130</v>
      </c>
      <c r="D19" s="350"/>
      <c r="E19" s="351">
        <v>767</v>
      </c>
      <c r="F19" s="70"/>
      <c r="G19" s="758">
        <v>24.504792332268373</v>
      </c>
      <c r="H19" s="69">
        <v>22862</v>
      </c>
      <c r="I19" s="354"/>
      <c r="J19" s="70">
        <v>5468</v>
      </c>
      <c r="K19" s="24"/>
      <c r="L19" s="759">
        <v>23.917417548770885</v>
      </c>
      <c r="N19" s="70"/>
    </row>
    <row r="20" spans="2:14" ht="15" customHeight="1">
      <c r="B20" s="198" t="s">
        <v>39</v>
      </c>
      <c r="C20" s="69">
        <v>843</v>
      </c>
      <c r="D20" s="350"/>
      <c r="E20" s="351">
        <v>338</v>
      </c>
      <c r="F20" s="70"/>
      <c r="G20" s="758">
        <v>40.094899169632264</v>
      </c>
      <c r="H20" s="69">
        <v>6372</v>
      </c>
      <c r="I20" s="354"/>
      <c r="J20" s="70">
        <v>3295</v>
      </c>
      <c r="K20" s="24"/>
      <c r="L20" s="759">
        <v>51.71060891399875</v>
      </c>
      <c r="M20" s="196"/>
      <c r="N20" s="70"/>
    </row>
    <row r="21" spans="2:14" ht="15" customHeight="1">
      <c r="B21" s="198" t="s">
        <v>97</v>
      </c>
      <c r="C21" s="69">
        <v>983</v>
      </c>
      <c r="D21" s="350"/>
      <c r="E21" s="351">
        <v>335</v>
      </c>
      <c r="F21" s="70"/>
      <c r="G21" s="758">
        <v>34.0793489318413</v>
      </c>
      <c r="H21" s="69">
        <v>6310</v>
      </c>
      <c r="I21" s="354"/>
      <c r="J21" s="70">
        <v>2812</v>
      </c>
      <c r="K21" s="24"/>
      <c r="L21" s="759">
        <v>44.564183835182256</v>
      </c>
      <c r="N21" s="70"/>
    </row>
    <row r="22" spans="2:14" ht="15" customHeight="1">
      <c r="B22" s="469" t="s">
        <v>100</v>
      </c>
      <c r="C22" s="74">
        <v>1173</v>
      </c>
      <c r="D22" s="470"/>
      <c r="E22" s="480">
        <v>377</v>
      </c>
      <c r="F22" s="75"/>
      <c r="G22" s="758">
        <v>32.13981244671782</v>
      </c>
      <c r="H22" s="74">
        <v>15574</v>
      </c>
      <c r="I22" s="481"/>
      <c r="J22" s="482">
        <v>6138</v>
      </c>
      <c r="K22" s="356"/>
      <c r="L22" s="760">
        <v>39.411840246564786</v>
      </c>
      <c r="N22" s="70"/>
    </row>
    <row r="23" spans="2:14" ht="24.75" customHeight="1">
      <c r="B23" s="461" t="s">
        <v>177</v>
      </c>
      <c r="C23" s="462">
        <v>2211</v>
      </c>
      <c r="D23" s="475"/>
      <c r="E23" s="476">
        <v>735</v>
      </c>
      <c r="F23" s="477"/>
      <c r="G23" s="755">
        <v>33.242876526458616</v>
      </c>
      <c r="H23" s="462">
        <v>6000</v>
      </c>
      <c r="I23" s="483"/>
      <c r="J23" s="463">
        <v>2299</v>
      </c>
      <c r="K23" s="479"/>
      <c r="L23" s="762">
        <v>38.31666666666666</v>
      </c>
      <c r="N23" s="465"/>
    </row>
    <row r="24" spans="2:14" ht="15" customHeight="1">
      <c r="B24" s="484"/>
      <c r="C24" s="485"/>
      <c r="D24" s="70"/>
      <c r="E24" s="485"/>
      <c r="F24" s="70"/>
      <c r="G24" s="70"/>
      <c r="H24" s="485"/>
      <c r="I24" s="343"/>
      <c r="J24" s="485"/>
      <c r="K24" s="24"/>
      <c r="L24" s="24"/>
      <c r="N24" s="465"/>
    </row>
    <row r="25" spans="2:14" s="80" customFormat="1" ht="30" customHeight="1">
      <c r="B25" s="914" t="s">
        <v>239</v>
      </c>
      <c r="C25" s="914"/>
      <c r="D25" s="914"/>
      <c r="E25" s="914"/>
      <c r="F25" s="914"/>
      <c r="G25" s="914"/>
      <c r="H25" s="914"/>
      <c r="I25" s="914"/>
      <c r="J25" s="914"/>
      <c r="K25" s="914"/>
      <c r="L25" s="914"/>
      <c r="N25" s="486"/>
    </row>
    <row r="26" spans="2:12" ht="19.5" customHeight="1">
      <c r="B26" s="460" t="s">
        <v>235</v>
      </c>
      <c r="C26" s="857" t="s">
        <v>26</v>
      </c>
      <c r="D26" s="845"/>
      <c r="E26" s="845"/>
      <c r="F26" s="845"/>
      <c r="G26" s="846"/>
      <c r="H26" s="857" t="s">
        <v>240</v>
      </c>
      <c r="I26" s="845"/>
      <c r="J26" s="845"/>
      <c r="K26" s="845"/>
      <c r="L26" s="846"/>
    </row>
    <row r="27" spans="2:12" ht="19.5" customHeight="1">
      <c r="B27" s="320" t="s">
        <v>35</v>
      </c>
      <c r="C27" s="910" t="s">
        <v>87</v>
      </c>
      <c r="D27" s="911"/>
      <c r="E27" s="912" t="s">
        <v>40</v>
      </c>
      <c r="F27" s="913"/>
      <c r="G27" s="326" t="s">
        <v>132</v>
      </c>
      <c r="H27" s="910" t="s">
        <v>87</v>
      </c>
      <c r="I27" s="911"/>
      <c r="J27" s="912" t="s">
        <v>40</v>
      </c>
      <c r="K27" s="913"/>
      <c r="L27" s="326" t="s">
        <v>132</v>
      </c>
    </row>
    <row r="28" spans="2:12" ht="30" customHeight="1">
      <c r="B28" s="199" t="s">
        <v>88</v>
      </c>
      <c r="C28" s="136">
        <v>4161</v>
      </c>
      <c r="D28" s="349"/>
      <c r="E28" s="473">
        <v>1247</v>
      </c>
      <c r="F28" s="127"/>
      <c r="G28" s="756">
        <v>29.96875751021389</v>
      </c>
      <c r="H28" s="136">
        <v>32615</v>
      </c>
      <c r="I28" s="487"/>
      <c r="J28" s="119">
        <v>14125</v>
      </c>
      <c r="K28" s="348"/>
      <c r="L28" s="761">
        <v>43.30829372987889</v>
      </c>
    </row>
    <row r="29" spans="2:12" ht="24.75" customHeight="1">
      <c r="B29" s="64" t="s">
        <v>178</v>
      </c>
      <c r="C29" s="69">
        <v>2611</v>
      </c>
      <c r="D29" s="350"/>
      <c r="E29" s="351">
        <v>842</v>
      </c>
      <c r="F29" s="70"/>
      <c r="G29" s="758">
        <v>32.24818077364994</v>
      </c>
      <c r="H29" s="69">
        <v>17148</v>
      </c>
      <c r="I29" s="353"/>
      <c r="J29" s="70">
        <v>9457</v>
      </c>
      <c r="K29" s="24"/>
      <c r="L29" s="759">
        <v>55.149288546769306</v>
      </c>
    </row>
    <row r="30" spans="2:12" ht="24.75" customHeight="1">
      <c r="B30" s="474" t="s">
        <v>101</v>
      </c>
      <c r="C30" s="74">
        <v>1550</v>
      </c>
      <c r="D30" s="470"/>
      <c r="E30" s="471">
        <v>405</v>
      </c>
      <c r="F30" s="75"/>
      <c r="G30" s="764">
        <v>26.129032258064516</v>
      </c>
      <c r="H30" s="74">
        <v>15467</v>
      </c>
      <c r="I30" s="355"/>
      <c r="J30" s="75">
        <v>4668</v>
      </c>
      <c r="K30" s="356"/>
      <c r="L30" s="760">
        <v>30.18038404344734</v>
      </c>
    </row>
    <row r="31" spans="2:12" ht="15" customHeight="1">
      <c r="B31" s="488"/>
      <c r="C31" s="129"/>
      <c r="D31" s="129"/>
      <c r="E31" s="129"/>
      <c r="F31" s="129"/>
      <c r="G31" s="489"/>
      <c r="H31" s="129"/>
      <c r="I31" s="347"/>
      <c r="J31" s="129"/>
      <c r="K31" s="347"/>
      <c r="L31" s="490"/>
    </row>
    <row r="32" spans="2:14" s="80" customFormat="1" ht="30" customHeight="1">
      <c r="B32" s="909" t="s">
        <v>241</v>
      </c>
      <c r="C32" s="909"/>
      <c r="D32" s="909"/>
      <c r="E32" s="909"/>
      <c r="F32" s="909"/>
      <c r="G32" s="909"/>
      <c r="H32" s="909"/>
      <c r="I32" s="909"/>
      <c r="J32" s="909"/>
      <c r="K32" s="909"/>
      <c r="L32" s="909"/>
      <c r="N32" s="486"/>
    </row>
    <row r="33" spans="2:12" ht="19.5" customHeight="1">
      <c r="B33" s="460" t="s">
        <v>235</v>
      </c>
      <c r="C33" s="857" t="s">
        <v>26</v>
      </c>
      <c r="D33" s="845"/>
      <c r="E33" s="845"/>
      <c r="F33" s="845"/>
      <c r="G33" s="846"/>
      <c r="H33" s="857" t="s">
        <v>240</v>
      </c>
      <c r="I33" s="845"/>
      <c r="J33" s="845"/>
      <c r="K33" s="845"/>
      <c r="L33" s="846"/>
    </row>
    <row r="34" spans="2:12" ht="19.5" customHeight="1">
      <c r="B34" s="320" t="s">
        <v>41</v>
      </c>
      <c r="C34" s="910" t="s">
        <v>87</v>
      </c>
      <c r="D34" s="911"/>
      <c r="E34" s="912" t="s">
        <v>40</v>
      </c>
      <c r="F34" s="913"/>
      <c r="G34" s="326" t="s">
        <v>132</v>
      </c>
      <c r="H34" s="910" t="s">
        <v>87</v>
      </c>
      <c r="I34" s="911"/>
      <c r="J34" s="912" t="s">
        <v>40</v>
      </c>
      <c r="K34" s="913"/>
      <c r="L34" s="326" t="s">
        <v>132</v>
      </c>
    </row>
    <row r="35" spans="2:12" ht="30" customHeight="1">
      <c r="B35" s="469"/>
      <c r="C35" s="491">
        <v>286</v>
      </c>
      <c r="D35" s="492"/>
      <c r="E35" s="493">
        <v>97</v>
      </c>
      <c r="F35" s="75"/>
      <c r="G35" s="764">
        <v>33.91608391608392</v>
      </c>
      <c r="H35" s="491">
        <v>14895</v>
      </c>
      <c r="I35" s="494"/>
      <c r="J35" s="495">
        <v>4819</v>
      </c>
      <c r="K35" s="356"/>
      <c r="L35" s="760">
        <f>0.323531386371266*100</f>
        <v>32.3531386371266</v>
      </c>
    </row>
    <row r="36" spans="2:11" ht="15.75" customHeight="1">
      <c r="B36" s="852" t="s">
        <v>145</v>
      </c>
      <c r="C36" s="852"/>
      <c r="D36" s="852"/>
      <c r="E36" s="852"/>
      <c r="F36" s="852"/>
      <c r="G36" s="852"/>
      <c r="H36" s="852"/>
      <c r="I36" s="852"/>
      <c r="J36" s="852"/>
      <c r="K36" s="60"/>
    </row>
    <row r="37" spans="2:11" ht="15" customHeight="1">
      <c r="B37" s="200" t="s">
        <v>0</v>
      </c>
      <c r="C37" s="31"/>
      <c r="D37" s="31"/>
      <c r="E37" s="31"/>
      <c r="F37" s="31"/>
      <c r="G37" s="31"/>
      <c r="H37" s="31"/>
      <c r="I37" s="31"/>
      <c r="J37" s="31"/>
      <c r="K37" s="31"/>
    </row>
    <row r="38" spans="2:13" ht="21.75" customHeight="1">
      <c r="B38" s="908" t="s">
        <v>102</v>
      </c>
      <c r="C38" s="908"/>
      <c r="D38" s="908"/>
      <c r="E38" s="908"/>
      <c r="F38" s="908"/>
      <c r="G38" s="908"/>
      <c r="H38" s="908"/>
      <c r="I38" s="908"/>
      <c r="J38" s="908"/>
      <c r="K38" s="908"/>
      <c r="L38" s="908"/>
      <c r="M38" s="908"/>
    </row>
    <row r="39" spans="2:4" ht="12.75" customHeight="1">
      <c r="B39" s="125" t="s">
        <v>103</v>
      </c>
      <c r="C39" s="196"/>
      <c r="D39" s="196"/>
    </row>
    <row r="40" ht="12.75" customHeight="1">
      <c r="B40" s="125" t="s">
        <v>108</v>
      </c>
    </row>
  </sheetData>
  <mergeCells count="25">
    <mergeCell ref="B1:C1"/>
    <mergeCell ref="B2:L2"/>
    <mergeCell ref="B3:L3"/>
    <mergeCell ref="C4:G4"/>
    <mergeCell ref="H4:L4"/>
    <mergeCell ref="C5:D5"/>
    <mergeCell ref="E5:F5"/>
    <mergeCell ref="H5:I5"/>
    <mergeCell ref="J5:K5"/>
    <mergeCell ref="B25:L25"/>
    <mergeCell ref="C26:G26"/>
    <mergeCell ref="H26:L26"/>
    <mergeCell ref="C27:D27"/>
    <mergeCell ref="E27:F27"/>
    <mergeCell ref="H27:I27"/>
    <mergeCell ref="J27:K27"/>
    <mergeCell ref="B38:M38"/>
    <mergeCell ref="B36:J36"/>
    <mergeCell ref="B32:L32"/>
    <mergeCell ref="C33:G33"/>
    <mergeCell ref="H33:L33"/>
    <mergeCell ref="C34:D34"/>
    <mergeCell ref="E34:F34"/>
    <mergeCell ref="H34:I34"/>
    <mergeCell ref="J34:K34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342"/>
  <dimension ref="A1:O47"/>
  <sheetViews>
    <sheetView workbookViewId="0" topLeftCell="A1">
      <selection activeCell="A1" sqref="A1:IV16384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7" width="8.7109375" style="4" customWidth="1"/>
    <col min="8" max="8" width="1.7109375" style="4" customWidth="1"/>
    <col min="9" max="9" width="4.00390625" style="4" customWidth="1"/>
    <col min="10" max="10" width="4.7109375" style="4" customWidth="1"/>
    <col min="11" max="11" width="6.57421875" style="4" customWidth="1"/>
    <col min="12" max="12" width="7.8515625" style="4" customWidth="1"/>
    <col min="13" max="13" width="4.7109375" style="28" customWidth="1"/>
    <col min="14" max="24" width="4.7109375" style="4" customWidth="1"/>
    <col min="25" max="16384" width="9.140625" style="4" customWidth="1"/>
  </cols>
  <sheetData>
    <row r="1" spans="2:9" ht="14.25" customHeight="1">
      <c r="B1" s="2"/>
      <c r="C1" s="2"/>
      <c r="D1" s="2"/>
      <c r="E1" s="2"/>
      <c r="F1" s="2"/>
      <c r="I1" s="22" t="s">
        <v>221</v>
      </c>
    </row>
    <row r="2" spans="2:13" s="125" customFormat="1" ht="30" customHeight="1">
      <c r="B2" s="881" t="s">
        <v>201</v>
      </c>
      <c r="C2" s="881"/>
      <c r="D2" s="881"/>
      <c r="E2" s="881"/>
      <c r="F2" s="881"/>
      <c r="G2" s="881"/>
      <c r="H2" s="881"/>
      <c r="I2" s="881"/>
      <c r="M2" s="263"/>
    </row>
    <row r="3" spans="2:10" ht="15" customHeight="1">
      <c r="B3" s="882" t="s">
        <v>120</v>
      </c>
      <c r="C3" s="882"/>
      <c r="D3" s="882"/>
      <c r="E3" s="882"/>
      <c r="F3" s="882"/>
      <c r="G3" s="882"/>
      <c r="H3" s="882"/>
      <c r="I3" s="882"/>
      <c r="J3" s="2"/>
    </row>
    <row r="4" spans="2:10" ht="12.75" customHeight="1">
      <c r="B4" s="916" t="s">
        <v>242</v>
      </c>
      <c r="C4" s="917"/>
      <c r="D4" s="917"/>
      <c r="E4" s="917"/>
      <c r="F4" s="917"/>
      <c r="G4" s="917"/>
      <c r="H4" s="917"/>
      <c r="I4" s="917"/>
      <c r="J4" s="2"/>
    </row>
    <row r="5" spans="2:9" ht="15" customHeight="1">
      <c r="B5" s="34"/>
      <c r="C5" s="918" t="s">
        <v>42</v>
      </c>
      <c r="D5" s="919"/>
      <c r="E5" s="919"/>
      <c r="F5" s="919"/>
      <c r="G5" s="919"/>
      <c r="H5" s="920"/>
      <c r="I5" s="34"/>
    </row>
    <row r="6" spans="2:10" ht="33" customHeight="1">
      <c r="B6" s="34"/>
      <c r="C6" s="277" t="s">
        <v>43</v>
      </c>
      <c r="D6" s="278" t="s">
        <v>44</v>
      </c>
      <c r="E6" s="278" t="s">
        <v>45</v>
      </c>
      <c r="F6" s="279" t="s">
        <v>46</v>
      </c>
      <c r="G6" s="901" t="s">
        <v>88</v>
      </c>
      <c r="H6" s="903"/>
      <c r="I6" s="33"/>
      <c r="J6" s="2"/>
    </row>
    <row r="7" spans="2:12" ht="12.75" customHeight="1">
      <c r="B7" s="113" t="s">
        <v>40</v>
      </c>
      <c r="C7" s="249">
        <f>SUM(C10:C36)</f>
        <v>539</v>
      </c>
      <c r="D7" s="243">
        <f>SUM(D10:D36)</f>
        <v>1467</v>
      </c>
      <c r="E7" s="243">
        <f>SUM(E10:E36)</f>
        <v>1585</v>
      </c>
      <c r="F7" s="765">
        <f>SUM(F10:F36)</f>
        <v>514</v>
      </c>
      <c r="G7" s="249">
        <f>SUM(G10:G36)</f>
        <v>4105</v>
      </c>
      <c r="H7" s="573"/>
      <c r="I7" s="113" t="s">
        <v>40</v>
      </c>
      <c r="J7" s="2"/>
      <c r="K7" s="316"/>
      <c r="L7" s="316"/>
    </row>
    <row r="8" spans="2:14" ht="12.75" customHeight="1">
      <c r="B8" s="110" t="s">
        <v>71</v>
      </c>
      <c r="C8" s="250">
        <f>SUM(C10,C13:C14,C16:C20,C24,C27:C28,C30,C34:C36)</f>
        <v>447</v>
      </c>
      <c r="D8" s="244">
        <f>SUM(D10,D13:D14,D16:D20,D24,D27:D28,D30,D34:D36)</f>
        <v>1282</v>
      </c>
      <c r="E8" s="244">
        <f>SUM(E10,E13:E14,E16:E20,E24,E27:E28,E30,E34:E36)</f>
        <v>1443</v>
      </c>
      <c r="F8" s="766">
        <f>SUM(F10,F13:F14,F16:F20,F24,F27:F28,F30,F34:F36)</f>
        <v>492</v>
      </c>
      <c r="G8" s="250">
        <f>SUM(G10,G13:G14,G16:G20,G24,G27:G28,G30,G34:G36)</f>
        <v>3664</v>
      </c>
      <c r="H8" s="574"/>
      <c r="I8" s="110" t="s">
        <v>71</v>
      </c>
      <c r="J8" s="57"/>
      <c r="K8" s="57"/>
      <c r="L8" s="57"/>
      <c r="M8" s="57"/>
      <c r="N8" s="33"/>
    </row>
    <row r="9" spans="2:14" ht="12.75" customHeight="1">
      <c r="B9" s="112" t="s">
        <v>131</v>
      </c>
      <c r="C9" s="767">
        <f>SUM(C11,C12,C15,C21,C22,C23,C25,C26,C29,C31,C32,C33)</f>
        <v>92</v>
      </c>
      <c r="D9" s="767">
        <f>SUM(D11,D12,D15,D21,D22,D23,D25,D26,D29,D31,D32,D33)</f>
        <v>185</v>
      </c>
      <c r="E9" s="767">
        <f>SUM(E11,E12,E15,E21,E22,E23,E25,E26,E29,E31,E32,E33)</f>
        <v>142</v>
      </c>
      <c r="F9" s="768">
        <f>SUM(F11,F12,F15,F21,F22,F23,F25,F26,F29,F31,F32,F33)</f>
        <v>22</v>
      </c>
      <c r="G9" s="251">
        <f>SUM(G11,G12,G15,G21,G22,G23,G25,G26,G29,G31,G32,G33)</f>
        <v>441</v>
      </c>
      <c r="H9" s="575"/>
      <c r="I9" s="112" t="s">
        <v>131</v>
      </c>
      <c r="J9" s="57"/>
      <c r="K9" s="57"/>
      <c r="L9" s="57"/>
      <c r="M9" s="57"/>
      <c r="N9" s="33"/>
    </row>
    <row r="10" spans="1:10" ht="12.75" customHeight="1">
      <c r="A10" s="11"/>
      <c r="B10" s="12" t="s">
        <v>72</v>
      </c>
      <c r="C10" s="252">
        <v>16</v>
      </c>
      <c r="D10" s="769">
        <v>44</v>
      </c>
      <c r="E10" s="769">
        <v>14</v>
      </c>
      <c r="F10" s="770">
        <v>7</v>
      </c>
      <c r="G10" s="252">
        <f aca="true" t="shared" si="0" ref="G10:G38">SUM(C10:F10)</f>
        <v>81</v>
      </c>
      <c r="H10" s="576"/>
      <c r="I10" s="12" t="s">
        <v>72</v>
      </c>
      <c r="J10" s="24"/>
    </row>
    <row r="11" spans="1:14" ht="12.75" customHeight="1">
      <c r="A11" s="11"/>
      <c r="B11" s="110" t="s">
        <v>54</v>
      </c>
      <c r="C11" s="245">
        <v>9</v>
      </c>
      <c r="D11" s="771">
        <v>14</v>
      </c>
      <c r="E11" s="771">
        <v>18</v>
      </c>
      <c r="F11" s="772"/>
      <c r="G11" s="245">
        <f t="shared" si="0"/>
        <v>41</v>
      </c>
      <c r="H11" s="577"/>
      <c r="I11" s="110" t="s">
        <v>54</v>
      </c>
      <c r="J11" s="24"/>
      <c r="K11" s="2"/>
      <c r="L11" s="2"/>
      <c r="M11" s="27"/>
      <c r="N11" s="2"/>
    </row>
    <row r="12" spans="1:10" ht="12.75" customHeight="1">
      <c r="A12" s="11"/>
      <c r="B12" s="13" t="s">
        <v>56</v>
      </c>
      <c r="C12" s="247">
        <v>14</v>
      </c>
      <c r="D12" s="773">
        <v>25</v>
      </c>
      <c r="E12" s="773">
        <v>20</v>
      </c>
      <c r="F12" s="774"/>
      <c r="G12" s="247">
        <f t="shared" si="0"/>
        <v>59</v>
      </c>
      <c r="H12" s="578"/>
      <c r="I12" s="13" t="s">
        <v>56</v>
      </c>
      <c r="J12" s="24"/>
    </row>
    <row r="13" spans="1:10" ht="12.75" customHeight="1">
      <c r="A13" s="11"/>
      <c r="B13" s="110" t="s">
        <v>67</v>
      </c>
      <c r="C13" s="245">
        <v>29</v>
      </c>
      <c r="D13" s="771">
        <v>41</v>
      </c>
      <c r="E13" s="771">
        <v>23</v>
      </c>
      <c r="F13" s="772">
        <v>7</v>
      </c>
      <c r="G13" s="245">
        <f t="shared" si="0"/>
        <v>100</v>
      </c>
      <c r="H13" s="577"/>
      <c r="I13" s="110" t="s">
        <v>67</v>
      </c>
      <c r="J13" s="24"/>
    </row>
    <row r="14" spans="1:10" ht="12.75" customHeight="1">
      <c r="A14" s="11"/>
      <c r="B14" s="13" t="s">
        <v>73</v>
      </c>
      <c r="C14" s="247">
        <v>49</v>
      </c>
      <c r="D14" s="773">
        <v>329</v>
      </c>
      <c r="E14" s="773">
        <v>196</v>
      </c>
      <c r="F14" s="774">
        <v>96</v>
      </c>
      <c r="G14" s="247">
        <f t="shared" si="0"/>
        <v>670</v>
      </c>
      <c r="H14" s="578"/>
      <c r="I14" s="13" t="s">
        <v>73</v>
      </c>
      <c r="J14" s="24"/>
    </row>
    <row r="15" spans="1:10" ht="12.75" customHeight="1">
      <c r="A15" s="11"/>
      <c r="B15" s="110" t="s">
        <v>57</v>
      </c>
      <c r="C15" s="245">
        <v>4</v>
      </c>
      <c r="D15" s="771">
        <v>6</v>
      </c>
      <c r="E15" s="771"/>
      <c r="F15" s="772"/>
      <c r="G15" s="245">
        <f t="shared" si="0"/>
        <v>10</v>
      </c>
      <c r="H15" s="577"/>
      <c r="I15" s="110" t="s">
        <v>57</v>
      </c>
      <c r="J15" s="24"/>
    </row>
    <row r="16" spans="1:10" ht="12.75" customHeight="1">
      <c r="A16" s="11"/>
      <c r="B16" s="13" t="s">
        <v>76</v>
      </c>
      <c r="C16" s="247">
        <v>3</v>
      </c>
      <c r="D16" s="773">
        <v>31</v>
      </c>
      <c r="E16" s="773">
        <v>289</v>
      </c>
      <c r="F16" s="774">
        <v>8</v>
      </c>
      <c r="G16" s="247">
        <f t="shared" si="0"/>
        <v>331</v>
      </c>
      <c r="H16" s="578"/>
      <c r="I16" s="13" t="s">
        <v>76</v>
      </c>
      <c r="J16" s="24"/>
    </row>
    <row r="17" spans="1:10" ht="12.75" customHeight="1">
      <c r="A17" s="11"/>
      <c r="B17" s="110" t="s">
        <v>68</v>
      </c>
      <c r="C17" s="245">
        <v>12</v>
      </c>
      <c r="D17" s="771">
        <v>23</v>
      </c>
      <c r="E17" s="771">
        <v>34</v>
      </c>
      <c r="F17" s="772">
        <v>4</v>
      </c>
      <c r="G17" s="245">
        <f t="shared" si="0"/>
        <v>73</v>
      </c>
      <c r="H17" s="577"/>
      <c r="I17" s="110" t="s">
        <v>68</v>
      </c>
      <c r="J17" s="24"/>
    </row>
    <row r="18" spans="1:10" ht="12.75" customHeight="1">
      <c r="A18" s="11"/>
      <c r="B18" s="13" t="s">
        <v>74</v>
      </c>
      <c r="C18" s="247">
        <v>40</v>
      </c>
      <c r="D18" s="773">
        <v>92</v>
      </c>
      <c r="E18" s="773">
        <v>155</v>
      </c>
      <c r="F18" s="774">
        <v>50</v>
      </c>
      <c r="G18" s="247">
        <f t="shared" si="0"/>
        <v>337</v>
      </c>
      <c r="H18" s="578"/>
      <c r="I18" s="13" t="s">
        <v>74</v>
      </c>
      <c r="J18" s="24"/>
    </row>
    <row r="19" spans="1:10" ht="12.75" customHeight="1">
      <c r="A19" s="11"/>
      <c r="B19" s="110" t="s">
        <v>75</v>
      </c>
      <c r="C19" s="245">
        <v>92</v>
      </c>
      <c r="D19" s="771">
        <v>129</v>
      </c>
      <c r="E19" s="771">
        <v>121</v>
      </c>
      <c r="F19" s="772">
        <v>99</v>
      </c>
      <c r="G19" s="245">
        <f t="shared" si="0"/>
        <v>441</v>
      </c>
      <c r="H19" s="577"/>
      <c r="I19" s="110" t="s">
        <v>75</v>
      </c>
      <c r="J19" s="24"/>
    </row>
    <row r="20" spans="1:10" ht="12.75" customHeight="1">
      <c r="A20" s="11"/>
      <c r="B20" s="13" t="s">
        <v>77</v>
      </c>
      <c r="C20" s="247">
        <v>10</v>
      </c>
      <c r="D20" s="773">
        <v>85</v>
      </c>
      <c r="E20" s="773">
        <v>157</v>
      </c>
      <c r="F20" s="774">
        <v>21</v>
      </c>
      <c r="G20" s="247">
        <f t="shared" si="0"/>
        <v>273</v>
      </c>
      <c r="H20" s="578"/>
      <c r="I20" s="13" t="s">
        <v>77</v>
      </c>
      <c r="J20" s="24"/>
    </row>
    <row r="21" spans="1:10" ht="12.75" customHeight="1">
      <c r="A21" s="11"/>
      <c r="B21" s="110" t="s">
        <v>55</v>
      </c>
      <c r="C21" s="245"/>
      <c r="D21" s="771">
        <v>3</v>
      </c>
      <c r="E21" s="771">
        <v>7</v>
      </c>
      <c r="F21" s="772">
        <v>2</v>
      </c>
      <c r="G21" s="245">
        <f t="shared" si="0"/>
        <v>12</v>
      </c>
      <c r="H21" s="577"/>
      <c r="I21" s="110" t="s">
        <v>55</v>
      </c>
      <c r="J21" s="24"/>
    </row>
    <row r="22" spans="1:10" ht="12.75" customHeight="1">
      <c r="A22" s="11"/>
      <c r="B22" s="13" t="s">
        <v>59</v>
      </c>
      <c r="C22" s="247">
        <v>6</v>
      </c>
      <c r="D22" s="773">
        <v>30</v>
      </c>
      <c r="E22" s="773">
        <v>7</v>
      </c>
      <c r="F22" s="774"/>
      <c r="G22" s="247">
        <f t="shared" si="0"/>
        <v>43</v>
      </c>
      <c r="H22" s="578"/>
      <c r="I22" s="13" t="s">
        <v>59</v>
      </c>
      <c r="J22" s="24"/>
    </row>
    <row r="23" spans="1:10" ht="12.75" customHeight="1">
      <c r="A23" s="11"/>
      <c r="B23" s="110" t="s">
        <v>60</v>
      </c>
      <c r="C23" s="245">
        <v>8</v>
      </c>
      <c r="D23" s="771">
        <v>5</v>
      </c>
      <c r="E23" s="771"/>
      <c r="F23" s="772"/>
      <c r="G23" s="245">
        <f t="shared" si="0"/>
        <v>13</v>
      </c>
      <c r="H23" s="577"/>
      <c r="I23" s="110" t="s">
        <v>60</v>
      </c>
      <c r="J23" s="24"/>
    </row>
    <row r="24" spans="1:10" ht="12.75" customHeight="1">
      <c r="A24" s="11"/>
      <c r="B24" s="13" t="s">
        <v>78</v>
      </c>
      <c r="C24" s="247">
        <v>8</v>
      </c>
      <c r="D24" s="773">
        <v>7</v>
      </c>
      <c r="E24" s="773">
        <v>1</v>
      </c>
      <c r="F24" s="774"/>
      <c r="G24" s="247">
        <f t="shared" si="0"/>
        <v>16</v>
      </c>
      <c r="H24" s="578"/>
      <c r="I24" s="13" t="s">
        <v>78</v>
      </c>
      <c r="J24" s="24"/>
    </row>
    <row r="25" spans="1:10" ht="12.75" customHeight="1">
      <c r="A25" s="11"/>
      <c r="B25" s="110" t="s">
        <v>58</v>
      </c>
      <c r="C25" s="245">
        <v>7</v>
      </c>
      <c r="D25" s="771">
        <v>17</v>
      </c>
      <c r="E25" s="771">
        <v>35</v>
      </c>
      <c r="F25" s="772"/>
      <c r="G25" s="245">
        <f t="shared" si="0"/>
        <v>59</v>
      </c>
      <c r="H25" s="577"/>
      <c r="I25" s="110" t="s">
        <v>58</v>
      </c>
      <c r="J25" s="24"/>
    </row>
    <row r="26" spans="1:10" ht="12.75" customHeight="1">
      <c r="A26" s="11"/>
      <c r="B26" s="13" t="s">
        <v>61</v>
      </c>
      <c r="C26" s="247">
        <v>9</v>
      </c>
      <c r="D26" s="773">
        <v>5</v>
      </c>
      <c r="E26" s="773">
        <v>6</v>
      </c>
      <c r="F26" s="774"/>
      <c r="G26" s="247">
        <f t="shared" si="0"/>
        <v>20</v>
      </c>
      <c r="H26" s="578"/>
      <c r="I26" s="13" t="s">
        <v>61</v>
      </c>
      <c r="J26" s="24"/>
    </row>
    <row r="27" spans="1:10" ht="12.75" customHeight="1">
      <c r="A27" s="11"/>
      <c r="B27" s="111" t="s">
        <v>69</v>
      </c>
      <c r="C27" s="245">
        <v>1</v>
      </c>
      <c r="D27" s="771">
        <v>78</v>
      </c>
      <c r="E27" s="771">
        <v>51</v>
      </c>
      <c r="F27" s="772">
        <v>41</v>
      </c>
      <c r="G27" s="245">
        <f t="shared" si="0"/>
        <v>171</v>
      </c>
      <c r="H27" s="577"/>
      <c r="I27" s="111" t="s">
        <v>69</v>
      </c>
      <c r="J27" s="24"/>
    </row>
    <row r="28" spans="1:10" ht="12.75" customHeight="1">
      <c r="A28" s="11"/>
      <c r="B28" s="13" t="s">
        <v>79</v>
      </c>
      <c r="C28" s="247">
        <v>12</v>
      </c>
      <c r="D28" s="773">
        <v>56</v>
      </c>
      <c r="E28" s="773">
        <v>34</v>
      </c>
      <c r="F28" s="774">
        <v>7</v>
      </c>
      <c r="G28" s="247">
        <f t="shared" si="0"/>
        <v>109</v>
      </c>
      <c r="H28" s="578"/>
      <c r="I28" s="13" t="s">
        <v>79</v>
      </c>
      <c r="J28" s="24"/>
    </row>
    <row r="29" spans="1:10" ht="12.75" customHeight="1">
      <c r="A29" s="11"/>
      <c r="B29" s="110" t="s">
        <v>62</v>
      </c>
      <c r="C29" s="245">
        <v>14</v>
      </c>
      <c r="D29" s="771">
        <v>40</v>
      </c>
      <c r="E29" s="771">
        <v>12</v>
      </c>
      <c r="F29" s="772">
        <v>1</v>
      </c>
      <c r="G29" s="245">
        <f t="shared" si="0"/>
        <v>67</v>
      </c>
      <c r="H29" s="577"/>
      <c r="I29" s="110" t="s">
        <v>62</v>
      </c>
      <c r="J29" s="24"/>
    </row>
    <row r="30" spans="1:10" ht="12.75" customHeight="1">
      <c r="A30" s="11"/>
      <c r="B30" s="13" t="s">
        <v>80</v>
      </c>
      <c r="C30" s="247">
        <v>19</v>
      </c>
      <c r="D30" s="773">
        <v>25</v>
      </c>
      <c r="E30" s="773">
        <v>12</v>
      </c>
      <c r="F30" s="774"/>
      <c r="G30" s="247">
        <f t="shared" si="0"/>
        <v>56</v>
      </c>
      <c r="H30" s="578"/>
      <c r="I30" s="13" t="s">
        <v>80</v>
      </c>
      <c r="J30" s="24"/>
    </row>
    <row r="31" spans="1:14" ht="12.75" customHeight="1">
      <c r="A31" s="11"/>
      <c r="B31" s="110" t="s">
        <v>63</v>
      </c>
      <c r="C31" s="245">
        <v>12</v>
      </c>
      <c r="D31" s="771">
        <v>30</v>
      </c>
      <c r="E31" s="771">
        <v>34</v>
      </c>
      <c r="F31" s="772">
        <v>19</v>
      </c>
      <c r="G31" s="245">
        <f t="shared" si="0"/>
        <v>95</v>
      </c>
      <c r="H31" s="577"/>
      <c r="I31" s="110" t="s">
        <v>63</v>
      </c>
      <c r="J31" s="24"/>
      <c r="K31" s="2"/>
      <c r="L31" s="2"/>
      <c r="M31" s="27"/>
      <c r="N31" s="2"/>
    </row>
    <row r="32" spans="1:10" ht="12.75" customHeight="1">
      <c r="A32" s="11"/>
      <c r="B32" s="13" t="s">
        <v>65</v>
      </c>
      <c r="C32" s="247">
        <v>7</v>
      </c>
      <c r="D32" s="773">
        <v>6</v>
      </c>
      <c r="E32" s="773"/>
      <c r="F32" s="774"/>
      <c r="G32" s="247">
        <f t="shared" si="0"/>
        <v>13</v>
      </c>
      <c r="H32" s="578"/>
      <c r="I32" s="13" t="s">
        <v>65</v>
      </c>
      <c r="J32" s="24"/>
    </row>
    <row r="33" spans="1:10" ht="12.75" customHeight="1">
      <c r="A33" s="11"/>
      <c r="B33" s="110" t="s">
        <v>64</v>
      </c>
      <c r="C33" s="245">
        <v>2</v>
      </c>
      <c r="D33" s="771">
        <v>4</v>
      </c>
      <c r="E33" s="771">
        <v>3</v>
      </c>
      <c r="F33" s="772"/>
      <c r="G33" s="245">
        <f t="shared" si="0"/>
        <v>9</v>
      </c>
      <c r="H33" s="577"/>
      <c r="I33" s="110" t="s">
        <v>64</v>
      </c>
      <c r="J33" s="24"/>
    </row>
    <row r="34" spans="1:10" ht="12.75" customHeight="1">
      <c r="A34" s="11"/>
      <c r="B34" s="13" t="s">
        <v>81</v>
      </c>
      <c r="C34" s="247">
        <v>7</v>
      </c>
      <c r="D34" s="773">
        <v>60</v>
      </c>
      <c r="E34" s="773">
        <v>13</v>
      </c>
      <c r="F34" s="774">
        <v>14</v>
      </c>
      <c r="G34" s="247">
        <f t="shared" si="0"/>
        <v>94</v>
      </c>
      <c r="H34" s="578"/>
      <c r="I34" s="13" t="s">
        <v>81</v>
      </c>
      <c r="J34" s="24"/>
    </row>
    <row r="35" spans="1:10" ht="12.75" customHeight="1">
      <c r="A35" s="11"/>
      <c r="B35" s="110" t="s">
        <v>82</v>
      </c>
      <c r="C35" s="245">
        <v>50</v>
      </c>
      <c r="D35" s="771">
        <v>36</v>
      </c>
      <c r="E35" s="771">
        <v>12</v>
      </c>
      <c r="F35" s="772">
        <v>5</v>
      </c>
      <c r="G35" s="245">
        <f t="shared" si="0"/>
        <v>103</v>
      </c>
      <c r="H35" s="577"/>
      <c r="I35" s="110" t="s">
        <v>82</v>
      </c>
      <c r="J35" s="24"/>
    </row>
    <row r="36" spans="1:14" ht="12.75" customHeight="1">
      <c r="A36" s="11"/>
      <c r="B36" s="14" t="s">
        <v>70</v>
      </c>
      <c r="C36" s="246">
        <v>99</v>
      </c>
      <c r="D36" s="775">
        <v>246</v>
      </c>
      <c r="E36" s="775">
        <v>331</v>
      </c>
      <c r="F36" s="776">
        <v>133</v>
      </c>
      <c r="G36" s="246">
        <f t="shared" si="0"/>
        <v>809</v>
      </c>
      <c r="H36" s="579"/>
      <c r="I36" s="14" t="s">
        <v>70</v>
      </c>
      <c r="J36" s="24"/>
      <c r="K36" s="2"/>
      <c r="L36" s="2"/>
      <c r="M36" s="27"/>
      <c r="N36" s="2"/>
    </row>
    <row r="37" spans="1:14" ht="12.75" customHeight="1">
      <c r="A37" s="11"/>
      <c r="B37" s="110" t="s">
        <v>86</v>
      </c>
      <c r="C37" s="245">
        <v>2</v>
      </c>
      <c r="D37" s="771">
        <v>11</v>
      </c>
      <c r="E37" s="771">
        <v>6</v>
      </c>
      <c r="F37" s="772"/>
      <c r="G37" s="245">
        <f t="shared" si="0"/>
        <v>19</v>
      </c>
      <c r="H37" s="577"/>
      <c r="I37" s="110" t="s">
        <v>86</v>
      </c>
      <c r="J37" s="24"/>
      <c r="K37" s="2"/>
      <c r="L37" s="2"/>
      <c r="M37" s="27"/>
      <c r="N37" s="2"/>
    </row>
    <row r="38" spans="1:14" ht="12.75" customHeight="1">
      <c r="A38" s="11"/>
      <c r="B38" s="13" t="s">
        <v>1</v>
      </c>
      <c r="C38" s="247"/>
      <c r="D38" s="773">
        <v>3</v>
      </c>
      <c r="E38" s="773">
        <v>2</v>
      </c>
      <c r="F38" s="774"/>
      <c r="G38" s="247">
        <f t="shared" si="0"/>
        <v>5</v>
      </c>
      <c r="H38" s="578"/>
      <c r="I38" s="13" t="s">
        <v>1</v>
      </c>
      <c r="J38" s="24"/>
      <c r="K38" s="2"/>
      <c r="L38" s="2"/>
      <c r="M38" s="27"/>
      <c r="N38" s="2"/>
    </row>
    <row r="39" spans="1:14" ht="12.75" customHeight="1">
      <c r="A39" s="11"/>
      <c r="B39" s="112" t="s">
        <v>66</v>
      </c>
      <c r="C39" s="248"/>
      <c r="D39" s="777">
        <v>61</v>
      </c>
      <c r="E39" s="777">
        <v>201</v>
      </c>
      <c r="F39" s="778">
        <v>22</v>
      </c>
      <c r="G39" s="248">
        <f>SUM(C39:F39)</f>
        <v>284</v>
      </c>
      <c r="H39" s="581"/>
      <c r="I39" s="112" t="s">
        <v>66</v>
      </c>
      <c r="J39" s="24"/>
      <c r="K39" s="2"/>
      <c r="L39" s="2"/>
      <c r="M39" s="27"/>
      <c r="N39" s="2"/>
    </row>
    <row r="40" spans="1:14" ht="12.75" customHeight="1">
      <c r="A40" s="11"/>
      <c r="B40" s="12" t="s">
        <v>52</v>
      </c>
      <c r="C40" s="247">
        <v>12</v>
      </c>
      <c r="D40" s="773">
        <v>2</v>
      </c>
      <c r="E40" s="773">
        <v>12</v>
      </c>
      <c r="F40" s="774"/>
      <c r="G40" s="247">
        <f>SUM(C40:F40)</f>
        <v>26</v>
      </c>
      <c r="H40" s="578"/>
      <c r="I40" s="12" t="s">
        <v>52</v>
      </c>
      <c r="J40" s="24"/>
      <c r="K40" s="2"/>
      <c r="L40" s="2"/>
      <c r="M40" s="27"/>
      <c r="N40" s="2"/>
    </row>
    <row r="41" spans="1:14" ht="12.75" customHeight="1">
      <c r="A41" s="11"/>
      <c r="B41" s="110" t="s">
        <v>83</v>
      </c>
      <c r="C41" s="245">
        <v>32</v>
      </c>
      <c r="D41" s="771">
        <v>101</v>
      </c>
      <c r="E41" s="771">
        <v>48</v>
      </c>
      <c r="F41" s="772">
        <v>3</v>
      </c>
      <c r="G41" s="245">
        <f>SUM(C41:F41)</f>
        <v>184</v>
      </c>
      <c r="H41" s="577"/>
      <c r="I41" s="110" t="s">
        <v>83</v>
      </c>
      <c r="J41" s="24"/>
      <c r="K41" s="2"/>
      <c r="L41" s="2"/>
      <c r="M41" s="27"/>
      <c r="N41" s="2"/>
    </row>
    <row r="42" spans="1:14" ht="12.75" customHeight="1">
      <c r="A42" s="11"/>
      <c r="B42" s="13" t="s">
        <v>53</v>
      </c>
      <c r="C42" s="247">
        <v>19</v>
      </c>
      <c r="D42" s="773">
        <v>62</v>
      </c>
      <c r="E42" s="773">
        <v>63</v>
      </c>
      <c r="F42" s="774">
        <v>5</v>
      </c>
      <c r="G42" s="247">
        <f>SUM(C42:F42)</f>
        <v>149</v>
      </c>
      <c r="H42" s="578"/>
      <c r="I42" s="13" t="s">
        <v>53</v>
      </c>
      <c r="J42" s="24"/>
      <c r="K42" s="2"/>
      <c r="L42" s="2"/>
      <c r="M42" s="27"/>
      <c r="N42" s="2"/>
    </row>
    <row r="43" spans="2:15" ht="15.75" customHeight="1">
      <c r="B43" s="112" t="s">
        <v>94</v>
      </c>
      <c r="C43" s="580"/>
      <c r="D43" s="582"/>
      <c r="E43" s="582"/>
      <c r="F43" s="581"/>
      <c r="G43" s="248">
        <f>SUM(C43:F43)</f>
        <v>0</v>
      </c>
      <c r="H43" s="581"/>
      <c r="I43" s="112" t="s">
        <v>94</v>
      </c>
      <c r="J43" s="18"/>
      <c r="K43" s="18"/>
      <c r="L43" s="18"/>
      <c r="M43" s="18"/>
      <c r="N43" s="18"/>
      <c r="O43" s="43"/>
    </row>
    <row r="44" spans="2:15" ht="11.25" customHeight="1">
      <c r="B44" s="921" t="s">
        <v>146</v>
      </c>
      <c r="C44" s="921"/>
      <c r="D44" s="921"/>
      <c r="E44" s="921"/>
      <c r="F44" s="921"/>
      <c r="G44" s="921"/>
      <c r="H44" s="921"/>
      <c r="I44" s="921"/>
      <c r="J44" s="15"/>
      <c r="K44" s="15"/>
      <c r="L44" s="15"/>
      <c r="M44" s="15"/>
      <c r="N44" s="15"/>
      <c r="O44" s="15"/>
    </row>
    <row r="45" spans="2:3" ht="12.75" customHeight="1">
      <c r="B45" s="922" t="s">
        <v>0</v>
      </c>
      <c r="C45" s="922"/>
    </row>
    <row r="46" spans="2:8" ht="12.75" customHeight="1">
      <c r="B46" s="908" t="s">
        <v>90</v>
      </c>
      <c r="C46" s="908"/>
      <c r="D46" s="908"/>
      <c r="E46" s="908"/>
      <c r="F46" s="908"/>
      <c r="G46" s="908"/>
      <c r="H46" s="15"/>
    </row>
    <row r="47" spans="2:8" ht="11.25">
      <c r="B47" s="125" t="s">
        <v>153</v>
      </c>
      <c r="C47" s="125"/>
      <c r="D47" s="125"/>
      <c r="E47" s="125"/>
      <c r="F47" s="125"/>
      <c r="G47" s="125"/>
      <c r="H47" s="125"/>
    </row>
  </sheetData>
  <mergeCells count="8">
    <mergeCell ref="B46:G46"/>
    <mergeCell ref="B2:I2"/>
    <mergeCell ref="B3:I3"/>
    <mergeCell ref="B4:I4"/>
    <mergeCell ref="G6:H6"/>
    <mergeCell ref="C5:H5"/>
    <mergeCell ref="B44:I44"/>
    <mergeCell ref="B45:C45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44"/>
  <dimension ref="A1:R49"/>
  <sheetViews>
    <sheetView workbookViewId="0" topLeftCell="A1">
      <selection activeCell="A1" sqref="A1:IV16384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7" width="10.7109375" style="4" customWidth="1"/>
    <col min="8" max="8" width="1.7109375" style="4" customWidth="1"/>
    <col min="9" max="9" width="4.00390625" style="4" customWidth="1"/>
    <col min="10" max="11" width="4.7109375" style="4" customWidth="1"/>
    <col min="12" max="12" width="4.7109375" style="28" customWidth="1"/>
    <col min="13" max="23" width="4.7109375" style="4" customWidth="1"/>
    <col min="24" max="16384" width="9.140625" style="4" customWidth="1"/>
  </cols>
  <sheetData>
    <row r="1" spans="2:9" ht="14.25" customHeight="1">
      <c r="B1" s="2"/>
      <c r="C1" s="2"/>
      <c r="D1" s="2"/>
      <c r="E1" s="2"/>
      <c r="F1" s="2"/>
      <c r="I1" s="22" t="s">
        <v>222</v>
      </c>
    </row>
    <row r="2" spans="2:12" s="125" customFormat="1" ht="30" customHeight="1">
      <c r="B2" s="881" t="s">
        <v>202</v>
      </c>
      <c r="C2" s="881"/>
      <c r="D2" s="881"/>
      <c r="E2" s="881"/>
      <c r="F2" s="881"/>
      <c r="G2" s="881"/>
      <c r="H2" s="881"/>
      <c r="I2" s="881"/>
      <c r="L2" s="263"/>
    </row>
    <row r="3" spans="2:18" s="268" customFormat="1" ht="15" customHeight="1">
      <c r="B3" s="930" t="s">
        <v>120</v>
      </c>
      <c r="C3" s="930"/>
      <c r="D3" s="930"/>
      <c r="E3" s="930"/>
      <c r="F3" s="930"/>
      <c r="G3" s="930"/>
      <c r="H3" s="930"/>
      <c r="I3" s="930"/>
      <c r="L3" s="273"/>
      <c r="M3" s="272"/>
      <c r="N3" s="272"/>
      <c r="O3" s="272"/>
      <c r="P3" s="272"/>
      <c r="Q3" s="272"/>
      <c r="R3" s="272"/>
    </row>
    <row r="4" spans="2:9" ht="12.75" customHeight="1">
      <c r="B4" s="931" t="s">
        <v>242</v>
      </c>
      <c r="C4" s="932"/>
      <c r="D4" s="932"/>
      <c r="E4" s="932"/>
      <c r="F4" s="932"/>
      <c r="G4" s="932"/>
      <c r="H4" s="932"/>
      <c r="I4" s="932"/>
    </row>
    <row r="5" spans="2:9" ht="36" customHeight="1">
      <c r="B5" s="34"/>
      <c r="C5" s="928" t="s">
        <v>47</v>
      </c>
      <c r="D5" s="929"/>
      <c r="E5" s="311" t="s">
        <v>48</v>
      </c>
      <c r="F5" s="927" t="s">
        <v>49</v>
      </c>
      <c r="G5" s="928" t="s">
        <v>50</v>
      </c>
      <c r="H5" s="929"/>
      <c r="I5" s="34"/>
    </row>
    <row r="6" spans="2:9" ht="22.5" customHeight="1">
      <c r="B6" s="34"/>
      <c r="C6" s="325" t="s">
        <v>134</v>
      </c>
      <c r="D6" s="323" t="s">
        <v>135</v>
      </c>
      <c r="E6" s="324" t="s">
        <v>136</v>
      </c>
      <c r="F6" s="899"/>
      <c r="G6" s="933"/>
      <c r="H6" s="934"/>
      <c r="I6" s="33"/>
    </row>
    <row r="7" spans="2:9" ht="10.5" customHeight="1">
      <c r="B7" s="34"/>
      <c r="C7" s="312" t="s">
        <v>137</v>
      </c>
      <c r="D7" s="313" t="s">
        <v>137</v>
      </c>
      <c r="E7" s="314" t="s">
        <v>138</v>
      </c>
      <c r="F7" s="326"/>
      <c r="G7" s="923"/>
      <c r="H7" s="924"/>
      <c r="I7" s="33"/>
    </row>
    <row r="8" spans="2:12" ht="12.75" customHeight="1">
      <c r="B8" s="113" t="s">
        <v>40</v>
      </c>
      <c r="C8" s="243">
        <f>SUM(C11:C37)</f>
        <v>185</v>
      </c>
      <c r="D8" s="765">
        <f>SUM(D11:D37)</f>
        <v>173</v>
      </c>
      <c r="E8" s="779">
        <f>SUM(E11:E37)</f>
        <v>65</v>
      </c>
      <c r="F8" s="765">
        <f>SUM(F11:F37)</f>
        <v>87</v>
      </c>
      <c r="G8" s="249">
        <f>SUM(G11:G37)</f>
        <v>2057</v>
      </c>
      <c r="H8" s="765"/>
      <c r="I8" s="113" t="s">
        <v>40</v>
      </c>
      <c r="K8" s="316"/>
      <c r="L8" s="316"/>
    </row>
    <row r="9" spans="2:13" ht="12.75" customHeight="1">
      <c r="B9" s="110" t="s">
        <v>71</v>
      </c>
      <c r="C9" s="244">
        <f>SUM(C11,C14:C15,C17:C21,C25,C28:C29,C31,C35:C37)</f>
        <v>144</v>
      </c>
      <c r="D9" s="766">
        <f>SUM(D11,D14:D15,D17:D21,D25,D28:D29,D31,D35:D37)</f>
        <v>167</v>
      </c>
      <c r="E9" s="780">
        <f>SUM(E11,E14:E15,E17:E21,E25,E28:E29,E31,E35:E37)</f>
        <v>60</v>
      </c>
      <c r="F9" s="766">
        <f>SUM(F11,F14:F15,F17:F21,F25,F28:F29,F31,F35:F37)</f>
        <v>83</v>
      </c>
      <c r="G9" s="250">
        <f>SUM(G11,G14:G15,G17:G21,G25,G28:G29,G31,G35:G37)</f>
        <v>1739</v>
      </c>
      <c r="H9" s="766"/>
      <c r="I9" s="110" t="s">
        <v>71</v>
      </c>
      <c r="J9" s="57"/>
      <c r="K9" s="57"/>
      <c r="L9" s="57"/>
      <c r="M9" s="33"/>
    </row>
    <row r="10" spans="2:13" ht="12.75" customHeight="1">
      <c r="B10" s="112" t="s">
        <v>131</v>
      </c>
      <c r="C10" s="251">
        <f>SUM(C12,C13,C16,C22,C23,C24,C26,C27,C30,C32,C33,C34)</f>
        <v>41</v>
      </c>
      <c r="D10" s="768">
        <f>SUM(D12,D13,D16,D22,D23,D24,D26,D27,D30,D32,D33,D34)</f>
        <v>6</v>
      </c>
      <c r="E10" s="768">
        <f>SUM(E12,E13,E16,E22,E23,E24,E26,E27,E30,E32,E33,E34)</f>
        <v>5</v>
      </c>
      <c r="F10" s="768">
        <f>SUM(F12,F13,F16,F22,F23,F24,F26,F27,F30,F32,F33,F34)</f>
        <v>4</v>
      </c>
      <c r="G10" s="251">
        <f>SUM(G12,G13,G16,G22,G23,G24,G26,G27,G30,G32,G33,G34)</f>
        <v>318</v>
      </c>
      <c r="H10" s="768"/>
      <c r="I10" s="112" t="s">
        <v>131</v>
      </c>
      <c r="J10" s="57"/>
      <c r="K10" s="57"/>
      <c r="L10" s="57"/>
      <c r="M10" s="33"/>
    </row>
    <row r="11" spans="1:9" ht="12.75" customHeight="1">
      <c r="A11" s="11"/>
      <c r="B11" s="12" t="s">
        <v>72</v>
      </c>
      <c r="C11" s="769">
        <v>12</v>
      </c>
      <c r="D11" s="770">
        <v>12</v>
      </c>
      <c r="E11" s="781">
        <v>4</v>
      </c>
      <c r="F11" s="781">
        <v>1</v>
      </c>
      <c r="G11" s="252">
        <v>59</v>
      </c>
      <c r="H11" s="770"/>
      <c r="I11" s="12" t="s">
        <v>72</v>
      </c>
    </row>
    <row r="12" spans="1:13" ht="12.75" customHeight="1">
      <c r="A12" s="11"/>
      <c r="B12" s="110" t="s">
        <v>54</v>
      </c>
      <c r="C12" s="245">
        <v>1</v>
      </c>
      <c r="D12" s="772">
        <v>2</v>
      </c>
      <c r="E12" s="782">
        <v>1</v>
      </c>
      <c r="F12" s="782"/>
      <c r="G12" s="245">
        <v>19</v>
      </c>
      <c r="H12" s="772"/>
      <c r="I12" s="110" t="s">
        <v>54</v>
      </c>
      <c r="J12" s="2"/>
      <c r="K12" s="2"/>
      <c r="L12" s="27"/>
      <c r="M12" s="2"/>
    </row>
    <row r="13" spans="1:9" ht="12.75" customHeight="1">
      <c r="A13" s="11"/>
      <c r="B13" s="13" t="s">
        <v>56</v>
      </c>
      <c r="C13" s="773">
        <v>3</v>
      </c>
      <c r="D13" s="774"/>
      <c r="E13" s="783"/>
      <c r="F13" s="783"/>
      <c r="G13" s="247">
        <v>24</v>
      </c>
      <c r="H13" s="774"/>
      <c r="I13" s="13" t="s">
        <v>56</v>
      </c>
    </row>
    <row r="14" spans="1:9" ht="12.75" customHeight="1">
      <c r="A14" s="11"/>
      <c r="B14" s="110" t="s">
        <v>67</v>
      </c>
      <c r="C14" s="771">
        <v>3</v>
      </c>
      <c r="D14" s="772">
        <v>11</v>
      </c>
      <c r="E14" s="782">
        <v>8</v>
      </c>
      <c r="F14" s="782"/>
      <c r="G14" s="245">
        <v>70</v>
      </c>
      <c r="H14" s="772"/>
      <c r="I14" s="110" t="s">
        <v>67</v>
      </c>
    </row>
    <row r="15" spans="1:9" ht="12.75" customHeight="1">
      <c r="A15" s="11"/>
      <c r="B15" s="13" t="s">
        <v>73</v>
      </c>
      <c r="C15" s="773">
        <v>14</v>
      </c>
      <c r="D15" s="774">
        <v>54</v>
      </c>
      <c r="E15" s="783"/>
      <c r="F15" s="783">
        <v>26</v>
      </c>
      <c r="G15" s="247">
        <v>361</v>
      </c>
      <c r="H15" s="774"/>
      <c r="I15" s="13" t="s">
        <v>73</v>
      </c>
    </row>
    <row r="16" spans="1:9" ht="12.75" customHeight="1">
      <c r="A16" s="11"/>
      <c r="B16" s="110" t="s">
        <v>57</v>
      </c>
      <c r="C16" s="771">
        <v>1</v>
      </c>
      <c r="D16" s="772"/>
      <c r="E16" s="782"/>
      <c r="F16" s="782"/>
      <c r="G16" s="245">
        <v>9</v>
      </c>
      <c r="H16" s="772"/>
      <c r="I16" s="110" t="s">
        <v>57</v>
      </c>
    </row>
    <row r="17" spans="1:9" ht="12.75" customHeight="1">
      <c r="A17" s="11"/>
      <c r="B17" s="13" t="s">
        <v>76</v>
      </c>
      <c r="C17" s="773">
        <v>16</v>
      </c>
      <c r="D17" s="774">
        <v>2</v>
      </c>
      <c r="E17" s="783"/>
      <c r="F17" s="783"/>
      <c r="G17" s="247">
        <v>18</v>
      </c>
      <c r="H17" s="774"/>
      <c r="I17" s="13" t="s">
        <v>76</v>
      </c>
    </row>
    <row r="18" spans="1:9" ht="12.75" customHeight="1">
      <c r="A18" s="11"/>
      <c r="B18" s="110" t="s">
        <v>68</v>
      </c>
      <c r="C18" s="771">
        <v>5</v>
      </c>
      <c r="D18" s="772"/>
      <c r="E18" s="782"/>
      <c r="F18" s="782"/>
      <c r="G18" s="245">
        <v>43</v>
      </c>
      <c r="H18" s="772"/>
      <c r="I18" s="110" t="s">
        <v>68</v>
      </c>
    </row>
    <row r="19" spans="1:9" ht="12.75" customHeight="1">
      <c r="A19" s="11"/>
      <c r="B19" s="13" t="s">
        <v>74</v>
      </c>
      <c r="C19" s="773">
        <v>36</v>
      </c>
      <c r="D19" s="774">
        <v>11</v>
      </c>
      <c r="E19" s="783">
        <v>10</v>
      </c>
      <c r="F19" s="783">
        <v>10</v>
      </c>
      <c r="G19" s="247">
        <v>117</v>
      </c>
      <c r="H19" s="774"/>
      <c r="I19" s="13" t="s">
        <v>74</v>
      </c>
    </row>
    <row r="20" spans="1:9" ht="12.75" customHeight="1">
      <c r="A20" s="11"/>
      <c r="B20" s="110" t="s">
        <v>75</v>
      </c>
      <c r="C20" s="771">
        <v>1</v>
      </c>
      <c r="D20" s="772">
        <v>12</v>
      </c>
      <c r="E20" s="782">
        <v>17</v>
      </c>
      <c r="F20" s="782">
        <v>15</v>
      </c>
      <c r="G20" s="245">
        <v>112</v>
      </c>
      <c r="H20" s="772"/>
      <c r="I20" s="110" t="s">
        <v>75</v>
      </c>
    </row>
    <row r="21" spans="1:9" ht="12.75" customHeight="1">
      <c r="A21" s="11"/>
      <c r="B21" s="13" t="s">
        <v>77</v>
      </c>
      <c r="C21" s="773">
        <v>8</v>
      </c>
      <c r="D21" s="774">
        <v>4</v>
      </c>
      <c r="E21" s="783">
        <v>4</v>
      </c>
      <c r="F21" s="783">
        <v>4</v>
      </c>
      <c r="G21" s="247">
        <v>135</v>
      </c>
      <c r="H21" s="774"/>
      <c r="I21" s="13" t="s">
        <v>77</v>
      </c>
    </row>
    <row r="22" spans="1:9" ht="12.75" customHeight="1">
      <c r="A22" s="11"/>
      <c r="B22" s="110" t="s">
        <v>55</v>
      </c>
      <c r="C22" s="771"/>
      <c r="D22" s="772"/>
      <c r="E22" s="782"/>
      <c r="F22" s="782"/>
      <c r="G22" s="245">
        <v>8</v>
      </c>
      <c r="H22" s="772"/>
      <c r="I22" s="110" t="s">
        <v>55</v>
      </c>
    </row>
    <row r="23" spans="1:9" ht="12.75" customHeight="1">
      <c r="A23" s="11"/>
      <c r="B23" s="13" t="s">
        <v>59</v>
      </c>
      <c r="C23" s="773">
        <v>7</v>
      </c>
      <c r="D23" s="774">
        <v>2</v>
      </c>
      <c r="E23" s="783"/>
      <c r="F23" s="783"/>
      <c r="G23" s="247">
        <v>10</v>
      </c>
      <c r="H23" s="774"/>
      <c r="I23" s="13" t="s">
        <v>59</v>
      </c>
    </row>
    <row r="24" spans="1:9" ht="12.75" customHeight="1">
      <c r="A24" s="11"/>
      <c r="B24" s="110" t="s">
        <v>60</v>
      </c>
      <c r="C24" s="771">
        <v>6</v>
      </c>
      <c r="D24" s="772"/>
      <c r="E24" s="782"/>
      <c r="F24" s="782">
        <v>1</v>
      </c>
      <c r="G24" s="245">
        <v>2</v>
      </c>
      <c r="H24" s="772"/>
      <c r="I24" s="110" t="s">
        <v>60</v>
      </c>
    </row>
    <row r="25" spans="1:9" ht="12.75" customHeight="1">
      <c r="A25" s="11"/>
      <c r="B25" s="13" t="s">
        <v>78</v>
      </c>
      <c r="C25" s="773">
        <v>7</v>
      </c>
      <c r="D25" s="774">
        <v>15</v>
      </c>
      <c r="E25" s="783"/>
      <c r="F25" s="783">
        <v>4</v>
      </c>
      <c r="G25" s="247">
        <v>61</v>
      </c>
      <c r="H25" s="774"/>
      <c r="I25" s="13" t="s">
        <v>78</v>
      </c>
    </row>
    <row r="26" spans="1:9" ht="12.75" customHeight="1">
      <c r="A26" s="11"/>
      <c r="B26" s="110" t="s">
        <v>58</v>
      </c>
      <c r="C26" s="771">
        <v>8</v>
      </c>
      <c r="D26" s="772"/>
      <c r="E26" s="782">
        <v>1</v>
      </c>
      <c r="F26" s="782">
        <v>1</v>
      </c>
      <c r="G26" s="245">
        <v>8</v>
      </c>
      <c r="H26" s="772"/>
      <c r="I26" s="110" t="s">
        <v>58</v>
      </c>
    </row>
    <row r="27" spans="1:9" ht="12.75" customHeight="1">
      <c r="A27" s="11"/>
      <c r="B27" s="13" t="s">
        <v>61</v>
      </c>
      <c r="C27" s="773"/>
      <c r="D27" s="774"/>
      <c r="E27" s="783"/>
      <c r="F27" s="783"/>
      <c r="G27" s="247">
        <v>16</v>
      </c>
      <c r="H27" s="774"/>
      <c r="I27" s="13" t="s">
        <v>61</v>
      </c>
    </row>
    <row r="28" spans="1:9" ht="12.75" customHeight="1">
      <c r="A28" s="11"/>
      <c r="B28" s="111" t="s">
        <v>69</v>
      </c>
      <c r="C28" s="771"/>
      <c r="D28" s="772">
        <v>12</v>
      </c>
      <c r="E28" s="782"/>
      <c r="F28" s="782">
        <v>3</v>
      </c>
      <c r="G28" s="245">
        <v>42</v>
      </c>
      <c r="H28" s="772"/>
      <c r="I28" s="111" t="s">
        <v>69</v>
      </c>
    </row>
    <row r="29" spans="1:9" ht="12.75" customHeight="1">
      <c r="A29" s="11"/>
      <c r="B29" s="13" t="s">
        <v>79</v>
      </c>
      <c r="C29" s="773"/>
      <c r="D29" s="774"/>
      <c r="E29" s="783"/>
      <c r="F29" s="783">
        <v>3</v>
      </c>
      <c r="G29" s="247">
        <v>245</v>
      </c>
      <c r="H29" s="774"/>
      <c r="I29" s="13" t="s">
        <v>79</v>
      </c>
    </row>
    <row r="30" spans="1:9" ht="12.75" customHeight="1">
      <c r="A30" s="11"/>
      <c r="B30" s="110" t="s">
        <v>62</v>
      </c>
      <c r="C30" s="771">
        <v>12</v>
      </c>
      <c r="D30" s="772"/>
      <c r="E30" s="782">
        <v>1</v>
      </c>
      <c r="F30" s="782">
        <v>2</v>
      </c>
      <c r="G30" s="245">
        <v>14</v>
      </c>
      <c r="H30" s="772"/>
      <c r="I30" s="110" t="s">
        <v>62</v>
      </c>
    </row>
    <row r="31" spans="1:9" ht="12.75" customHeight="1">
      <c r="A31" s="11"/>
      <c r="B31" s="13" t="s">
        <v>80</v>
      </c>
      <c r="C31" s="773"/>
      <c r="D31" s="774"/>
      <c r="E31" s="783"/>
      <c r="F31" s="783"/>
      <c r="G31" s="247">
        <v>13</v>
      </c>
      <c r="H31" s="774"/>
      <c r="I31" s="13" t="s">
        <v>80</v>
      </c>
    </row>
    <row r="32" spans="1:13" ht="12.75" customHeight="1">
      <c r="A32" s="11"/>
      <c r="B32" s="110" t="s">
        <v>63</v>
      </c>
      <c r="C32" s="245"/>
      <c r="D32" s="772">
        <v>1</v>
      </c>
      <c r="E32" s="782">
        <v>2</v>
      </c>
      <c r="F32" s="782"/>
      <c r="G32" s="245">
        <v>180</v>
      </c>
      <c r="H32" s="772"/>
      <c r="I32" s="110" t="s">
        <v>63</v>
      </c>
      <c r="J32" s="2"/>
      <c r="K32" s="2"/>
      <c r="L32" s="27"/>
      <c r="M32" s="2"/>
    </row>
    <row r="33" spans="1:9" ht="12.75" customHeight="1">
      <c r="A33" s="11"/>
      <c r="B33" s="13" t="s">
        <v>65</v>
      </c>
      <c r="C33" s="773">
        <v>3</v>
      </c>
      <c r="D33" s="774">
        <v>1</v>
      </c>
      <c r="E33" s="783"/>
      <c r="F33" s="783"/>
      <c r="G33" s="247">
        <v>14</v>
      </c>
      <c r="H33" s="774"/>
      <c r="I33" s="13" t="s">
        <v>65</v>
      </c>
    </row>
    <row r="34" spans="1:9" ht="12.75" customHeight="1">
      <c r="A34" s="11"/>
      <c r="B34" s="110" t="s">
        <v>64</v>
      </c>
      <c r="C34" s="771"/>
      <c r="D34" s="772"/>
      <c r="E34" s="782"/>
      <c r="F34" s="782"/>
      <c r="G34" s="245">
        <v>14</v>
      </c>
      <c r="H34" s="772"/>
      <c r="I34" s="110" t="s">
        <v>64</v>
      </c>
    </row>
    <row r="35" spans="1:9" ht="12.75" customHeight="1">
      <c r="A35" s="11"/>
      <c r="B35" s="13" t="s">
        <v>81</v>
      </c>
      <c r="C35" s="773"/>
      <c r="D35" s="774">
        <v>1</v>
      </c>
      <c r="E35" s="783"/>
      <c r="F35" s="783">
        <v>2</v>
      </c>
      <c r="G35" s="247">
        <v>23</v>
      </c>
      <c r="H35" s="774"/>
      <c r="I35" s="13" t="s">
        <v>81</v>
      </c>
    </row>
    <row r="36" spans="1:9" ht="12.75" customHeight="1">
      <c r="A36" s="11"/>
      <c r="B36" s="110" t="s">
        <v>82</v>
      </c>
      <c r="C36" s="771">
        <v>28</v>
      </c>
      <c r="D36" s="772"/>
      <c r="E36" s="782">
        <v>3</v>
      </c>
      <c r="F36" s="782">
        <v>5</v>
      </c>
      <c r="G36" s="245">
        <v>44</v>
      </c>
      <c r="H36" s="772"/>
      <c r="I36" s="110" t="s">
        <v>82</v>
      </c>
    </row>
    <row r="37" spans="1:13" ht="12.75" customHeight="1">
      <c r="A37" s="11"/>
      <c r="B37" s="14" t="s">
        <v>70</v>
      </c>
      <c r="C37" s="246">
        <v>14</v>
      </c>
      <c r="D37" s="776">
        <v>33</v>
      </c>
      <c r="E37" s="784">
        <v>14</v>
      </c>
      <c r="F37" s="784">
        <v>10</v>
      </c>
      <c r="G37" s="246">
        <v>396</v>
      </c>
      <c r="H37" s="776"/>
      <c r="I37" s="14" t="s">
        <v>70</v>
      </c>
      <c r="J37" s="2"/>
      <c r="K37" s="2"/>
      <c r="L37" s="27"/>
      <c r="M37" s="2"/>
    </row>
    <row r="38" spans="1:13" ht="12.75" customHeight="1">
      <c r="A38" s="11"/>
      <c r="B38" s="110" t="s">
        <v>86</v>
      </c>
      <c r="C38" s="245"/>
      <c r="D38" s="772"/>
      <c r="E38" s="782"/>
      <c r="F38" s="782">
        <v>1</v>
      </c>
      <c r="G38" s="245">
        <v>4</v>
      </c>
      <c r="H38" s="772"/>
      <c r="I38" s="110" t="s">
        <v>86</v>
      </c>
      <c r="J38" s="2"/>
      <c r="K38" s="2"/>
      <c r="L38" s="27"/>
      <c r="M38" s="2"/>
    </row>
    <row r="39" spans="1:13" ht="12.75" customHeight="1">
      <c r="A39" s="11"/>
      <c r="B39" s="13" t="s">
        <v>1</v>
      </c>
      <c r="C39" s="247"/>
      <c r="D39" s="774">
        <v>1</v>
      </c>
      <c r="E39" s="783"/>
      <c r="F39" s="783"/>
      <c r="G39" s="247"/>
      <c r="H39" s="774"/>
      <c r="I39" s="13" t="s">
        <v>1</v>
      </c>
      <c r="J39" s="2"/>
      <c r="K39" s="2"/>
      <c r="L39" s="27"/>
      <c r="M39" s="2"/>
    </row>
    <row r="40" spans="1:13" ht="12.75" customHeight="1">
      <c r="A40" s="11"/>
      <c r="B40" s="112" t="s">
        <v>66</v>
      </c>
      <c r="C40" s="248">
        <v>1</v>
      </c>
      <c r="D40" s="778">
        <v>20</v>
      </c>
      <c r="E40" s="785"/>
      <c r="F40" s="785">
        <v>2</v>
      </c>
      <c r="G40" s="248">
        <v>72</v>
      </c>
      <c r="H40" s="778"/>
      <c r="I40" s="112" t="s">
        <v>66</v>
      </c>
      <c r="J40" s="2"/>
      <c r="K40" s="2"/>
      <c r="L40" s="27"/>
      <c r="M40" s="2"/>
    </row>
    <row r="41" spans="1:13" ht="12.75" customHeight="1">
      <c r="A41" s="11"/>
      <c r="B41" s="12" t="s">
        <v>52</v>
      </c>
      <c r="C41" s="247"/>
      <c r="D41" s="774">
        <v>10</v>
      </c>
      <c r="E41" s="783"/>
      <c r="F41" s="783"/>
      <c r="G41" s="247">
        <v>1</v>
      </c>
      <c r="H41" s="774"/>
      <c r="I41" s="12" t="s">
        <v>52</v>
      </c>
      <c r="J41" s="2"/>
      <c r="K41" s="2"/>
      <c r="L41" s="27"/>
      <c r="M41" s="2"/>
    </row>
    <row r="42" spans="1:13" ht="12.75" customHeight="1">
      <c r="A42" s="11"/>
      <c r="B42" s="110" t="s">
        <v>83</v>
      </c>
      <c r="C42" s="245"/>
      <c r="D42" s="772"/>
      <c r="E42" s="782">
        <v>2</v>
      </c>
      <c r="F42" s="782"/>
      <c r="G42" s="245">
        <v>11</v>
      </c>
      <c r="H42" s="772"/>
      <c r="I42" s="110" t="s">
        <v>83</v>
      </c>
      <c r="J42" s="2"/>
      <c r="K42" s="2"/>
      <c r="L42" s="27"/>
      <c r="M42" s="2"/>
    </row>
    <row r="43" spans="1:13" ht="12.75" customHeight="1">
      <c r="A43" s="11"/>
      <c r="B43" s="13" t="s">
        <v>53</v>
      </c>
      <c r="C43" s="247">
        <v>13</v>
      </c>
      <c r="D43" s="774"/>
      <c r="E43" s="783"/>
      <c r="F43" s="783">
        <v>5</v>
      </c>
      <c r="G43" s="247">
        <v>187</v>
      </c>
      <c r="H43" s="774"/>
      <c r="I43" s="13" t="s">
        <v>53</v>
      </c>
      <c r="J43" s="2"/>
      <c r="K43" s="2"/>
      <c r="L43" s="27"/>
      <c r="M43" s="2"/>
    </row>
    <row r="44" spans="1:13" ht="12.75" customHeight="1">
      <c r="A44" s="11"/>
      <c r="B44" s="112" t="s">
        <v>94</v>
      </c>
      <c r="C44" s="248"/>
      <c r="D44" s="778"/>
      <c r="E44" s="785"/>
      <c r="F44" s="785"/>
      <c r="G44" s="248">
        <v>6</v>
      </c>
      <c r="H44" s="778"/>
      <c r="I44" s="112" t="s">
        <v>94</v>
      </c>
      <c r="J44" s="2"/>
      <c r="K44" s="2"/>
      <c r="L44" s="27"/>
      <c r="M44" s="2"/>
    </row>
    <row r="45" spans="2:14" ht="15" customHeight="1">
      <c r="B45" s="3" t="s">
        <v>146</v>
      </c>
      <c r="C45" s="58"/>
      <c r="D45" s="58"/>
      <c r="E45" s="58"/>
      <c r="F45" s="18"/>
      <c r="G45" s="18"/>
      <c r="H45" s="18"/>
      <c r="I45" s="58"/>
      <c r="J45" s="18"/>
      <c r="K45" s="18"/>
      <c r="L45" s="18"/>
      <c r="M45" s="18"/>
      <c r="N45" s="43"/>
    </row>
    <row r="46" spans="2:14" ht="11.25" customHeight="1">
      <c r="B46" s="922" t="s">
        <v>0</v>
      </c>
      <c r="C46" s="922"/>
      <c r="D46" s="922"/>
      <c r="E46" s="922"/>
      <c r="F46" s="922"/>
      <c r="G46" s="922"/>
      <c r="H46" s="200"/>
      <c r="I46" s="15"/>
      <c r="J46" s="15"/>
      <c r="K46" s="15"/>
      <c r="L46" s="15"/>
      <c r="M46" s="15"/>
      <c r="N46" s="15"/>
    </row>
    <row r="47" spans="2:14" ht="22.5" customHeight="1">
      <c r="B47" s="925" t="s">
        <v>140</v>
      </c>
      <c r="C47" s="926"/>
      <c r="D47" s="926"/>
      <c r="E47" s="926"/>
      <c r="F47" s="926"/>
      <c r="G47" s="926"/>
      <c r="H47" s="926"/>
      <c r="I47" s="926"/>
      <c r="J47" s="15"/>
      <c r="K47" s="15"/>
      <c r="L47" s="15"/>
      <c r="M47" s="15"/>
      <c r="N47" s="15"/>
    </row>
    <row r="48" ht="12.75" customHeight="1">
      <c r="B48" s="39" t="s">
        <v>139</v>
      </c>
    </row>
    <row r="49" ht="12.75" customHeight="1">
      <c r="B49" s="125" t="s">
        <v>153</v>
      </c>
    </row>
  </sheetData>
  <mergeCells count="9">
    <mergeCell ref="B2:I2"/>
    <mergeCell ref="B3:I3"/>
    <mergeCell ref="B4:I4"/>
    <mergeCell ref="G5:H6"/>
    <mergeCell ref="G7:H7"/>
    <mergeCell ref="B47:I47"/>
    <mergeCell ref="F5:F6"/>
    <mergeCell ref="C5:D5"/>
    <mergeCell ref="B46:G46"/>
  </mergeCells>
  <printOptions horizontalCentered="1"/>
  <pageMargins left="0.6692913385826772" right="0.6692913385826772" top="0.5118110236220472" bottom="0.2755905511811024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82"/>
  <dimension ref="A1:Q46"/>
  <sheetViews>
    <sheetView workbookViewId="0" topLeftCell="A1">
      <selection activeCell="T28" sqref="T28"/>
    </sheetView>
  </sheetViews>
  <sheetFormatPr defaultColWidth="9.140625" defaultRowHeight="12.75"/>
  <cols>
    <col min="1" max="1" width="3.7109375" style="11" customWidth="1"/>
    <col min="2" max="2" width="4.00390625" style="4" customWidth="1"/>
    <col min="3" max="4" width="7.7109375" style="4" hidden="1" customWidth="1"/>
    <col min="5" max="6" width="7.7109375" style="2" customWidth="1"/>
    <col min="7" max="10" width="7.7109375" style="4" customWidth="1"/>
    <col min="11" max="15" width="8.28125" style="4" customWidth="1"/>
    <col min="16" max="16" width="4.00390625" style="4" customWidth="1"/>
    <col min="17" max="17" width="7.28125" style="787" customWidth="1"/>
    <col min="18" max="16384" width="9.140625" style="4" customWidth="1"/>
  </cols>
  <sheetData>
    <row r="1" spans="2:16" ht="14.25" customHeight="1">
      <c r="B1" s="49"/>
      <c r="C1" s="35"/>
      <c r="D1" s="35"/>
      <c r="E1" s="786"/>
      <c r="F1" s="786"/>
      <c r="G1" s="35"/>
      <c r="K1" s="50"/>
      <c r="L1" s="50"/>
      <c r="M1" s="50"/>
      <c r="N1" s="50"/>
      <c r="O1" s="50"/>
      <c r="P1" s="50" t="s">
        <v>223</v>
      </c>
    </row>
    <row r="2" spans="1:17" s="125" customFormat="1" ht="30" customHeight="1">
      <c r="A2" s="269"/>
      <c r="B2" s="888" t="s">
        <v>19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788"/>
    </row>
    <row r="3" spans="2:16" ht="18" customHeight="1">
      <c r="B3" s="839" t="s">
        <v>15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</row>
    <row r="4" spans="2:17" ht="24.75" customHeight="1">
      <c r="B4" s="360"/>
      <c r="C4" s="114">
        <v>1970</v>
      </c>
      <c r="D4" s="115">
        <v>1980</v>
      </c>
      <c r="E4" s="116">
        <v>1990</v>
      </c>
      <c r="F4" s="115">
        <v>2000</v>
      </c>
      <c r="G4" s="115">
        <v>2001</v>
      </c>
      <c r="H4" s="115">
        <v>2002</v>
      </c>
      <c r="I4" s="115">
        <v>2003</v>
      </c>
      <c r="J4" s="115">
        <v>2004</v>
      </c>
      <c r="K4" s="115">
        <v>2005</v>
      </c>
      <c r="L4" s="115">
        <v>2006</v>
      </c>
      <c r="M4" s="115">
        <v>2007</v>
      </c>
      <c r="N4" s="115">
        <v>2008</v>
      </c>
      <c r="O4" s="116">
        <v>2009</v>
      </c>
      <c r="P4" s="9"/>
      <c r="Q4" s="823" t="s">
        <v>226</v>
      </c>
    </row>
    <row r="5" spans="2:17" ht="12.75" customHeight="1">
      <c r="B5" s="113" t="s">
        <v>40</v>
      </c>
      <c r="C5" s="169"/>
      <c r="D5" s="170"/>
      <c r="E5" s="598">
        <f>6010+SUM(E8:E34)</f>
        <v>65715</v>
      </c>
      <c r="F5" s="170"/>
      <c r="G5" s="170"/>
      <c r="H5" s="170">
        <f aca="true" t="shared" si="0" ref="H5:M5">SUM(H8:H34)</f>
        <v>53259</v>
      </c>
      <c r="I5" s="170">
        <f t="shared" si="0"/>
        <v>51618</v>
      </c>
      <c r="J5" s="170">
        <f t="shared" si="0"/>
        <v>48721</v>
      </c>
      <c r="K5" s="361">
        <f t="shared" si="0"/>
        <v>47546</v>
      </c>
      <c r="L5" s="376">
        <f t="shared" si="0"/>
        <v>48261</v>
      </c>
      <c r="M5" s="790">
        <f t="shared" si="0"/>
        <v>61625</v>
      </c>
      <c r="N5" s="361">
        <f>SUM(N8:N34)</f>
        <v>61137</v>
      </c>
      <c r="O5" s="361">
        <f>SUM(O8:O34)</f>
        <v>61491</v>
      </c>
      <c r="P5" s="420" t="s">
        <v>40</v>
      </c>
      <c r="Q5" s="824">
        <f>O5/N5*100-100</f>
        <v>0.5790274301977547</v>
      </c>
    </row>
    <row r="6" spans="2:17" ht="12.75" customHeight="1">
      <c r="B6" s="110" t="s">
        <v>71</v>
      </c>
      <c r="C6" s="328">
        <f>SUM(C8,C11:C12,C14:C18,C22,C25:C26,C28,C32:C34)</f>
        <v>43259</v>
      </c>
      <c r="D6" s="280">
        <f aca="true" t="shared" si="1" ref="D6:K6">SUM(D8,D11:D12,D14:D18,D22,D25:D26,D28,D32:D34)</f>
        <v>40361</v>
      </c>
      <c r="E6" s="599">
        <f t="shared" si="1"/>
        <v>43444</v>
      </c>
      <c r="F6" s="280"/>
      <c r="G6" s="280"/>
      <c r="H6" s="280">
        <f t="shared" si="1"/>
        <v>36515</v>
      </c>
      <c r="I6" s="280">
        <f t="shared" si="1"/>
        <v>36349</v>
      </c>
      <c r="J6" s="280">
        <f t="shared" si="1"/>
        <v>33986</v>
      </c>
      <c r="K6" s="362">
        <f t="shared" si="1"/>
        <v>33062</v>
      </c>
      <c r="L6" s="377">
        <f>SUM(L8,L11:L12,L14:L18,L22,L25:L26,L28,L32:L34)</f>
        <v>34026</v>
      </c>
      <c r="M6" s="362">
        <f>SUM(M8,M11:M12,M14:M18,M22,M25:M26,M28,M32:M34)</f>
        <v>47314</v>
      </c>
      <c r="N6" s="362">
        <f>SUM(N8,N11:N12,N14:N18,N22,N25:N26,N28,N32:N34)</f>
        <v>47197</v>
      </c>
      <c r="O6" s="362">
        <f>SUM(O8,O11:O12,O14:O18,O22,O25:O26,O28,O32:O34)</f>
        <v>47323</v>
      </c>
      <c r="P6" s="421" t="s">
        <v>71</v>
      </c>
      <c r="Q6" s="825">
        <f aca="true" t="shared" si="2" ref="Q6:Q18">O6/N6*100-100</f>
        <v>0.2669661207280001</v>
      </c>
    </row>
    <row r="7" spans="2:17" ht="12.75" customHeight="1">
      <c r="B7" s="112" t="s">
        <v>131</v>
      </c>
      <c r="C7" s="171"/>
      <c r="D7" s="172"/>
      <c r="E7" s="600">
        <f>6010+SUM(E9,E10,E13,E19,E20,E21,E23,E24,E27,E29,E30,E31)</f>
        <v>22271</v>
      </c>
      <c r="F7" s="172">
        <f aca="true" t="shared" si="3" ref="F7:K7">SUM(F9,F10,F13,F19,F20,F21,F23,F24,F27,F29,F30,F31)</f>
        <v>17460</v>
      </c>
      <c r="G7" s="172">
        <f t="shared" si="3"/>
        <v>17068</v>
      </c>
      <c r="H7" s="172">
        <f t="shared" si="3"/>
        <v>16744</v>
      </c>
      <c r="I7" s="172">
        <f t="shared" si="3"/>
        <v>15269</v>
      </c>
      <c r="J7" s="172">
        <f t="shared" si="3"/>
        <v>14735</v>
      </c>
      <c r="K7" s="295">
        <f t="shared" si="3"/>
        <v>14484</v>
      </c>
      <c r="L7" s="295">
        <f>SUM(L9,L10,L13,L19,L20,L21,L23,L24,L27,L29,L30,L31)</f>
        <v>14235</v>
      </c>
      <c r="M7" s="295">
        <f>SUM(M9,M10,M13,M19,M20,M21,M23,M24,M27,M29,M30,M31)</f>
        <v>14311</v>
      </c>
      <c r="N7" s="295">
        <f>SUM(N9,N10,N13,N19,N20,N21,N23,N24,N27,N29,N30,N31)</f>
        <v>13940</v>
      </c>
      <c r="O7" s="791">
        <f>SUM(O9,O10,O13,O19,O20,O21,O23,O24,O27,O29,O30,O31)</f>
        <v>14168</v>
      </c>
      <c r="P7" s="422" t="s">
        <v>131</v>
      </c>
      <c r="Q7" s="826">
        <f t="shared" si="2"/>
        <v>1.6355810616929745</v>
      </c>
    </row>
    <row r="8" spans="2:17" ht="12.75" customHeight="1">
      <c r="B8" s="12" t="s">
        <v>72</v>
      </c>
      <c r="C8" s="155">
        <v>1536</v>
      </c>
      <c r="D8" s="71">
        <v>1740</v>
      </c>
      <c r="E8" s="601">
        <v>1727</v>
      </c>
      <c r="F8" s="71">
        <v>1670</v>
      </c>
      <c r="G8" s="71">
        <v>1706</v>
      </c>
      <c r="H8" s="71">
        <v>1678</v>
      </c>
      <c r="I8" s="71">
        <f>375+387+96+664</f>
        <v>1522</v>
      </c>
      <c r="J8" s="71">
        <f>385+384+96+663</f>
        <v>1528</v>
      </c>
      <c r="K8" s="363">
        <f>376+383+96+663</f>
        <v>1518</v>
      </c>
      <c r="L8" s="363">
        <f>347+370+96+656</f>
        <v>1469</v>
      </c>
      <c r="M8" s="363">
        <f>328+370+96+655</f>
        <v>1449</v>
      </c>
      <c r="N8" s="363">
        <v>1403</v>
      </c>
      <c r="O8" s="296">
        <f>213+380+92+656</f>
        <v>1341</v>
      </c>
      <c r="P8" s="819" t="s">
        <v>72</v>
      </c>
      <c r="Q8" s="827">
        <f t="shared" si="2"/>
        <v>-4.419101924447617</v>
      </c>
    </row>
    <row r="9" spans="2:17" ht="12.75" customHeight="1">
      <c r="B9" s="110" t="s">
        <v>54</v>
      </c>
      <c r="C9" s="165">
        <v>1005</v>
      </c>
      <c r="D9" s="145">
        <v>1009</v>
      </c>
      <c r="E9" s="602">
        <v>1119</v>
      </c>
      <c r="F9" s="145">
        <v>762</v>
      </c>
      <c r="G9" s="145">
        <v>753</v>
      </c>
      <c r="H9" s="145">
        <v>680</v>
      </c>
      <c r="I9" s="145">
        <f>328+269+74</f>
        <v>671</v>
      </c>
      <c r="J9" s="145">
        <f>315+266+4+72</f>
        <v>657</v>
      </c>
      <c r="K9" s="364">
        <f>314+266+17+72</f>
        <v>669</v>
      </c>
      <c r="L9" s="364">
        <f>319+266+25+72+5</f>
        <v>687</v>
      </c>
      <c r="M9" s="364">
        <f>319+266+25+72+10+5+2</f>
        <v>699</v>
      </c>
      <c r="N9" s="364">
        <f>680+21+12</f>
        <v>713</v>
      </c>
      <c r="O9" s="297">
        <f>295+258+25+89+27+18</f>
        <v>712</v>
      </c>
      <c r="P9" s="421" t="s">
        <v>54</v>
      </c>
      <c r="Q9" s="828">
        <f t="shared" si="2"/>
        <v>-0.1402524544179613</v>
      </c>
    </row>
    <row r="10" spans="2:17" ht="12.75" customHeight="1">
      <c r="B10" s="13" t="s">
        <v>56</v>
      </c>
      <c r="C10" s="157"/>
      <c r="D10" s="158"/>
      <c r="E10" s="603"/>
      <c r="F10" s="62">
        <v>3596</v>
      </c>
      <c r="G10" s="62">
        <v>3481</v>
      </c>
      <c r="H10" s="62">
        <v>3301</v>
      </c>
      <c r="I10" s="62">
        <f>1373+938+791+178</f>
        <v>3280</v>
      </c>
      <c r="J10" s="62">
        <f>1347+934+785+192</f>
        <v>3258</v>
      </c>
      <c r="K10" s="365">
        <f>1237+930+785+211</f>
        <v>3163</v>
      </c>
      <c r="L10" s="365">
        <f>1130+925+766+216</f>
        <v>3037</v>
      </c>
      <c r="M10" s="365">
        <f>1047+905+747+222</f>
        <v>2921</v>
      </c>
      <c r="N10" s="365">
        <v>2758</v>
      </c>
      <c r="O10" s="298">
        <f>884+881+736+245</f>
        <v>2746</v>
      </c>
      <c r="P10" s="820" t="s">
        <v>56</v>
      </c>
      <c r="Q10" s="829">
        <f t="shared" si="2"/>
        <v>-0.43509789702682156</v>
      </c>
    </row>
    <row r="11" spans="2:17" ht="12.75" customHeight="1">
      <c r="B11" s="110" t="s">
        <v>67</v>
      </c>
      <c r="C11" s="165">
        <v>480</v>
      </c>
      <c r="D11" s="145">
        <v>461</v>
      </c>
      <c r="E11" s="602">
        <v>524</v>
      </c>
      <c r="F11" s="145">
        <v>415</v>
      </c>
      <c r="G11" s="145">
        <v>495</v>
      </c>
      <c r="H11" s="145">
        <v>566</v>
      </c>
      <c r="I11" s="151">
        <f>51+12+170+225</f>
        <v>458</v>
      </c>
      <c r="J11" s="151">
        <f>51+12+170+225</f>
        <v>458</v>
      </c>
      <c r="K11" s="366">
        <f>51+12+177+224</f>
        <v>464</v>
      </c>
      <c r="L11" s="366">
        <f>50+12+177+208</f>
        <v>447</v>
      </c>
      <c r="M11" s="366">
        <f>50+12+177+208</f>
        <v>447</v>
      </c>
      <c r="N11" s="366">
        <v>448</v>
      </c>
      <c r="O11" s="299">
        <f>49+6+202+281</f>
        <v>538</v>
      </c>
      <c r="P11" s="421" t="s">
        <v>67</v>
      </c>
      <c r="Q11" s="830">
        <f t="shared" si="2"/>
        <v>20.089285714285722</v>
      </c>
    </row>
    <row r="12" spans="2:17" ht="12.75" customHeight="1">
      <c r="B12" s="13" t="s">
        <v>73</v>
      </c>
      <c r="C12" s="327">
        <f>983+659+2550+2247+5000</f>
        <v>11439</v>
      </c>
      <c r="D12" s="62">
        <f>598+1793+3102+2695+3923+583</f>
        <v>12694</v>
      </c>
      <c r="E12" s="604">
        <f>488+1638+3444+2536+157+544+4367+1263</f>
        <v>14437</v>
      </c>
      <c r="F12" s="62">
        <v>9656</v>
      </c>
      <c r="G12" s="62">
        <f>2108+1784+2597+3509</f>
        <v>9998</v>
      </c>
      <c r="H12" s="62">
        <f>2720+688+2526+3102</f>
        <v>9036</v>
      </c>
      <c r="I12" s="62">
        <f>2937+971+2291+3329+835</f>
        <v>10363</v>
      </c>
      <c r="J12" s="62">
        <f>2+2091+3059+2+2303+1+835</f>
        <v>8293</v>
      </c>
      <c r="K12" s="365">
        <f>2+1709+3009+2452+567+3</f>
        <v>7742</v>
      </c>
      <c r="L12" s="378">
        <f>1378+2783+3131+1525</f>
        <v>8817</v>
      </c>
      <c r="M12" s="365">
        <f>1786+2954+3136+6014</f>
        <v>13890</v>
      </c>
      <c r="N12" s="365">
        <v>14565</v>
      </c>
      <c r="O12" s="298">
        <f>2252+2926+3413+6746</f>
        <v>15337</v>
      </c>
      <c r="P12" s="820" t="s">
        <v>73</v>
      </c>
      <c r="Q12" s="829">
        <f t="shared" si="2"/>
        <v>5.300377617576373</v>
      </c>
    </row>
    <row r="13" spans="2:17" ht="12.75" customHeight="1">
      <c r="B13" s="110" t="s">
        <v>57</v>
      </c>
      <c r="C13" s="165"/>
      <c r="D13" s="145"/>
      <c r="E13" s="605">
        <v>300</v>
      </c>
      <c r="F13" s="145">
        <v>194</v>
      </c>
      <c r="G13" s="145">
        <v>194</v>
      </c>
      <c r="H13" s="145">
        <v>236</v>
      </c>
      <c r="I13" s="145">
        <f>178+32+31</f>
        <v>241</v>
      </c>
      <c r="J13" s="145">
        <f>121+32+25</f>
        <v>178</v>
      </c>
      <c r="K13" s="364">
        <f>113+32+25</f>
        <v>170</v>
      </c>
      <c r="L13" s="364">
        <f>111+32+24</f>
        <v>167</v>
      </c>
      <c r="M13" s="794">
        <f>131+32+27</f>
        <v>190</v>
      </c>
      <c r="N13" s="364">
        <v>98</v>
      </c>
      <c r="O13" s="297">
        <f>76</f>
        <v>76</v>
      </c>
      <c r="P13" s="421" t="s">
        <v>57</v>
      </c>
      <c r="Q13" s="828">
        <f t="shared" si="2"/>
        <v>-22.448979591836732</v>
      </c>
    </row>
    <row r="14" spans="2:17" ht="12.75" customHeight="1">
      <c r="B14" s="13" t="s">
        <v>76</v>
      </c>
      <c r="C14" s="156">
        <v>307</v>
      </c>
      <c r="D14" s="62">
        <v>192</v>
      </c>
      <c r="E14" s="604">
        <v>166</v>
      </c>
      <c r="F14" s="62">
        <v>172</v>
      </c>
      <c r="G14" s="62">
        <v>169</v>
      </c>
      <c r="H14" s="62">
        <v>225</v>
      </c>
      <c r="I14" s="62">
        <f>97+114+57</f>
        <v>268</v>
      </c>
      <c r="J14" s="159">
        <f>97+144+65</f>
        <v>306</v>
      </c>
      <c r="K14" s="367">
        <f>94+164+154</f>
        <v>412</v>
      </c>
      <c r="L14" s="367">
        <f>94+180+154</f>
        <v>428</v>
      </c>
      <c r="M14" s="367">
        <f>94+180+154</f>
        <v>428</v>
      </c>
      <c r="N14" s="367">
        <v>549</v>
      </c>
      <c r="O14" s="300">
        <f>61+357+154</f>
        <v>572</v>
      </c>
      <c r="P14" s="820" t="s">
        <v>76</v>
      </c>
      <c r="Q14" s="831">
        <f t="shared" si="2"/>
        <v>4.189435336976317</v>
      </c>
    </row>
    <row r="15" spans="2:17" ht="12.75" customHeight="1">
      <c r="B15" s="110" t="s">
        <v>68</v>
      </c>
      <c r="C15" s="165">
        <v>514</v>
      </c>
      <c r="D15" s="145">
        <v>313</v>
      </c>
      <c r="E15" s="602">
        <v>400</v>
      </c>
      <c r="F15" s="145">
        <v>244</v>
      </c>
      <c r="G15" s="145">
        <v>290</v>
      </c>
      <c r="H15" s="145">
        <v>278</v>
      </c>
      <c r="I15" s="145">
        <f>142+6+89</f>
        <v>237</v>
      </c>
      <c r="J15" s="145">
        <f>151+6+112</f>
        <v>269</v>
      </c>
      <c r="K15" s="364">
        <f>150+14+116+9</f>
        <v>289</v>
      </c>
      <c r="L15" s="364">
        <f>144+26+101+13</f>
        <v>284</v>
      </c>
      <c r="M15" s="364">
        <f>143+29+103+20</f>
        <v>295</v>
      </c>
      <c r="N15" s="364">
        <v>301</v>
      </c>
      <c r="O15" s="297">
        <f>143+30+108+20</f>
        <v>301</v>
      </c>
      <c r="P15" s="421" t="s">
        <v>68</v>
      </c>
      <c r="Q15" s="828">
        <f t="shared" si="2"/>
        <v>0</v>
      </c>
    </row>
    <row r="16" spans="2:17" ht="12.75" customHeight="1">
      <c r="B16" s="13" t="s">
        <v>74</v>
      </c>
      <c r="C16" s="156">
        <v>1928</v>
      </c>
      <c r="D16" s="62">
        <v>1791</v>
      </c>
      <c r="E16" s="604">
        <v>1922</v>
      </c>
      <c r="F16" s="62">
        <v>1693</v>
      </c>
      <c r="G16" s="62">
        <v>1951</v>
      </c>
      <c r="H16" s="62">
        <v>1931</v>
      </c>
      <c r="I16" s="62">
        <f>54+8+414+420+39+138+48+49+73+668</f>
        <v>1911</v>
      </c>
      <c r="J16" s="62">
        <f>52+149+80+410+411+147+679</f>
        <v>1928</v>
      </c>
      <c r="K16" s="365">
        <f>4+48+61+39+49+8+79+223+417+299+719</f>
        <v>1946</v>
      </c>
      <c r="L16" s="367">
        <f>4+47+61+39+55+8+85+188+363+138+757</f>
        <v>1745</v>
      </c>
      <c r="M16" s="365">
        <f>4+47+56+39+58+8+182+202+360+135+827</f>
        <v>1918</v>
      </c>
      <c r="N16" s="365">
        <v>1983</v>
      </c>
      <c r="O16" s="298">
        <f>6+56+31+8+161+334+142+932</f>
        <v>1670</v>
      </c>
      <c r="P16" s="820" t="s">
        <v>74</v>
      </c>
      <c r="Q16" s="829">
        <f t="shared" si="2"/>
        <v>-15.784165405950574</v>
      </c>
    </row>
    <row r="17" spans="2:17" ht="12.75" customHeight="1">
      <c r="B17" s="110" t="s">
        <v>75</v>
      </c>
      <c r="C17" s="165">
        <v>6261</v>
      </c>
      <c r="D17" s="145">
        <v>6204</v>
      </c>
      <c r="E17" s="602">
        <v>7279</v>
      </c>
      <c r="F17" s="145">
        <v>7158</v>
      </c>
      <c r="G17" s="145">
        <v>7224</v>
      </c>
      <c r="H17" s="145">
        <v>7336</v>
      </c>
      <c r="I17" s="145">
        <f>2863+1973+956+1448</f>
        <v>7240</v>
      </c>
      <c r="J17" s="145">
        <f>2790+1880+975+1504</f>
        <v>7149</v>
      </c>
      <c r="K17" s="364">
        <f>2640+1732+996+1580+202+14+190</f>
        <v>7354</v>
      </c>
      <c r="L17" s="366">
        <f>2483+1667+956+1665+224</f>
        <v>6995</v>
      </c>
      <c r="M17" s="364">
        <f>2477+1607+880+1783+182+23+203</f>
        <v>7155</v>
      </c>
      <c r="N17" s="364">
        <v>7050</v>
      </c>
      <c r="O17" s="297">
        <f>2412+1473+782+2091</f>
        <v>6758</v>
      </c>
      <c r="P17" s="421" t="s">
        <v>75</v>
      </c>
      <c r="Q17" s="828">
        <f t="shared" si="2"/>
        <v>-4.141843971631204</v>
      </c>
    </row>
    <row r="18" spans="2:17" ht="12.75" customHeight="1">
      <c r="B18" s="13" t="s">
        <v>77</v>
      </c>
      <c r="C18" s="156">
        <v>4715</v>
      </c>
      <c r="D18" s="62">
        <v>4916</v>
      </c>
      <c r="E18" s="604">
        <v>4818</v>
      </c>
      <c r="F18" s="62">
        <v>4697</v>
      </c>
      <c r="G18" s="62">
        <v>4650</v>
      </c>
      <c r="H18" s="62">
        <v>5205</v>
      </c>
      <c r="I18" s="62">
        <f>27+1446+21+1906+8+17+745+110+655+2</f>
        <v>4937</v>
      </c>
      <c r="J18" s="62">
        <f>48+127+1453+1878+707+671+17</f>
        <v>4901</v>
      </c>
      <c r="K18" s="365">
        <f>27+44+17+56+1459+1857+713+470+2+16+2+2+4+5</f>
        <v>4674</v>
      </c>
      <c r="L18" s="365">
        <f>21+31+17+108+1424+1872+788+716+2+16+2+2+4+5</f>
        <v>5008</v>
      </c>
      <c r="M18" s="365">
        <f>27+31+17+134+1389+1751+781+530+2+18+1+2</f>
        <v>4683</v>
      </c>
      <c r="N18" s="365">
        <v>4621</v>
      </c>
      <c r="O18" s="298">
        <f>1286+2013+776+616</f>
        <v>4691</v>
      </c>
      <c r="P18" s="820" t="s">
        <v>77</v>
      </c>
      <c r="Q18" s="829">
        <f t="shared" si="2"/>
        <v>1.514823631248646</v>
      </c>
    </row>
    <row r="19" spans="2:17" ht="12.75" customHeight="1">
      <c r="B19" s="110" t="s">
        <v>55</v>
      </c>
      <c r="C19" s="166" t="s">
        <v>85</v>
      </c>
      <c r="D19" s="167" t="s">
        <v>85</v>
      </c>
      <c r="E19" s="606" t="s">
        <v>85</v>
      </c>
      <c r="F19" s="167" t="s">
        <v>85</v>
      </c>
      <c r="G19" s="167" t="s">
        <v>85</v>
      </c>
      <c r="H19" s="167" t="s">
        <v>85</v>
      </c>
      <c r="I19" s="167" t="s">
        <v>85</v>
      </c>
      <c r="J19" s="167" t="s">
        <v>85</v>
      </c>
      <c r="K19" s="301" t="s">
        <v>85</v>
      </c>
      <c r="L19" s="301" t="s">
        <v>85</v>
      </c>
      <c r="M19" s="301" t="s">
        <v>85</v>
      </c>
      <c r="N19" s="301" t="s">
        <v>85</v>
      </c>
      <c r="O19" s="301" t="s">
        <v>85</v>
      </c>
      <c r="P19" s="421" t="s">
        <v>55</v>
      </c>
      <c r="Q19" s="832"/>
    </row>
    <row r="20" spans="2:17" ht="12.75" customHeight="1">
      <c r="B20" s="13" t="s">
        <v>59</v>
      </c>
      <c r="C20" s="156"/>
      <c r="D20" s="62"/>
      <c r="E20" s="604">
        <v>739</v>
      </c>
      <c r="F20" s="62">
        <v>433</v>
      </c>
      <c r="G20" s="62">
        <v>403</v>
      </c>
      <c r="H20" s="62">
        <v>392</v>
      </c>
      <c r="I20" s="62">
        <f>227+47+112</f>
        <v>386</v>
      </c>
      <c r="J20" s="62">
        <f>217+47+112</f>
        <v>376</v>
      </c>
      <c r="K20" s="365">
        <f>205+41+112</f>
        <v>358</v>
      </c>
      <c r="L20" s="365">
        <f>200+41+107</f>
        <v>348</v>
      </c>
      <c r="M20" s="792">
        <f>200+41+105</f>
        <v>346</v>
      </c>
      <c r="N20" s="365">
        <v>197</v>
      </c>
      <c r="O20" s="298">
        <f>196</f>
        <v>196</v>
      </c>
      <c r="P20" s="820" t="s">
        <v>59</v>
      </c>
      <c r="Q20" s="829">
        <f>O20/N20*100-100</f>
        <v>-0.507614213197968</v>
      </c>
    </row>
    <row r="21" spans="2:17" ht="12.75" customHeight="1">
      <c r="B21" s="110" t="s">
        <v>60</v>
      </c>
      <c r="C21" s="165"/>
      <c r="D21" s="145"/>
      <c r="E21" s="605">
        <v>389</v>
      </c>
      <c r="F21" s="145">
        <v>419</v>
      </c>
      <c r="G21" s="145">
        <v>406</v>
      </c>
      <c r="H21" s="145">
        <v>390</v>
      </c>
      <c r="I21" s="145">
        <f>245+83+43</f>
        <v>371</v>
      </c>
      <c r="J21" s="145">
        <f>242+82+43</f>
        <v>367</v>
      </c>
      <c r="K21" s="364">
        <f>240+82+43</f>
        <v>365</v>
      </c>
      <c r="L21" s="364">
        <f>243+82+43</f>
        <v>368</v>
      </c>
      <c r="M21" s="364">
        <f>243+82+43</f>
        <v>368</v>
      </c>
      <c r="N21" s="364">
        <v>356</v>
      </c>
      <c r="O21" s="297">
        <f>263+40+14</f>
        <v>317</v>
      </c>
      <c r="P21" s="421" t="s">
        <v>60</v>
      </c>
      <c r="Q21" s="828">
        <f>O21/N21*100-100</f>
        <v>-10.955056179775283</v>
      </c>
    </row>
    <row r="22" spans="2:17" ht="12.75" customHeight="1">
      <c r="B22" s="13" t="s">
        <v>78</v>
      </c>
      <c r="C22" s="156">
        <v>95</v>
      </c>
      <c r="D22" s="62">
        <v>85</v>
      </c>
      <c r="E22" s="604">
        <v>97</v>
      </c>
      <c r="F22" s="62">
        <v>124</v>
      </c>
      <c r="G22" s="62">
        <v>132</v>
      </c>
      <c r="H22" s="62">
        <v>131</v>
      </c>
      <c r="I22" s="62">
        <f>66+36+8+31</f>
        <v>141</v>
      </c>
      <c r="J22" s="72">
        <v>141</v>
      </c>
      <c r="K22" s="368">
        <f>51+45+2+47</f>
        <v>145</v>
      </c>
      <c r="L22" s="368">
        <f>51+39+2+36</f>
        <v>128</v>
      </c>
      <c r="M22" s="368">
        <f>71+40+2+36</f>
        <v>149</v>
      </c>
      <c r="N22" s="368">
        <v>159</v>
      </c>
      <c r="O22" s="302">
        <f>26+37+2+34+52+6</f>
        <v>157</v>
      </c>
      <c r="P22" s="820" t="s">
        <v>78</v>
      </c>
      <c r="Q22" s="833">
        <f>O22/N22*100-100</f>
        <v>-1.2578616352201237</v>
      </c>
    </row>
    <row r="23" spans="2:17" ht="12.75" customHeight="1">
      <c r="B23" s="110" t="s">
        <v>58</v>
      </c>
      <c r="C23" s="165"/>
      <c r="D23" s="145"/>
      <c r="E23" s="602">
        <v>2040</v>
      </c>
      <c r="F23" s="145">
        <v>1453</v>
      </c>
      <c r="G23" s="145">
        <v>1442</v>
      </c>
      <c r="H23" s="145">
        <v>1363</v>
      </c>
      <c r="I23" s="145">
        <f>589+19+466+20+5+335+24</f>
        <v>1458</v>
      </c>
      <c r="J23" s="145">
        <f>43+517+402+342+24</f>
        <v>1328</v>
      </c>
      <c r="K23" s="364">
        <f>19+24+3+501+462+352+24</f>
        <v>1385</v>
      </c>
      <c r="L23" s="364">
        <f>18+24+3+518+462+351+24</f>
        <v>1400</v>
      </c>
      <c r="M23" s="794">
        <f>17+24+3+501+460+164+54+187+3</f>
        <v>1413</v>
      </c>
      <c r="N23" s="366">
        <f>3+163+60+507+461+3+187+3+17+24</f>
        <v>1428</v>
      </c>
      <c r="O23" s="297">
        <f>17+26+3+3+506+461+159+86+194+3</f>
        <v>1458</v>
      </c>
      <c r="P23" s="421" t="s">
        <v>58</v>
      </c>
      <c r="Q23" s="828">
        <f>O23/N23*100-100</f>
        <v>2.100840336134439</v>
      </c>
    </row>
    <row r="24" spans="2:17" ht="12.75" customHeight="1">
      <c r="B24" s="13" t="s">
        <v>61</v>
      </c>
      <c r="C24" s="157" t="s">
        <v>85</v>
      </c>
      <c r="D24" s="158" t="s">
        <v>85</v>
      </c>
      <c r="E24" s="603" t="s">
        <v>85</v>
      </c>
      <c r="F24" s="158" t="s">
        <v>85</v>
      </c>
      <c r="G24" s="158" t="s">
        <v>85</v>
      </c>
      <c r="H24" s="158" t="s">
        <v>85</v>
      </c>
      <c r="I24" s="158" t="s">
        <v>85</v>
      </c>
      <c r="J24" s="158" t="s">
        <v>85</v>
      </c>
      <c r="K24" s="303" t="s">
        <v>85</v>
      </c>
      <c r="L24" s="303" t="s">
        <v>85</v>
      </c>
      <c r="M24" s="303" t="s">
        <v>85</v>
      </c>
      <c r="N24" s="303" t="s">
        <v>85</v>
      </c>
      <c r="O24" s="303" t="s">
        <v>85</v>
      </c>
      <c r="P24" s="820" t="s">
        <v>61</v>
      </c>
      <c r="Q24" s="834"/>
    </row>
    <row r="25" spans="2:17" ht="12.75" customHeight="1">
      <c r="B25" s="111" t="s">
        <v>69</v>
      </c>
      <c r="C25" s="165">
        <v>2140</v>
      </c>
      <c r="D25" s="145">
        <v>2174</v>
      </c>
      <c r="E25" s="602">
        <v>2372</v>
      </c>
      <c r="F25" s="145">
        <v>1965</v>
      </c>
      <c r="G25" s="145">
        <v>2128</v>
      </c>
      <c r="H25" s="145">
        <v>2029</v>
      </c>
      <c r="I25" s="145">
        <f>16+132+107+24+86+1748+5</f>
        <v>2118</v>
      </c>
      <c r="J25" s="145">
        <f>107+86+1883</f>
        <v>2076</v>
      </c>
      <c r="K25" s="364">
        <f>121+80+1877</f>
        <v>2078</v>
      </c>
      <c r="L25" s="364">
        <f>114+78+1833</f>
        <v>2025</v>
      </c>
      <c r="M25" s="364">
        <f>114+84+1835</f>
        <v>2033</v>
      </c>
      <c r="N25" s="364">
        <v>2079</v>
      </c>
      <c r="O25" s="297">
        <f>84+50+1893</f>
        <v>2027</v>
      </c>
      <c r="P25" s="821" t="s">
        <v>69</v>
      </c>
      <c r="Q25" s="828">
        <f aca="true" t="shared" si="4" ref="Q25:Q37">O25/N25*100-100</f>
        <v>-2.501202501202499</v>
      </c>
    </row>
    <row r="26" spans="2:17" ht="12.75" customHeight="1">
      <c r="B26" s="13" t="s">
        <v>79</v>
      </c>
      <c r="C26" s="156">
        <v>1423</v>
      </c>
      <c r="D26" s="62">
        <v>1428</v>
      </c>
      <c r="E26" s="604">
        <v>1543</v>
      </c>
      <c r="F26" s="62">
        <v>1530</v>
      </c>
      <c r="G26" s="62">
        <v>1606</v>
      </c>
      <c r="H26" s="62">
        <v>1555</v>
      </c>
      <c r="I26" s="62">
        <f>481+785+129+161</f>
        <v>1556</v>
      </c>
      <c r="J26" s="62">
        <f>13+501+799+15+129+153</f>
        <v>1610</v>
      </c>
      <c r="K26" s="365">
        <f>13+15+401+731+147+193</f>
        <v>1500</v>
      </c>
      <c r="L26" s="365">
        <f>424+795+147+245+13+15</f>
        <v>1639</v>
      </c>
      <c r="M26" s="365">
        <f>13+15+412+800+174+311</f>
        <v>1725</v>
      </c>
      <c r="N26" s="365">
        <v>1668</v>
      </c>
      <c r="O26" s="298">
        <f>28+391+742+185+314</f>
        <v>1660</v>
      </c>
      <c r="P26" s="820" t="s">
        <v>79</v>
      </c>
      <c r="Q26" s="829">
        <f t="shared" si="4"/>
        <v>-0.47961630695442636</v>
      </c>
    </row>
    <row r="27" spans="2:17" ht="12.75" customHeight="1">
      <c r="B27" s="110" t="s">
        <v>62</v>
      </c>
      <c r="C27" s="165"/>
      <c r="D27" s="145"/>
      <c r="E27" s="602">
        <v>6801</v>
      </c>
      <c r="F27" s="145">
        <v>5293</v>
      </c>
      <c r="G27" s="145">
        <v>5232</v>
      </c>
      <c r="H27" s="145">
        <v>5028</v>
      </c>
      <c r="I27" s="145">
        <f>2021+1757+21+1176</f>
        <v>4975</v>
      </c>
      <c r="J27" s="145">
        <f>1936+1753+39+1165</f>
        <v>4893</v>
      </c>
      <c r="K27" s="364">
        <f>1867+1732+70+977+74+3</f>
        <v>4723</v>
      </c>
      <c r="L27" s="364">
        <f>1851+1653+82+975</f>
        <v>4561</v>
      </c>
      <c r="M27" s="364">
        <f>1865+1672+91+953</f>
        <v>4581</v>
      </c>
      <c r="N27" s="364">
        <v>4617</v>
      </c>
      <c r="O27" s="297">
        <f>1816+1711+106+957</f>
        <v>4590</v>
      </c>
      <c r="P27" s="421" t="s">
        <v>62</v>
      </c>
      <c r="Q27" s="828">
        <f t="shared" si="4"/>
        <v>-0.5847953216374293</v>
      </c>
    </row>
    <row r="28" spans="2:17" ht="12.75" customHeight="1">
      <c r="B28" s="13" t="s">
        <v>80</v>
      </c>
      <c r="C28" s="156">
        <v>626</v>
      </c>
      <c r="D28" s="62">
        <v>583</v>
      </c>
      <c r="E28" s="604">
        <v>530</v>
      </c>
      <c r="F28" s="62">
        <v>589</v>
      </c>
      <c r="G28" s="62">
        <v>536</v>
      </c>
      <c r="H28" s="62">
        <v>515</v>
      </c>
      <c r="I28" s="62">
        <f>141+77+88+200</f>
        <v>506</v>
      </c>
      <c r="J28" s="62">
        <f>112+75+81+195</f>
        <v>463</v>
      </c>
      <c r="K28" s="365">
        <f>84+71+81+203</f>
        <v>439</v>
      </c>
      <c r="L28" s="365">
        <f>79+71+76+203</f>
        <v>429</v>
      </c>
      <c r="M28" s="365">
        <f>83+71+76+203</f>
        <v>433</v>
      </c>
      <c r="N28" s="365">
        <v>431</v>
      </c>
      <c r="O28" s="298">
        <f>82+75+76+203</f>
        <v>436</v>
      </c>
      <c r="P28" s="820" t="s">
        <v>80</v>
      </c>
      <c r="Q28" s="829">
        <f t="shared" si="4"/>
        <v>1.16009280742459</v>
      </c>
    </row>
    <row r="29" spans="2:17" ht="12.75" customHeight="1">
      <c r="B29" s="110" t="s">
        <v>63</v>
      </c>
      <c r="C29" s="165"/>
      <c r="D29" s="145">
        <v>4564</v>
      </c>
      <c r="E29" s="602">
        <v>4515</v>
      </c>
      <c r="F29" s="145">
        <v>3440</v>
      </c>
      <c r="G29" s="145">
        <v>3341</v>
      </c>
      <c r="H29" s="145">
        <v>3594</v>
      </c>
      <c r="I29" s="145">
        <f>1157+28+768+16+190+14</f>
        <v>2173</v>
      </c>
      <c r="J29" s="145">
        <f>1065+741+205+15+45</f>
        <v>2071</v>
      </c>
      <c r="K29" s="364">
        <f>487+360+225+578+376+4+13+2+3+2+48+18+31+14+17+8</f>
        <v>2186</v>
      </c>
      <c r="L29" s="364">
        <f>487+360+242+568+376+4+10+13+2+3+2+48+18+36+24+19+8</f>
        <v>2220</v>
      </c>
      <c r="M29" s="364">
        <f>487+365+265+18+568+376+4+45+41+41+22+19+11</f>
        <v>2262</v>
      </c>
      <c r="N29" s="364">
        <v>2290</v>
      </c>
      <c r="O29" s="297">
        <f>82+476+553+47+36+7+19+75+366+315+57+21+7+11+76+266+203+32</f>
        <v>2649</v>
      </c>
      <c r="P29" s="421" t="s">
        <v>63</v>
      </c>
      <c r="Q29" s="828">
        <f t="shared" si="4"/>
        <v>15.676855895196525</v>
      </c>
    </row>
    <row r="30" spans="2:17" ht="12.75" customHeight="1">
      <c r="B30" s="13" t="s">
        <v>65</v>
      </c>
      <c r="C30" s="156"/>
      <c r="D30" s="62"/>
      <c r="E30" s="604">
        <v>358</v>
      </c>
      <c r="F30" s="62">
        <v>300</v>
      </c>
      <c r="G30" s="62">
        <v>304</v>
      </c>
      <c r="H30" s="62">
        <v>310</v>
      </c>
      <c r="I30" s="62">
        <f>83+76+72+42</f>
        <v>273</v>
      </c>
      <c r="J30" s="62">
        <f>83+76+72+42</f>
        <v>273</v>
      </c>
      <c r="K30" s="365">
        <f>78+71+70+42</f>
        <v>261</v>
      </c>
      <c r="L30" s="365">
        <f>78+83+70+40</f>
        <v>271</v>
      </c>
      <c r="M30" s="365">
        <f>76+88+70+39</f>
        <v>273</v>
      </c>
      <c r="N30" s="365">
        <v>267</v>
      </c>
      <c r="O30" s="298">
        <f>74+86+70+39</f>
        <v>269</v>
      </c>
      <c r="P30" s="820" t="s">
        <v>65</v>
      </c>
      <c r="Q30" s="829">
        <f t="shared" si="4"/>
        <v>0.7490636704119851</v>
      </c>
    </row>
    <row r="31" spans="2:17" ht="12.75" customHeight="1">
      <c r="B31" s="110" t="s">
        <v>64</v>
      </c>
      <c r="C31" s="166"/>
      <c r="D31" s="167"/>
      <c r="E31" s="606"/>
      <c r="F31" s="145">
        <v>1570</v>
      </c>
      <c r="G31" s="145">
        <v>1512</v>
      </c>
      <c r="H31" s="145">
        <f>234+86+592+538</f>
        <v>1450</v>
      </c>
      <c r="I31" s="145">
        <f>239+86+588+528</f>
        <v>1441</v>
      </c>
      <c r="J31" s="145">
        <f>203+72+542+517</f>
        <v>1334</v>
      </c>
      <c r="K31" s="372">
        <f>201+48+64+153+448+289+1</f>
        <v>1204</v>
      </c>
      <c r="L31" s="364">
        <f>64+153+172+49+448+289+1</f>
        <v>1176</v>
      </c>
      <c r="M31" s="364">
        <f>5+3+69+153+180+49+464+333+2</f>
        <v>1258</v>
      </c>
      <c r="N31" s="364">
        <v>1216</v>
      </c>
      <c r="O31" s="297">
        <f>67+149+153+67+387+330+2</f>
        <v>1155</v>
      </c>
      <c r="P31" s="421" t="s">
        <v>64</v>
      </c>
      <c r="Q31" s="828">
        <f t="shared" si="4"/>
        <v>-5.016447368421055</v>
      </c>
    </row>
    <row r="32" spans="2:17" ht="12.75" customHeight="1">
      <c r="B32" s="13" t="s">
        <v>81</v>
      </c>
      <c r="C32" s="156">
        <v>877</v>
      </c>
      <c r="D32" s="62">
        <v>752</v>
      </c>
      <c r="E32" s="604">
        <v>669</v>
      </c>
      <c r="F32" s="62">
        <v>735</v>
      </c>
      <c r="G32" s="62">
        <v>724</v>
      </c>
      <c r="H32" s="62">
        <v>731</v>
      </c>
      <c r="I32" s="62">
        <f>456+156+119</f>
        <v>731</v>
      </c>
      <c r="J32" s="62">
        <f>452+156+129</f>
        <v>737</v>
      </c>
      <c r="K32" s="365">
        <f>389+156+10+147</f>
        <v>702</v>
      </c>
      <c r="L32" s="365">
        <f>378+156+16+147</f>
        <v>697</v>
      </c>
      <c r="M32" s="365">
        <f>374+156+16+148</f>
        <v>694</v>
      </c>
      <c r="N32" s="365">
        <v>662</v>
      </c>
      <c r="O32" s="298">
        <f>320+156+16+149</f>
        <v>641</v>
      </c>
      <c r="P32" s="820" t="s">
        <v>81</v>
      </c>
      <c r="Q32" s="829">
        <f t="shared" si="4"/>
        <v>-3.17220543806647</v>
      </c>
    </row>
    <row r="33" spans="2:17" ht="12.75" customHeight="1">
      <c r="B33" s="110" t="s">
        <v>82</v>
      </c>
      <c r="C33" s="165">
        <v>1408</v>
      </c>
      <c r="D33" s="145">
        <v>1576</v>
      </c>
      <c r="E33" s="602">
        <v>1350</v>
      </c>
      <c r="F33" s="145">
        <v>887</v>
      </c>
      <c r="G33" s="145" t="s">
        <v>84</v>
      </c>
      <c r="H33" s="145">
        <v>869</v>
      </c>
      <c r="I33" s="175">
        <f>205+215+115+31+207</f>
        <v>773</v>
      </c>
      <c r="J33" s="151">
        <f>155+231+50+113+5+68</f>
        <v>622</v>
      </c>
      <c r="K33" s="366">
        <f>204+231+98+6+83</f>
        <v>622</v>
      </c>
      <c r="L33" s="145">
        <f>204+231+107+6+96</f>
        <v>644</v>
      </c>
      <c r="M33" s="366">
        <f>204+231+102+6+105</f>
        <v>648</v>
      </c>
      <c r="N33" s="366">
        <v>639</v>
      </c>
      <c r="O33" s="299">
        <f>191+230+119+92</f>
        <v>632</v>
      </c>
      <c r="P33" s="421" t="s">
        <v>82</v>
      </c>
      <c r="Q33" s="830">
        <f t="shared" si="4"/>
        <v>-1.0954616588419412</v>
      </c>
    </row>
    <row r="34" spans="2:17" ht="12.75" customHeight="1">
      <c r="B34" s="14" t="s">
        <v>70</v>
      </c>
      <c r="C34" s="160">
        <v>9510</v>
      </c>
      <c r="D34" s="65">
        <v>5452</v>
      </c>
      <c r="E34" s="607">
        <v>5610</v>
      </c>
      <c r="F34" s="65" t="s">
        <v>84</v>
      </c>
      <c r="G34" s="65" t="s">
        <v>84</v>
      </c>
      <c r="H34" s="65">
        <v>4430</v>
      </c>
      <c r="I34" s="65">
        <f>165+112+1080+2231</f>
        <v>3588</v>
      </c>
      <c r="J34" s="65">
        <f>267+143+1129+1932+2+32</f>
        <v>3505</v>
      </c>
      <c r="K34" s="65">
        <f>227+47+1141+1733+2+5+22</f>
        <v>3177</v>
      </c>
      <c r="L34" s="379">
        <f>227+47+1141+1733+5+118</f>
        <v>3271</v>
      </c>
      <c r="M34" s="306">
        <f>156+88+3508+7492+5+118</f>
        <v>11367</v>
      </c>
      <c r="N34" s="306">
        <v>10639</v>
      </c>
      <c r="O34" s="304">
        <f>206+46+2642+7522+23+123</f>
        <v>10562</v>
      </c>
      <c r="P34" s="822" t="s">
        <v>70</v>
      </c>
      <c r="Q34" s="835">
        <f t="shared" si="4"/>
        <v>-0.7237522323526662</v>
      </c>
    </row>
    <row r="35" spans="2:17" ht="12.75" customHeight="1">
      <c r="B35" s="110" t="s">
        <v>86</v>
      </c>
      <c r="C35" s="165">
        <v>588</v>
      </c>
      <c r="D35" s="145">
        <v>565</v>
      </c>
      <c r="E35" s="602">
        <v>563</v>
      </c>
      <c r="F35" s="145">
        <v>480</v>
      </c>
      <c r="G35" s="145">
        <v>397</v>
      </c>
      <c r="H35" s="145">
        <v>396</v>
      </c>
      <c r="I35" s="145">
        <f>191+107+70+25</f>
        <v>393</v>
      </c>
      <c r="J35" s="145">
        <f>180+107+78+23</f>
        <v>388</v>
      </c>
      <c r="K35" s="364">
        <f>171+107+76+23</f>
        <v>377</v>
      </c>
      <c r="L35" s="364">
        <f>168+107+76+23</f>
        <v>374</v>
      </c>
      <c r="M35" s="364">
        <f>148+96+73+22</f>
        <v>339</v>
      </c>
      <c r="N35" s="364">
        <v>345</v>
      </c>
      <c r="O35" s="297">
        <f>155+98+73+21</f>
        <v>347</v>
      </c>
      <c r="P35" s="421" t="s">
        <v>86</v>
      </c>
      <c r="Q35" s="828">
        <f t="shared" si="4"/>
        <v>0.5797101449275317</v>
      </c>
    </row>
    <row r="36" spans="2:17" ht="12.75" customHeight="1">
      <c r="B36" s="13" t="s">
        <v>1</v>
      </c>
      <c r="C36" s="156"/>
      <c r="D36" s="62">
        <v>91</v>
      </c>
      <c r="E36" s="604">
        <v>92</v>
      </c>
      <c r="F36" s="62">
        <v>101</v>
      </c>
      <c r="G36" s="62">
        <v>71</v>
      </c>
      <c r="H36" s="62">
        <v>71</v>
      </c>
      <c r="I36" s="62">
        <v>74</v>
      </c>
      <c r="J36" s="62">
        <f>40+16+13+4</f>
        <v>73</v>
      </c>
      <c r="K36" s="365">
        <f>40+16+13+4</f>
        <v>73</v>
      </c>
      <c r="L36" s="365">
        <f>40+16+12+4</f>
        <v>72</v>
      </c>
      <c r="M36" s="365">
        <f>40+16+12+4</f>
        <v>72</v>
      </c>
      <c r="N36" s="365">
        <v>72</v>
      </c>
      <c r="O36" s="298">
        <f>37+16+10+4</f>
        <v>67</v>
      </c>
      <c r="P36" s="820" t="s">
        <v>1</v>
      </c>
      <c r="Q36" s="829">
        <f t="shared" si="4"/>
        <v>-6.944444444444443</v>
      </c>
    </row>
    <row r="37" spans="2:17" ht="12.75" customHeight="1">
      <c r="B37" s="112" t="s">
        <v>66</v>
      </c>
      <c r="C37" s="173">
        <v>1055</v>
      </c>
      <c r="D37" s="174">
        <v>1101</v>
      </c>
      <c r="E37" s="608">
        <v>897</v>
      </c>
      <c r="F37" s="147">
        <v>849</v>
      </c>
      <c r="G37" s="147">
        <v>838</v>
      </c>
      <c r="H37" s="147">
        <v>819</v>
      </c>
      <c r="I37" s="147">
        <f>544+74+49+88</f>
        <v>755</v>
      </c>
      <c r="J37" s="147">
        <f>525+73+49+87</f>
        <v>734</v>
      </c>
      <c r="K37" s="369">
        <f>529+71+49+86</f>
        <v>735</v>
      </c>
      <c r="L37" s="369">
        <f>535+67+46+84</f>
        <v>732</v>
      </c>
      <c r="M37" s="369">
        <f>530+67+44+83</f>
        <v>724</v>
      </c>
      <c r="N37" s="369">
        <v>613</v>
      </c>
      <c r="O37" s="305">
        <f>461+64+52+83</f>
        <v>660</v>
      </c>
      <c r="P37" s="422" t="s">
        <v>66</v>
      </c>
      <c r="Q37" s="836">
        <f t="shared" si="4"/>
        <v>7.6672104404567705</v>
      </c>
    </row>
    <row r="38" spans="2:17" ht="12.75" customHeight="1">
      <c r="B38" s="12" t="s">
        <v>52</v>
      </c>
      <c r="C38" s="157" t="s">
        <v>85</v>
      </c>
      <c r="D38" s="158" t="s">
        <v>85</v>
      </c>
      <c r="E38" s="603" t="s">
        <v>85</v>
      </c>
      <c r="F38" s="158" t="s">
        <v>85</v>
      </c>
      <c r="G38" s="158" t="s">
        <v>85</v>
      </c>
      <c r="H38" s="158" t="s">
        <v>85</v>
      </c>
      <c r="I38" s="158" t="s">
        <v>85</v>
      </c>
      <c r="J38" s="158" t="s">
        <v>85</v>
      </c>
      <c r="K38" s="303" t="s">
        <v>85</v>
      </c>
      <c r="L38" s="303" t="s">
        <v>85</v>
      </c>
      <c r="M38" s="303" t="s">
        <v>85</v>
      </c>
      <c r="N38" s="303" t="s">
        <v>85</v>
      </c>
      <c r="O38" s="303" t="s">
        <v>85</v>
      </c>
      <c r="P38" s="819" t="s">
        <v>52</v>
      </c>
      <c r="Q38" s="834"/>
    </row>
    <row r="39" spans="2:17" ht="12.75" customHeight="1">
      <c r="B39" s="110" t="s">
        <v>83</v>
      </c>
      <c r="C39" s="165">
        <v>439</v>
      </c>
      <c r="D39" s="145">
        <v>430</v>
      </c>
      <c r="E39" s="602">
        <v>502</v>
      </c>
      <c r="F39" s="145">
        <v>299</v>
      </c>
      <c r="G39" s="145">
        <v>303</v>
      </c>
      <c r="H39" s="145">
        <v>269</v>
      </c>
      <c r="I39" s="145">
        <f>30+73+32+131</f>
        <v>266</v>
      </c>
      <c r="J39" s="151">
        <f>32+140+5+31</f>
        <v>208</v>
      </c>
      <c r="K39" s="364">
        <f>41+25+5+31+32+155</f>
        <v>289</v>
      </c>
      <c r="L39" s="364">
        <f>5+31+32+155</f>
        <v>223</v>
      </c>
      <c r="M39" s="364">
        <f>5+31+32+155</f>
        <v>223</v>
      </c>
      <c r="N39" s="364">
        <v>223</v>
      </c>
      <c r="O39" s="297">
        <f>5+28+32+142</f>
        <v>207</v>
      </c>
      <c r="P39" s="421" t="s">
        <v>83</v>
      </c>
      <c r="Q39" s="828">
        <f>O39/N39*100-100</f>
        <v>-7.174887892376674</v>
      </c>
    </row>
    <row r="40" spans="2:17" ht="12.75" customHeight="1">
      <c r="B40" s="14" t="s">
        <v>53</v>
      </c>
      <c r="C40" s="161">
        <v>1116</v>
      </c>
      <c r="D40" s="162">
        <v>1205</v>
      </c>
      <c r="E40" s="607">
        <v>1254</v>
      </c>
      <c r="F40" s="65">
        <v>1528</v>
      </c>
      <c r="G40" s="65">
        <v>2011</v>
      </c>
      <c r="H40" s="65">
        <v>2008</v>
      </c>
      <c r="I40" s="65">
        <f>656+68+1067+3+50+311+9</f>
        <v>2164</v>
      </c>
      <c r="J40" s="65">
        <f>31+47+58+9+11+11+719+1000+3+326+9</f>
        <v>2224</v>
      </c>
      <c r="K40" s="306">
        <f>47+59+40+9+681+945+417</f>
        <v>2198</v>
      </c>
      <c r="L40" s="306">
        <f>6+52+94+48+587+901+479</f>
        <v>2167</v>
      </c>
      <c r="M40" s="496">
        <f>6+59+94+40+665+929+479</f>
        <v>2272</v>
      </c>
      <c r="N40" s="496">
        <v>2278</v>
      </c>
      <c r="O40" s="497">
        <f>5+61+114+50+648+855+532</f>
        <v>2265</v>
      </c>
      <c r="P40" s="822" t="s">
        <v>53</v>
      </c>
      <c r="Q40" s="837">
        <f>O40/N40*100-100</f>
        <v>-0.5706760316066806</v>
      </c>
    </row>
    <row r="41" spans="2:16" ht="14.25" customHeight="1">
      <c r="B41" s="879" t="s">
        <v>147</v>
      </c>
      <c r="C41" s="879"/>
      <c r="D41" s="879"/>
      <c r="E41" s="879"/>
      <c r="F41" s="879"/>
      <c r="G41" s="879"/>
      <c r="H41" s="879"/>
      <c r="I41" s="879"/>
      <c r="J41" s="880"/>
      <c r="K41" s="880"/>
      <c r="L41" s="880"/>
      <c r="M41" s="880"/>
      <c r="N41" s="880"/>
      <c r="O41" s="880"/>
      <c r="P41" s="880"/>
    </row>
    <row r="42" spans="2:16" ht="15" customHeight="1">
      <c r="B42" s="3" t="s">
        <v>0</v>
      </c>
      <c r="C42" s="21"/>
      <c r="D42" s="21"/>
      <c r="E42" s="21"/>
      <c r="F42" s="795"/>
      <c r="G42" s="7"/>
      <c r="H42" s="21"/>
      <c r="I42" s="41"/>
      <c r="J42" s="41"/>
      <c r="K42" s="41"/>
      <c r="L42" s="41"/>
      <c r="M42" s="41"/>
      <c r="N42" s="41"/>
      <c r="O42" s="41"/>
      <c r="P42" s="41"/>
    </row>
    <row r="43" spans="2:16" ht="12.75" customHeight="1">
      <c r="B43" s="294" t="s">
        <v>133</v>
      </c>
      <c r="C43" s="21"/>
      <c r="D43" s="21"/>
      <c r="E43" s="21"/>
      <c r="F43" s="795"/>
      <c r="G43" s="7"/>
      <c r="H43" s="21"/>
      <c r="I43" s="41"/>
      <c r="J43" s="41"/>
      <c r="K43" s="41"/>
      <c r="L43" s="41"/>
      <c r="M43" s="41"/>
      <c r="N43" s="41"/>
      <c r="O43" s="41"/>
      <c r="P43" s="41"/>
    </row>
    <row r="44" ht="11.25">
      <c r="B44" s="6" t="s">
        <v>246</v>
      </c>
    </row>
    <row r="45" spans="2:13" ht="12.75">
      <c r="B45" s="6" t="s">
        <v>247</v>
      </c>
      <c r="M45"/>
    </row>
    <row r="46" ht="11.25">
      <c r="B46" s="6"/>
    </row>
  </sheetData>
  <mergeCells count="3">
    <mergeCell ref="B2:P2"/>
    <mergeCell ref="B3:P3"/>
    <mergeCell ref="B41:P41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43"/>
  <dimension ref="A1:R46"/>
  <sheetViews>
    <sheetView workbookViewId="0" topLeftCell="A1">
      <selection activeCell="B44" sqref="B44:E45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4" width="7.7109375" style="4" hidden="1" customWidth="1"/>
    <col min="5" max="6" width="7.7109375" style="2" customWidth="1"/>
    <col min="7" max="10" width="7.7109375" style="4" customWidth="1"/>
    <col min="11" max="15" width="8.28125" style="4" customWidth="1"/>
    <col min="16" max="16" width="4.00390625" style="4" customWidth="1"/>
    <col min="17" max="17" width="4.00390625" style="0" customWidth="1"/>
    <col min="18" max="18" width="6.8515625" style="4" customWidth="1"/>
    <col min="19" max="16384" width="9.140625" style="4" customWidth="1"/>
  </cols>
  <sheetData>
    <row r="1" spans="1:17" s="17" customFormat="1" ht="14.25" customHeight="1">
      <c r="A1" s="51"/>
      <c r="B1" s="49"/>
      <c r="C1" s="35"/>
      <c r="D1" s="35"/>
      <c r="E1" s="656"/>
      <c r="F1" s="656"/>
      <c r="K1" s="50"/>
      <c r="L1" s="50"/>
      <c r="M1" s="50"/>
      <c r="N1" s="50"/>
      <c r="O1" s="50"/>
      <c r="P1" s="50" t="s">
        <v>224</v>
      </c>
      <c r="Q1"/>
    </row>
    <row r="2" spans="1:17" s="125" customFormat="1" ht="30" customHeight="1">
      <c r="A2" s="271"/>
      <c r="B2" s="881" t="s">
        <v>20</v>
      </c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/>
    </row>
    <row r="3" spans="1:17" s="17" customFormat="1" ht="18" customHeight="1">
      <c r="A3" s="51"/>
      <c r="B3" s="865" t="s">
        <v>196</v>
      </c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/>
    </row>
    <row r="4" spans="1:18" ht="24.75" customHeight="1">
      <c r="A4" s="2"/>
      <c r="B4" s="360"/>
      <c r="C4" s="114">
        <v>1970</v>
      </c>
      <c r="D4" s="115">
        <v>1980</v>
      </c>
      <c r="E4" s="115">
        <v>1990</v>
      </c>
      <c r="F4" s="115">
        <v>2000</v>
      </c>
      <c r="G4" s="115">
        <v>2001</v>
      </c>
      <c r="H4" s="115">
        <v>2002</v>
      </c>
      <c r="I4" s="115">
        <v>2003</v>
      </c>
      <c r="J4" s="115">
        <v>2004</v>
      </c>
      <c r="K4" s="115">
        <v>2005</v>
      </c>
      <c r="L4" s="115">
        <v>2006</v>
      </c>
      <c r="M4" s="115">
        <v>2007</v>
      </c>
      <c r="N4" s="115">
        <v>2008</v>
      </c>
      <c r="O4" s="116">
        <v>2009</v>
      </c>
      <c r="P4" s="9"/>
      <c r="R4" s="796" t="s">
        <v>226</v>
      </c>
    </row>
    <row r="5" spans="1:18" ht="12.75" customHeight="1">
      <c r="A5" s="2"/>
      <c r="B5" s="113" t="s">
        <v>40</v>
      </c>
      <c r="C5" s="169"/>
      <c r="D5" s="170"/>
      <c r="E5" s="789"/>
      <c r="F5" s="170"/>
      <c r="G5" s="170"/>
      <c r="H5" s="170"/>
      <c r="I5" s="170"/>
      <c r="J5" s="133">
        <f aca="true" t="shared" si="0" ref="J5:O5">SUM(J8:J34)</f>
        <v>101549</v>
      </c>
      <c r="K5" s="308">
        <f t="shared" si="0"/>
        <v>98929</v>
      </c>
      <c r="L5" s="308">
        <f t="shared" si="0"/>
        <v>96654</v>
      </c>
      <c r="M5" s="797">
        <f t="shared" si="0"/>
        <v>95770</v>
      </c>
      <c r="N5" s="308">
        <f t="shared" si="0"/>
        <v>99552</v>
      </c>
      <c r="O5" s="308">
        <f t="shared" si="0"/>
        <v>102320</v>
      </c>
      <c r="P5" s="113" t="s">
        <v>40</v>
      </c>
      <c r="R5" s="73">
        <f>O5/N5*100-100</f>
        <v>2.780456444873039</v>
      </c>
    </row>
    <row r="6" spans="1:18" ht="12.75" customHeight="1">
      <c r="A6" s="11"/>
      <c r="B6" s="110" t="s">
        <v>71</v>
      </c>
      <c r="C6" s="328">
        <f>SUM(C8,C11:C12,C14:C18,C22,C25:C26,C28,C32:C34)</f>
        <v>97726</v>
      </c>
      <c r="D6" s="280">
        <f>SUM(D8,D11:D12,D14:D18,D22,D25:D26,D28,D32:D34)</f>
        <v>95907</v>
      </c>
      <c r="E6" s="280"/>
      <c r="F6" s="280"/>
      <c r="G6" s="280"/>
      <c r="H6" s="280"/>
      <c r="I6" s="280"/>
      <c r="J6" s="498">
        <f aca="true" t="shared" si="1" ref="J6:O6">SUM(J8,J11:J12,J14:J18,J22,J25:J26,J28,J32:J34)</f>
        <v>75901</v>
      </c>
      <c r="K6" s="499">
        <f t="shared" si="1"/>
        <v>75305</v>
      </c>
      <c r="L6" s="499">
        <f t="shared" si="1"/>
        <v>73503</v>
      </c>
      <c r="M6" s="798">
        <f t="shared" si="1"/>
        <v>72318</v>
      </c>
      <c r="N6" s="362">
        <f t="shared" si="1"/>
        <v>76487</v>
      </c>
      <c r="O6" s="499">
        <f t="shared" si="1"/>
        <v>79811</v>
      </c>
      <c r="P6" s="110" t="s">
        <v>71</v>
      </c>
      <c r="R6" s="73">
        <f aca="true" t="shared" si="2" ref="R6:R18">O6/N6*100-100</f>
        <v>4.345836547387137</v>
      </c>
    </row>
    <row r="7" spans="1:18" ht="12.75" customHeight="1">
      <c r="A7" s="11"/>
      <c r="B7" s="112" t="s">
        <v>131</v>
      </c>
      <c r="C7" s="171"/>
      <c r="D7" s="172"/>
      <c r="E7" s="172"/>
      <c r="F7" s="172">
        <f aca="true" t="shared" si="3" ref="F7:K7">SUM(F9,F10,F13,F19,F20,F21,F23,F24,F27,F29,F30,F31)</f>
        <v>30818</v>
      </c>
      <c r="G7" s="172">
        <f t="shared" si="3"/>
        <v>29925</v>
      </c>
      <c r="H7" s="172">
        <f t="shared" si="3"/>
        <v>28546</v>
      </c>
      <c r="I7" s="172">
        <f t="shared" si="3"/>
        <v>25978</v>
      </c>
      <c r="J7" s="172">
        <f t="shared" si="3"/>
        <v>25648</v>
      </c>
      <c r="K7" s="295">
        <f t="shared" si="3"/>
        <v>23624</v>
      </c>
      <c r="L7" s="295">
        <f>SUM(L9,L10,L13,L19,L20,L21,L23,L24,L27,L29,L30,L31)</f>
        <v>23151</v>
      </c>
      <c r="M7" s="295">
        <f>SUM(M9,M10,M13,M19,M20,M21,M23,M24,M27,M29,M30,M31)</f>
        <v>23452</v>
      </c>
      <c r="N7" s="500">
        <f>SUM(N9,N10,N13,N19,N20,N21,N23,N24,N27,N29,N30,N31)</f>
        <v>23065</v>
      </c>
      <c r="O7" s="500">
        <f>SUM(O9,O10,O13,O19,O20,O21,O23,O24,O27,O29,O30,O31)</f>
        <v>22509</v>
      </c>
      <c r="P7" s="112" t="s">
        <v>131</v>
      </c>
      <c r="R7" s="73">
        <f t="shared" si="2"/>
        <v>-2.4105787990461636</v>
      </c>
    </row>
    <row r="8" spans="1:18" ht="12.75" customHeight="1">
      <c r="A8" s="11"/>
      <c r="B8" s="12" t="s">
        <v>72</v>
      </c>
      <c r="C8" s="155">
        <v>3415</v>
      </c>
      <c r="D8" s="71">
        <v>3609</v>
      </c>
      <c r="E8" s="71">
        <v>3286</v>
      </c>
      <c r="F8" s="71">
        <v>3494</v>
      </c>
      <c r="G8" s="71">
        <v>3462</v>
      </c>
      <c r="H8" s="71">
        <v>3413</v>
      </c>
      <c r="I8" s="71">
        <v>3358</v>
      </c>
      <c r="J8" s="71">
        <v>3292</v>
      </c>
      <c r="K8" s="363">
        <v>3251</v>
      </c>
      <c r="L8" s="363">
        <v>3235</v>
      </c>
      <c r="M8" s="363">
        <v>3275</v>
      </c>
      <c r="N8" s="363">
        <v>3201</v>
      </c>
      <c r="O8" s="296">
        <v>3412</v>
      </c>
      <c r="P8" s="12" t="s">
        <v>72</v>
      </c>
      <c r="R8" s="73">
        <f t="shared" si="2"/>
        <v>6.591690096844729</v>
      </c>
    </row>
    <row r="9" spans="1:18" ht="12.75" customHeight="1">
      <c r="A9" s="11"/>
      <c r="B9" s="110" t="s">
        <v>54</v>
      </c>
      <c r="C9" s="165">
        <v>1762</v>
      </c>
      <c r="D9" s="145">
        <v>2441</v>
      </c>
      <c r="E9" s="145">
        <v>2386</v>
      </c>
      <c r="F9" s="145">
        <v>2099</v>
      </c>
      <c r="G9" s="145">
        <v>1935</v>
      </c>
      <c r="H9" s="145">
        <v>1655</v>
      </c>
      <c r="I9" s="145">
        <v>1705</v>
      </c>
      <c r="J9" s="145">
        <f>1680+69</f>
        <v>1749</v>
      </c>
      <c r="K9" s="364">
        <f>1489+69</f>
        <v>1558</v>
      </c>
      <c r="L9" s="364">
        <f>1462+69</f>
        <v>1531</v>
      </c>
      <c r="M9" s="364">
        <f>1483+67</f>
        <v>1550</v>
      </c>
      <c r="N9" s="364">
        <v>1599</v>
      </c>
      <c r="O9" s="297">
        <f>1535+67</f>
        <v>1602</v>
      </c>
      <c r="P9" s="110" t="s">
        <v>54</v>
      </c>
      <c r="R9" s="73">
        <f t="shared" si="2"/>
        <v>0.18761726078800223</v>
      </c>
    </row>
    <row r="10" spans="1:18" ht="12.75" customHeight="1">
      <c r="A10" s="11"/>
      <c r="B10" s="13" t="s">
        <v>56</v>
      </c>
      <c r="C10" s="157"/>
      <c r="D10" s="158"/>
      <c r="E10" s="158"/>
      <c r="F10" s="62">
        <v>5252</v>
      </c>
      <c r="G10" s="62">
        <v>5223</v>
      </c>
      <c r="H10" s="62">
        <v>5103</v>
      </c>
      <c r="I10" s="62">
        <v>5085</v>
      </c>
      <c r="J10" s="62">
        <v>4985</v>
      </c>
      <c r="K10" s="365">
        <f>4887+8</f>
        <v>4895</v>
      </c>
      <c r="L10" s="365">
        <f>4759+8</f>
        <v>4767</v>
      </c>
      <c r="M10" s="365">
        <f>4558+8</f>
        <v>4566</v>
      </c>
      <c r="N10" s="365">
        <v>4561</v>
      </c>
      <c r="O10" s="298">
        <f>4545+8</f>
        <v>4553</v>
      </c>
      <c r="P10" s="13" t="s">
        <v>56</v>
      </c>
      <c r="R10" s="73">
        <f t="shared" si="2"/>
        <v>-0.1754001315500915</v>
      </c>
    </row>
    <row r="11" spans="1:18" ht="12.75" customHeight="1">
      <c r="A11" s="11"/>
      <c r="B11" s="110" t="s">
        <v>67</v>
      </c>
      <c r="C11" s="165">
        <v>1526</v>
      </c>
      <c r="D11" s="145">
        <v>1613</v>
      </c>
      <c r="E11" s="145">
        <v>1594</v>
      </c>
      <c r="F11" s="145">
        <v>1590</v>
      </c>
      <c r="G11" s="145">
        <v>1573</v>
      </c>
      <c r="H11" s="145">
        <v>1704</v>
      </c>
      <c r="I11" s="145">
        <v>1538</v>
      </c>
      <c r="J11" s="145">
        <v>1525</v>
      </c>
      <c r="K11" s="364">
        <v>1473</v>
      </c>
      <c r="L11" s="364">
        <v>1473</v>
      </c>
      <c r="M11" s="364">
        <v>1473</v>
      </c>
      <c r="N11" s="364">
        <v>1523</v>
      </c>
      <c r="O11" s="297">
        <v>1737</v>
      </c>
      <c r="P11" s="110" t="s">
        <v>67</v>
      </c>
      <c r="R11" s="73">
        <f t="shared" si="2"/>
        <v>14.051214707813514</v>
      </c>
    </row>
    <row r="12" spans="1:18" ht="12.75" customHeight="1">
      <c r="A12" s="11"/>
      <c r="B12" s="13" t="s">
        <v>73</v>
      </c>
      <c r="C12" s="327">
        <v>31506</v>
      </c>
      <c r="D12" s="62">
        <v>29118</v>
      </c>
      <c r="E12" s="62">
        <v>24139</v>
      </c>
      <c r="F12" s="62">
        <v>21097</v>
      </c>
      <c r="G12" s="62">
        <v>21139</v>
      </c>
      <c r="H12" s="62">
        <v>21728</v>
      </c>
      <c r="I12" s="62">
        <f>20916+76</f>
        <v>20992</v>
      </c>
      <c r="J12" s="62">
        <v>20396</v>
      </c>
      <c r="K12" s="365">
        <v>20169</v>
      </c>
      <c r="L12" s="365">
        <v>18174</v>
      </c>
      <c r="M12" s="365">
        <v>17537</v>
      </c>
      <c r="N12" s="365">
        <v>18671</v>
      </c>
      <c r="O12" s="298">
        <v>18607</v>
      </c>
      <c r="P12" s="13" t="s">
        <v>73</v>
      </c>
      <c r="R12" s="73">
        <f t="shared" si="2"/>
        <v>-0.3427775694927959</v>
      </c>
    </row>
    <row r="13" spans="1:18" ht="12.75" customHeight="1">
      <c r="A13" s="11"/>
      <c r="B13" s="110" t="s">
        <v>57</v>
      </c>
      <c r="C13" s="165"/>
      <c r="D13" s="145"/>
      <c r="E13" s="793">
        <v>596</v>
      </c>
      <c r="F13" s="145">
        <v>241</v>
      </c>
      <c r="G13" s="145">
        <v>308</v>
      </c>
      <c r="H13" s="145">
        <v>203</v>
      </c>
      <c r="I13" s="145">
        <v>251</v>
      </c>
      <c r="J13" s="145">
        <v>243</v>
      </c>
      <c r="K13" s="364">
        <v>183</v>
      </c>
      <c r="L13" s="364">
        <v>185</v>
      </c>
      <c r="M13" s="364">
        <v>189</v>
      </c>
      <c r="N13" s="372">
        <v>189</v>
      </c>
      <c r="O13" s="372">
        <v>189</v>
      </c>
      <c r="P13" s="110" t="s">
        <v>57</v>
      </c>
      <c r="R13" s="73">
        <f t="shared" si="2"/>
        <v>0</v>
      </c>
    </row>
    <row r="14" spans="1:18" ht="12.75" customHeight="1">
      <c r="A14" s="11"/>
      <c r="B14" s="13" t="s">
        <v>76</v>
      </c>
      <c r="C14" s="156">
        <v>484</v>
      </c>
      <c r="D14" s="62">
        <v>348</v>
      </c>
      <c r="E14" s="62">
        <v>314</v>
      </c>
      <c r="F14" s="62">
        <v>421</v>
      </c>
      <c r="G14" s="62">
        <v>418</v>
      </c>
      <c r="H14" s="62">
        <v>419</v>
      </c>
      <c r="I14" s="62">
        <v>405</v>
      </c>
      <c r="J14" s="62">
        <v>554</v>
      </c>
      <c r="K14" s="365">
        <v>581</v>
      </c>
      <c r="L14" s="365">
        <v>581</v>
      </c>
      <c r="M14" s="365">
        <v>581</v>
      </c>
      <c r="N14" s="365">
        <v>649</v>
      </c>
      <c r="O14" s="298">
        <v>592</v>
      </c>
      <c r="P14" s="13" t="s">
        <v>76</v>
      </c>
      <c r="R14" s="73">
        <f t="shared" si="2"/>
        <v>-8.782742681047765</v>
      </c>
    </row>
    <row r="15" spans="1:18" ht="12.75" customHeight="1">
      <c r="A15" s="11"/>
      <c r="B15" s="110" t="s">
        <v>68</v>
      </c>
      <c r="C15" s="165">
        <v>574</v>
      </c>
      <c r="D15" s="145">
        <v>660</v>
      </c>
      <c r="E15" s="145">
        <v>810</v>
      </c>
      <c r="F15" s="145">
        <v>505</v>
      </c>
      <c r="G15" s="145">
        <v>509</v>
      </c>
      <c r="H15" s="145">
        <v>660</v>
      </c>
      <c r="I15" s="145">
        <v>457</v>
      </c>
      <c r="J15" s="145">
        <f>376+138</f>
        <v>514</v>
      </c>
      <c r="K15" s="364">
        <f>427+137</f>
        <v>564</v>
      </c>
      <c r="L15" s="364">
        <f>509+82</f>
        <v>591</v>
      </c>
      <c r="M15" s="364">
        <f>674+107</f>
        <v>781</v>
      </c>
      <c r="N15" s="364">
        <v>793</v>
      </c>
      <c r="O15" s="372">
        <v>793</v>
      </c>
      <c r="P15" s="110" t="s">
        <v>68</v>
      </c>
      <c r="R15" s="73">
        <f t="shared" si="2"/>
        <v>0</v>
      </c>
    </row>
    <row r="16" spans="1:18" ht="12.75" customHeight="1">
      <c r="A16" s="11"/>
      <c r="B16" s="13" t="s">
        <v>74</v>
      </c>
      <c r="C16" s="156">
        <v>3904</v>
      </c>
      <c r="D16" s="62">
        <v>3721</v>
      </c>
      <c r="E16" s="62">
        <v>3839</v>
      </c>
      <c r="F16" s="62">
        <v>3765</v>
      </c>
      <c r="G16" s="62">
        <v>4262</v>
      </c>
      <c r="H16" s="62">
        <v>4345</v>
      </c>
      <c r="I16" s="62">
        <f>157+236+151+87+3623+144+10</f>
        <v>4408</v>
      </c>
      <c r="J16" s="62">
        <f>157+238+148+87+3645+188+10</f>
        <v>4473</v>
      </c>
      <c r="K16" s="365">
        <f>157+248+148+108+4192+376+10</f>
        <v>5239</v>
      </c>
      <c r="L16" s="365">
        <f>157+268+148+126+3949+376</f>
        <v>5024</v>
      </c>
      <c r="M16" s="365">
        <f>274+148+126+3858+454</f>
        <v>4860</v>
      </c>
      <c r="N16" s="365">
        <v>5075</v>
      </c>
      <c r="O16" s="298">
        <f>228+257+148+126+4054+440</f>
        <v>5253</v>
      </c>
      <c r="P16" s="13" t="s">
        <v>74</v>
      </c>
      <c r="R16" s="73">
        <f t="shared" si="2"/>
        <v>3.507389162561566</v>
      </c>
    </row>
    <row r="17" spans="1:18" ht="12.75" customHeight="1">
      <c r="A17" s="11"/>
      <c r="B17" s="110" t="s">
        <v>75</v>
      </c>
      <c r="C17" s="165">
        <v>15663</v>
      </c>
      <c r="D17" s="145">
        <v>16032</v>
      </c>
      <c r="E17" s="145">
        <v>15748</v>
      </c>
      <c r="F17" s="145">
        <v>15656</v>
      </c>
      <c r="G17" s="145">
        <v>15650</v>
      </c>
      <c r="H17" s="145">
        <v>15685</v>
      </c>
      <c r="I17" s="145">
        <v>15553</v>
      </c>
      <c r="J17" s="145">
        <v>15630</v>
      </c>
      <c r="K17" s="364">
        <f>15830+49</f>
        <v>15879</v>
      </c>
      <c r="L17" s="364">
        <f>15943+52</f>
        <v>15995</v>
      </c>
      <c r="M17" s="364">
        <f>15808+55</f>
        <v>15863</v>
      </c>
      <c r="N17" s="364">
        <v>16255</v>
      </c>
      <c r="O17" s="297">
        <f>16460+64</f>
        <v>16524</v>
      </c>
      <c r="P17" s="110" t="s">
        <v>75</v>
      </c>
      <c r="R17" s="73">
        <f t="shared" si="2"/>
        <v>1.6548754229467733</v>
      </c>
    </row>
    <row r="18" spans="1:18" ht="12.75" customHeight="1">
      <c r="A18" s="11"/>
      <c r="B18" s="13" t="s">
        <v>77</v>
      </c>
      <c r="C18" s="156">
        <v>11060</v>
      </c>
      <c r="D18" s="62">
        <v>13444</v>
      </c>
      <c r="E18" s="62">
        <v>14025</v>
      </c>
      <c r="F18" s="62">
        <v>11914</v>
      </c>
      <c r="G18" s="62">
        <v>11933</v>
      </c>
      <c r="H18" s="62">
        <v>11007</v>
      </c>
      <c r="I18" s="62">
        <f>10374+439</f>
        <v>10813</v>
      </c>
      <c r="J18" s="62">
        <f>10036+241</f>
        <v>10277</v>
      </c>
      <c r="K18" s="365">
        <f>241+9825</f>
        <v>10066</v>
      </c>
      <c r="L18" s="365">
        <f>425+9993</f>
        <v>10418</v>
      </c>
      <c r="M18" s="365">
        <f>425+9749</f>
        <v>10174</v>
      </c>
      <c r="N18" s="365">
        <v>9825</v>
      </c>
      <c r="O18" s="298">
        <f>543+11931</f>
        <v>12474</v>
      </c>
      <c r="P18" s="13" t="s">
        <v>77</v>
      </c>
      <c r="R18" s="73">
        <f t="shared" si="2"/>
        <v>26.961832061068705</v>
      </c>
    </row>
    <row r="19" spans="1:18" ht="12.75" customHeight="1">
      <c r="A19" s="11"/>
      <c r="B19" s="110" t="s">
        <v>55</v>
      </c>
      <c r="C19" s="166" t="s">
        <v>85</v>
      </c>
      <c r="D19" s="167" t="s">
        <v>85</v>
      </c>
      <c r="E19" s="167" t="s">
        <v>85</v>
      </c>
      <c r="F19" s="167" t="s">
        <v>85</v>
      </c>
      <c r="G19" s="167" t="s">
        <v>85</v>
      </c>
      <c r="H19" s="167" t="s">
        <v>85</v>
      </c>
      <c r="I19" s="167" t="s">
        <v>85</v>
      </c>
      <c r="J19" s="167" t="s">
        <v>85</v>
      </c>
      <c r="K19" s="301" t="s">
        <v>85</v>
      </c>
      <c r="L19" s="301" t="s">
        <v>85</v>
      </c>
      <c r="M19" s="301" t="s">
        <v>85</v>
      </c>
      <c r="N19" s="301" t="s">
        <v>85</v>
      </c>
      <c r="O19" s="301" t="s">
        <v>85</v>
      </c>
      <c r="P19" s="110" t="s">
        <v>55</v>
      </c>
      <c r="R19" s="455"/>
    </row>
    <row r="20" spans="1:18" ht="12.75" customHeight="1">
      <c r="A20" s="11"/>
      <c r="B20" s="13" t="s">
        <v>59</v>
      </c>
      <c r="C20" s="156"/>
      <c r="D20" s="62"/>
      <c r="E20" s="62">
        <v>1226</v>
      </c>
      <c r="F20" s="62">
        <v>702</v>
      </c>
      <c r="G20" s="62">
        <v>621</v>
      </c>
      <c r="H20" s="62">
        <v>597</v>
      </c>
      <c r="I20" s="62">
        <v>579</v>
      </c>
      <c r="J20" s="62">
        <v>535</v>
      </c>
      <c r="K20" s="365">
        <v>490</v>
      </c>
      <c r="L20" s="365">
        <v>490</v>
      </c>
      <c r="M20" s="365">
        <v>491</v>
      </c>
      <c r="N20" s="799">
        <v>491</v>
      </c>
      <c r="O20" s="799">
        <v>491</v>
      </c>
      <c r="P20" s="13" t="s">
        <v>59</v>
      </c>
      <c r="R20" s="73">
        <f>O20/N20*100-100</f>
        <v>0</v>
      </c>
    </row>
    <row r="21" spans="1:18" ht="12.75" customHeight="1">
      <c r="A21" s="11"/>
      <c r="B21" s="110" t="s">
        <v>60</v>
      </c>
      <c r="C21" s="165"/>
      <c r="D21" s="145"/>
      <c r="E21" s="793">
        <v>664</v>
      </c>
      <c r="F21" s="145">
        <v>563</v>
      </c>
      <c r="G21" s="145">
        <v>537</v>
      </c>
      <c r="H21" s="145">
        <v>509</v>
      </c>
      <c r="I21" s="145">
        <v>480</v>
      </c>
      <c r="J21" s="145">
        <v>475</v>
      </c>
      <c r="K21" s="364">
        <v>467</v>
      </c>
      <c r="L21" s="364">
        <v>458</v>
      </c>
      <c r="M21" s="364">
        <v>423</v>
      </c>
      <c r="N21" s="364">
        <v>363</v>
      </c>
      <c r="O21" s="297">
        <v>340</v>
      </c>
      <c r="P21" s="110" t="s">
        <v>60</v>
      </c>
      <c r="R21" s="73">
        <f>O21/N21*100-100</f>
        <v>-6.336088154269973</v>
      </c>
    </row>
    <row r="22" spans="1:18" ht="12.75" customHeight="1">
      <c r="A22" s="11"/>
      <c r="B22" s="13" t="s">
        <v>78</v>
      </c>
      <c r="C22" s="156">
        <v>114</v>
      </c>
      <c r="D22" s="62">
        <v>102</v>
      </c>
      <c r="E22" s="62">
        <v>114</v>
      </c>
      <c r="F22" s="62">
        <v>149</v>
      </c>
      <c r="G22" s="62">
        <v>152</v>
      </c>
      <c r="H22" s="62">
        <v>150</v>
      </c>
      <c r="I22" s="62">
        <v>150</v>
      </c>
      <c r="J22" s="62">
        <v>212</v>
      </c>
      <c r="K22" s="365">
        <v>185</v>
      </c>
      <c r="L22" s="365">
        <v>191</v>
      </c>
      <c r="M22" s="365">
        <v>191</v>
      </c>
      <c r="N22" s="365">
        <v>187</v>
      </c>
      <c r="O22" s="298">
        <v>187</v>
      </c>
      <c r="P22" s="13" t="s">
        <v>78</v>
      </c>
      <c r="R22" s="73">
        <f>O22/N22*100-100</f>
        <v>0</v>
      </c>
    </row>
    <row r="23" spans="1:18" ht="12.75" customHeight="1">
      <c r="A23" s="11"/>
      <c r="B23" s="110" t="s">
        <v>58</v>
      </c>
      <c r="C23" s="165"/>
      <c r="D23" s="145"/>
      <c r="E23" s="145">
        <v>4385</v>
      </c>
      <c r="F23" s="145">
        <v>3232</v>
      </c>
      <c r="G23" s="145">
        <v>3142</v>
      </c>
      <c r="H23" s="145">
        <v>3376</v>
      </c>
      <c r="I23" s="145">
        <f>52+2882+81</f>
        <v>3015</v>
      </c>
      <c r="J23" s="145">
        <f>65+3249+82</f>
        <v>3396</v>
      </c>
      <c r="K23" s="364">
        <f>2646+76+65</f>
        <v>2787</v>
      </c>
      <c r="L23" s="364">
        <f>65+2657+75</f>
        <v>2797</v>
      </c>
      <c r="M23" s="364">
        <f>65+2520+787</f>
        <v>3372</v>
      </c>
      <c r="N23" s="364">
        <v>3253</v>
      </c>
      <c r="O23" s="297">
        <f>82+2198+791</f>
        <v>3071</v>
      </c>
      <c r="P23" s="110" t="s">
        <v>58</v>
      </c>
      <c r="R23" s="73">
        <f>O23/N23*100-100</f>
        <v>-5.594835536427908</v>
      </c>
    </row>
    <row r="24" spans="1:18" ht="12.75" customHeight="1">
      <c r="A24" s="11"/>
      <c r="B24" s="13" t="s">
        <v>61</v>
      </c>
      <c r="C24" s="157" t="s">
        <v>85</v>
      </c>
      <c r="D24" s="158" t="s">
        <v>85</v>
      </c>
      <c r="E24" s="158" t="s">
        <v>85</v>
      </c>
      <c r="F24" s="158" t="s">
        <v>85</v>
      </c>
      <c r="G24" s="158" t="s">
        <v>85</v>
      </c>
      <c r="H24" s="158" t="s">
        <v>85</v>
      </c>
      <c r="I24" s="158" t="s">
        <v>85</v>
      </c>
      <c r="J24" s="158" t="s">
        <v>85</v>
      </c>
      <c r="K24" s="303" t="s">
        <v>85</v>
      </c>
      <c r="L24" s="303" t="s">
        <v>85</v>
      </c>
      <c r="M24" s="303" t="s">
        <v>85</v>
      </c>
      <c r="N24" s="303" t="s">
        <v>85</v>
      </c>
      <c r="O24" s="303" t="s">
        <v>85</v>
      </c>
      <c r="P24" s="13" t="s">
        <v>61</v>
      </c>
      <c r="R24" s="455"/>
    </row>
    <row r="25" spans="1:18" ht="12.75" customHeight="1">
      <c r="A25" s="11"/>
      <c r="B25" s="111" t="s">
        <v>69</v>
      </c>
      <c r="C25" s="165">
        <v>1919</v>
      </c>
      <c r="D25" s="145">
        <v>1958</v>
      </c>
      <c r="E25" s="145">
        <v>2268</v>
      </c>
      <c r="F25" s="145">
        <v>2742</v>
      </c>
      <c r="G25" s="145">
        <v>2742</v>
      </c>
      <c r="H25" s="145">
        <v>2693</v>
      </c>
      <c r="I25" s="176">
        <v>2758</v>
      </c>
      <c r="J25" s="145">
        <v>833</v>
      </c>
      <c r="K25" s="364">
        <v>852</v>
      </c>
      <c r="L25" s="364">
        <v>870</v>
      </c>
      <c r="M25" s="794">
        <v>833</v>
      </c>
      <c r="N25" s="364">
        <v>2818</v>
      </c>
      <c r="O25" s="297">
        <v>2531</v>
      </c>
      <c r="P25" s="111" t="s">
        <v>69</v>
      </c>
      <c r="R25" s="73">
        <f aca="true" t="shared" si="4" ref="R25:R37">O25/N25*100-100</f>
        <v>-10.184528034066716</v>
      </c>
    </row>
    <row r="26" spans="1:18" ht="12.75" customHeight="1">
      <c r="A26" s="11"/>
      <c r="B26" s="13" t="s">
        <v>79</v>
      </c>
      <c r="C26" s="156">
        <v>4125</v>
      </c>
      <c r="D26" s="62">
        <v>4025</v>
      </c>
      <c r="E26" s="62">
        <v>3689</v>
      </c>
      <c r="F26" s="62">
        <v>3468</v>
      </c>
      <c r="G26" s="62">
        <v>3332</v>
      </c>
      <c r="H26" s="62">
        <v>3320</v>
      </c>
      <c r="I26" s="62">
        <f>21+3017+111+26</f>
        <v>3175</v>
      </c>
      <c r="J26" s="62">
        <f>24+2938+140</f>
        <v>3102</v>
      </c>
      <c r="K26" s="365">
        <f>24+2949+139</f>
        <v>3112</v>
      </c>
      <c r="L26" s="365">
        <f>24+3016</f>
        <v>3040</v>
      </c>
      <c r="M26" s="365">
        <f>24+2954</f>
        <v>2978</v>
      </c>
      <c r="N26" s="365">
        <v>3010</v>
      </c>
      <c r="O26" s="298">
        <f>24+2871+100</f>
        <v>2995</v>
      </c>
      <c r="P26" s="13" t="s">
        <v>79</v>
      </c>
      <c r="R26" s="73">
        <f t="shared" si="4"/>
        <v>-0.49833887043189407</v>
      </c>
    </row>
    <row r="27" spans="1:18" ht="12.75" customHeight="1">
      <c r="A27" s="11"/>
      <c r="B27" s="110" t="s">
        <v>62</v>
      </c>
      <c r="C27" s="165">
        <v>8522</v>
      </c>
      <c r="D27" s="145">
        <v>7493</v>
      </c>
      <c r="E27" s="145">
        <v>11928</v>
      </c>
      <c r="F27" s="145">
        <v>9761</v>
      </c>
      <c r="G27" s="145">
        <v>9529</v>
      </c>
      <c r="H27" s="145">
        <v>8965</v>
      </c>
      <c r="I27" s="145">
        <v>8818</v>
      </c>
      <c r="J27" s="145">
        <v>8658</v>
      </c>
      <c r="K27" s="364">
        <v>7725</v>
      </c>
      <c r="L27" s="364">
        <v>7416</v>
      </c>
      <c r="M27" s="364">
        <v>7255</v>
      </c>
      <c r="N27" s="364">
        <v>7224</v>
      </c>
      <c r="O27" s="297">
        <v>6945</v>
      </c>
      <c r="P27" s="110" t="s">
        <v>62</v>
      </c>
      <c r="R27" s="73">
        <f t="shared" si="4"/>
        <v>-3.862126245847179</v>
      </c>
    </row>
    <row r="28" spans="1:18" ht="12.75" customHeight="1">
      <c r="A28" s="11"/>
      <c r="B28" s="13" t="s">
        <v>80</v>
      </c>
      <c r="C28" s="156">
        <v>980</v>
      </c>
      <c r="D28" s="62">
        <v>1137</v>
      </c>
      <c r="E28" s="62">
        <v>1232</v>
      </c>
      <c r="F28" s="62">
        <v>1303</v>
      </c>
      <c r="G28" s="62">
        <v>1313</v>
      </c>
      <c r="H28" s="163"/>
      <c r="I28" s="62">
        <f>1184+19</f>
        <v>1203</v>
      </c>
      <c r="J28" s="62">
        <f>1131+19</f>
        <v>1150</v>
      </c>
      <c r="K28" s="365">
        <f>1106+19</f>
        <v>1125</v>
      </c>
      <c r="L28" s="365">
        <f>1043+19</f>
        <v>1062</v>
      </c>
      <c r="M28" s="365">
        <f>1041+19</f>
        <v>1060</v>
      </c>
      <c r="N28" s="365">
        <v>1051</v>
      </c>
      <c r="O28" s="298">
        <f>1024+19</f>
        <v>1043</v>
      </c>
      <c r="P28" s="13" t="s">
        <v>80</v>
      </c>
      <c r="R28" s="73">
        <f t="shared" si="4"/>
        <v>-0.7611798287345408</v>
      </c>
    </row>
    <row r="29" spans="1:18" ht="12.75" customHeight="1">
      <c r="A29" s="11"/>
      <c r="B29" s="110" t="s">
        <v>63</v>
      </c>
      <c r="C29" s="165"/>
      <c r="D29" s="145">
        <v>5579</v>
      </c>
      <c r="E29" s="145">
        <v>6352</v>
      </c>
      <c r="F29" s="145">
        <v>6234</v>
      </c>
      <c r="G29" s="145">
        <v>6245</v>
      </c>
      <c r="H29" s="176">
        <v>5467</v>
      </c>
      <c r="I29" s="151">
        <v>3629</v>
      </c>
      <c r="J29" s="151">
        <v>3407</v>
      </c>
      <c r="K29" s="366">
        <v>3310</v>
      </c>
      <c r="L29" s="366">
        <v>3380</v>
      </c>
      <c r="M29" s="366">
        <v>3462</v>
      </c>
      <c r="N29" s="366">
        <v>3314</v>
      </c>
      <c r="O29" s="299">
        <f>3306+6</f>
        <v>3312</v>
      </c>
      <c r="P29" s="110" t="s">
        <v>63</v>
      </c>
      <c r="R29" s="73">
        <f t="shared" si="4"/>
        <v>-0.060350030175015945</v>
      </c>
    </row>
    <row r="30" spans="1:18" ht="12.75" customHeight="1">
      <c r="A30" s="11"/>
      <c r="B30" s="13" t="s">
        <v>65</v>
      </c>
      <c r="C30" s="156"/>
      <c r="D30" s="62"/>
      <c r="E30" s="62">
        <v>606</v>
      </c>
      <c r="F30" s="62">
        <v>461</v>
      </c>
      <c r="G30" s="62">
        <v>470</v>
      </c>
      <c r="H30" s="62">
        <v>482</v>
      </c>
      <c r="I30" s="62">
        <v>432</v>
      </c>
      <c r="J30" s="62">
        <v>403</v>
      </c>
      <c r="K30" s="365">
        <v>401</v>
      </c>
      <c r="L30" s="365">
        <v>400</v>
      </c>
      <c r="M30" s="365">
        <v>373</v>
      </c>
      <c r="N30" s="365">
        <v>362</v>
      </c>
      <c r="O30" s="298">
        <v>360</v>
      </c>
      <c r="P30" s="13" t="s">
        <v>65</v>
      </c>
      <c r="R30" s="73">
        <f t="shared" si="4"/>
        <v>-0.5524861878453038</v>
      </c>
    </row>
    <row r="31" spans="1:18" ht="12.75" customHeight="1">
      <c r="A31" s="11"/>
      <c r="B31" s="110" t="s">
        <v>64</v>
      </c>
      <c r="C31" s="166"/>
      <c r="D31" s="167"/>
      <c r="E31" s="167"/>
      <c r="F31" s="145">
        <v>2273</v>
      </c>
      <c r="G31" s="145">
        <v>1915</v>
      </c>
      <c r="H31" s="145">
        <v>2189</v>
      </c>
      <c r="I31" s="145">
        <f>1939+45</f>
        <v>1984</v>
      </c>
      <c r="J31" s="145">
        <f>1768+27+2</f>
        <v>1797</v>
      </c>
      <c r="K31" s="364">
        <f>1782+26</f>
        <v>1808</v>
      </c>
      <c r="L31" s="364">
        <f>1671+56</f>
        <v>1727</v>
      </c>
      <c r="M31" s="364">
        <f>1713+58</f>
        <v>1771</v>
      </c>
      <c r="N31" s="364">
        <v>1709</v>
      </c>
      <c r="O31" s="297">
        <f>1586+60</f>
        <v>1646</v>
      </c>
      <c r="P31" s="110" t="s">
        <v>64</v>
      </c>
      <c r="R31" s="73">
        <f t="shared" si="4"/>
        <v>-3.6863662960795835</v>
      </c>
    </row>
    <row r="32" spans="1:18" ht="12.75" customHeight="1">
      <c r="A32" s="11"/>
      <c r="B32" s="13" t="s">
        <v>81</v>
      </c>
      <c r="C32" s="156">
        <v>1032</v>
      </c>
      <c r="D32" s="62">
        <v>1100</v>
      </c>
      <c r="E32" s="62">
        <v>957</v>
      </c>
      <c r="F32" s="62">
        <v>1003</v>
      </c>
      <c r="G32" s="62">
        <v>1011</v>
      </c>
      <c r="H32" s="62">
        <v>1030</v>
      </c>
      <c r="I32" s="62">
        <v>1060</v>
      </c>
      <c r="J32" s="62">
        <v>1029</v>
      </c>
      <c r="K32" s="365">
        <v>1084</v>
      </c>
      <c r="L32" s="365">
        <v>1083</v>
      </c>
      <c r="M32" s="365">
        <v>1024</v>
      </c>
      <c r="N32" s="365">
        <v>1035</v>
      </c>
      <c r="O32" s="298">
        <v>1033</v>
      </c>
      <c r="P32" s="13" t="s">
        <v>81</v>
      </c>
      <c r="R32" s="73">
        <f t="shared" si="4"/>
        <v>-0.19323671497583916</v>
      </c>
    </row>
    <row r="33" spans="1:18" ht="12.75" customHeight="1">
      <c r="A33" s="11"/>
      <c r="B33" s="110" t="s">
        <v>82</v>
      </c>
      <c r="C33" s="165">
        <v>2746</v>
      </c>
      <c r="D33" s="145">
        <v>1998</v>
      </c>
      <c r="E33" s="800">
        <v>1747</v>
      </c>
      <c r="F33" s="145">
        <v>1000</v>
      </c>
      <c r="G33" s="145"/>
      <c r="H33" s="145">
        <v>1263</v>
      </c>
      <c r="I33" s="145">
        <v>879</v>
      </c>
      <c r="J33" s="145">
        <v>771</v>
      </c>
      <c r="K33" s="364">
        <v>791</v>
      </c>
      <c r="L33" s="364">
        <v>832</v>
      </c>
      <c r="M33" s="364">
        <v>792</v>
      </c>
      <c r="N33" s="364">
        <v>879</v>
      </c>
      <c r="O33" s="297">
        <v>879</v>
      </c>
      <c r="P33" s="110" t="s">
        <v>82</v>
      </c>
      <c r="R33" s="73">
        <f t="shared" si="4"/>
        <v>0</v>
      </c>
    </row>
    <row r="34" spans="1:18" ht="12.75" customHeight="1">
      <c r="A34" s="11"/>
      <c r="B34" s="154" t="s">
        <v>70</v>
      </c>
      <c r="C34" s="164">
        <v>18678</v>
      </c>
      <c r="D34" s="380">
        <v>17042</v>
      </c>
      <c r="E34" s="801"/>
      <c r="F34" s="65"/>
      <c r="G34" s="65">
        <v>10425</v>
      </c>
      <c r="H34" s="65">
        <v>16982</v>
      </c>
      <c r="I34" s="65"/>
      <c r="J34" s="65">
        <f>12017+18+108</f>
        <v>12143</v>
      </c>
      <c r="K34" s="306">
        <f>10776+18+140</f>
        <v>10934</v>
      </c>
      <c r="L34" s="306">
        <f>10776+18+140</f>
        <v>10934</v>
      </c>
      <c r="M34" s="306">
        <f>10756+140</f>
        <v>10896</v>
      </c>
      <c r="N34" s="306">
        <v>11515</v>
      </c>
      <c r="O34" s="304">
        <f>11413+198+140</f>
        <v>11751</v>
      </c>
      <c r="P34" s="14" t="s">
        <v>70</v>
      </c>
      <c r="R34" s="73">
        <f t="shared" si="4"/>
        <v>2.049500651324365</v>
      </c>
    </row>
    <row r="35" spans="1:18" ht="12.75" customHeight="1">
      <c r="A35" s="11"/>
      <c r="B35" s="110" t="s">
        <v>86</v>
      </c>
      <c r="C35" s="165">
        <v>1062</v>
      </c>
      <c r="D35" s="145">
        <v>1038</v>
      </c>
      <c r="E35" s="145">
        <v>1052</v>
      </c>
      <c r="F35" s="145">
        <v>720</v>
      </c>
      <c r="G35" s="145">
        <v>698</v>
      </c>
      <c r="H35" s="145">
        <v>681</v>
      </c>
      <c r="I35" s="145">
        <v>640</v>
      </c>
      <c r="J35" s="145">
        <v>617</v>
      </c>
      <c r="K35" s="364">
        <v>579</v>
      </c>
      <c r="L35" s="364">
        <v>571</v>
      </c>
      <c r="M35" s="364">
        <v>552</v>
      </c>
      <c r="N35" s="364">
        <v>553</v>
      </c>
      <c r="O35" s="297">
        <v>523</v>
      </c>
      <c r="P35" s="110" t="s">
        <v>86</v>
      </c>
      <c r="R35" s="73">
        <f t="shared" si="4"/>
        <v>-5.424954792043408</v>
      </c>
    </row>
    <row r="36" spans="1:18" ht="12.75" customHeight="1">
      <c r="A36" s="11"/>
      <c r="B36" s="13" t="s">
        <v>1</v>
      </c>
      <c r="C36" s="156"/>
      <c r="D36" s="62">
        <v>180</v>
      </c>
      <c r="E36" s="62">
        <v>175</v>
      </c>
      <c r="F36" s="62">
        <v>164</v>
      </c>
      <c r="G36" s="62">
        <v>139</v>
      </c>
      <c r="H36" s="62">
        <v>139</v>
      </c>
      <c r="I36" s="62">
        <v>137</v>
      </c>
      <c r="J36" s="62">
        <v>135</v>
      </c>
      <c r="K36" s="365">
        <v>125</v>
      </c>
      <c r="L36" s="365">
        <v>124</v>
      </c>
      <c r="M36" s="365">
        <v>124</v>
      </c>
      <c r="N36" s="365">
        <v>124</v>
      </c>
      <c r="O36" s="298">
        <v>110</v>
      </c>
      <c r="P36" s="13" t="s">
        <v>1</v>
      </c>
      <c r="R36" s="73">
        <f t="shared" si="4"/>
        <v>-11.290322580645167</v>
      </c>
    </row>
    <row r="37" spans="1:18" ht="12.75" customHeight="1">
      <c r="A37" s="11"/>
      <c r="B37" s="112" t="s">
        <v>66</v>
      </c>
      <c r="C37" s="173">
        <v>1548</v>
      </c>
      <c r="D37" s="174">
        <v>1351</v>
      </c>
      <c r="E37" s="174">
        <v>1443</v>
      </c>
      <c r="F37" s="147">
        <v>1415</v>
      </c>
      <c r="G37" s="147">
        <v>1385</v>
      </c>
      <c r="H37" s="147">
        <v>1356</v>
      </c>
      <c r="I37" s="147">
        <v>1294</v>
      </c>
      <c r="J37" s="147">
        <v>1318</v>
      </c>
      <c r="K37" s="369">
        <v>1312</v>
      </c>
      <c r="L37" s="369">
        <v>1306</v>
      </c>
      <c r="M37" s="369">
        <v>1319</v>
      </c>
      <c r="N37" s="369">
        <v>1304</v>
      </c>
      <c r="O37" s="305">
        <v>1313</v>
      </c>
      <c r="P37" s="112" t="s">
        <v>66</v>
      </c>
      <c r="R37" s="73">
        <f t="shared" si="4"/>
        <v>0.6901840490797468</v>
      </c>
    </row>
    <row r="38" spans="1:18" ht="12.75" customHeight="1">
      <c r="A38" s="11"/>
      <c r="B38" s="12" t="s">
        <v>52</v>
      </c>
      <c r="C38" s="157" t="s">
        <v>85</v>
      </c>
      <c r="D38" s="158" t="s">
        <v>85</v>
      </c>
      <c r="E38" s="158" t="s">
        <v>85</v>
      </c>
      <c r="F38" s="158" t="s">
        <v>85</v>
      </c>
      <c r="G38" s="158" t="s">
        <v>85</v>
      </c>
      <c r="H38" s="158" t="s">
        <v>85</v>
      </c>
      <c r="I38" s="158" t="s">
        <v>85</v>
      </c>
      <c r="J38" s="158" t="s">
        <v>85</v>
      </c>
      <c r="K38" s="303" t="s">
        <v>85</v>
      </c>
      <c r="L38" s="303" t="s">
        <v>85</v>
      </c>
      <c r="M38" s="303" t="s">
        <v>85</v>
      </c>
      <c r="N38" s="303" t="s">
        <v>85</v>
      </c>
      <c r="O38" s="303" t="s">
        <v>85</v>
      </c>
      <c r="P38" s="12" t="s">
        <v>52</v>
      </c>
      <c r="R38" s="455"/>
    </row>
    <row r="39" spans="1:18" ht="12.75" customHeight="1">
      <c r="A39" s="11"/>
      <c r="B39" s="110" t="s">
        <v>83</v>
      </c>
      <c r="C39" s="165">
        <v>1067</v>
      </c>
      <c r="D39" s="145">
        <v>908</v>
      </c>
      <c r="E39" s="145">
        <v>900</v>
      </c>
      <c r="F39" s="145">
        <v>918</v>
      </c>
      <c r="G39" s="145">
        <v>942</v>
      </c>
      <c r="H39" s="145">
        <v>850</v>
      </c>
      <c r="I39" s="177">
        <v>231</v>
      </c>
      <c r="J39" s="168">
        <v>237</v>
      </c>
      <c r="K39" s="370">
        <v>191</v>
      </c>
      <c r="L39" s="370">
        <v>191</v>
      </c>
      <c r="M39" s="370">
        <v>191</v>
      </c>
      <c r="N39" s="370">
        <v>191</v>
      </c>
      <c r="O39" s="307">
        <v>191</v>
      </c>
      <c r="P39" s="110" t="s">
        <v>83</v>
      </c>
      <c r="R39" s="73">
        <f>O39/N39*100-100</f>
        <v>0</v>
      </c>
    </row>
    <row r="40" spans="1:18" ht="12.75" customHeight="1">
      <c r="A40" s="11"/>
      <c r="B40" s="14" t="s">
        <v>53</v>
      </c>
      <c r="C40" s="161">
        <v>3816</v>
      </c>
      <c r="D40" s="162">
        <v>4006</v>
      </c>
      <c r="E40" s="65">
        <v>4136</v>
      </c>
      <c r="F40" s="65">
        <v>3333</v>
      </c>
      <c r="G40" s="65">
        <v>3925</v>
      </c>
      <c r="H40" s="65">
        <v>4020</v>
      </c>
      <c r="I40" s="65">
        <f>231+3764+81</f>
        <v>4076</v>
      </c>
      <c r="J40" s="65">
        <f>263+91+3924+81</f>
        <v>4359</v>
      </c>
      <c r="K40" s="306">
        <f>251+81+150+3811</f>
        <v>4293</v>
      </c>
      <c r="L40" s="306">
        <f>333+4130</f>
        <v>4463</v>
      </c>
      <c r="M40" s="502">
        <v>4491</v>
      </c>
      <c r="N40" s="496">
        <v>4470</v>
      </c>
      <c r="O40" s="497">
        <f>489+3794+187</f>
        <v>4470</v>
      </c>
      <c r="P40" s="14" t="s">
        <v>53</v>
      </c>
      <c r="R40" s="73">
        <f>O40/N40*100-100</f>
        <v>0</v>
      </c>
    </row>
    <row r="41" spans="2:16" ht="27.75" customHeight="1">
      <c r="B41" s="879" t="s">
        <v>184</v>
      </c>
      <c r="C41" s="879"/>
      <c r="D41" s="879"/>
      <c r="E41" s="879"/>
      <c r="F41" s="879"/>
      <c r="G41" s="879"/>
      <c r="H41" s="879"/>
      <c r="I41" s="879"/>
      <c r="J41" s="879"/>
      <c r="K41" s="880"/>
      <c r="L41" s="880"/>
      <c r="M41" s="880"/>
      <c r="N41" s="880"/>
      <c r="O41" s="880"/>
      <c r="P41" s="880"/>
    </row>
    <row r="42" spans="2:8" ht="15" customHeight="1">
      <c r="B42" s="3" t="s">
        <v>0</v>
      </c>
      <c r="C42" s="21"/>
      <c r="D42" s="21"/>
      <c r="E42" s="21"/>
      <c r="F42" s="21"/>
      <c r="G42" s="21"/>
      <c r="H42" s="21"/>
    </row>
    <row r="43" spans="2:16" ht="10.5" customHeight="1">
      <c r="B43" s="935" t="s">
        <v>133</v>
      </c>
      <c r="C43" s="936"/>
      <c r="D43" s="936"/>
      <c r="E43" s="936"/>
      <c r="F43" s="936"/>
      <c r="G43" s="936"/>
      <c r="H43" s="936"/>
      <c r="I43" s="936"/>
      <c r="J43" s="936"/>
      <c r="K43" s="936"/>
      <c r="L43" s="936"/>
      <c r="M43" s="936"/>
      <c r="N43" s="936"/>
      <c r="O43" s="936"/>
      <c r="P43" s="936"/>
    </row>
    <row r="44" spans="2:5" ht="12.75">
      <c r="B44" s="39" t="s">
        <v>248</v>
      </c>
      <c r="C44" s="125"/>
      <c r="D44" s="680"/>
      <c r="E44" s="680"/>
    </row>
    <row r="45" spans="2:5" ht="12.75">
      <c r="B45" s="39" t="s">
        <v>249</v>
      </c>
      <c r="C45" s="125"/>
      <c r="D45" s="39"/>
      <c r="E45" s="39"/>
    </row>
    <row r="46" ht="12.75">
      <c r="C46" s="6"/>
    </row>
  </sheetData>
  <mergeCells count="4">
    <mergeCell ref="B2:P2"/>
    <mergeCell ref="B3:P3"/>
    <mergeCell ref="B41:P41"/>
    <mergeCell ref="B43:P43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41"/>
  <dimension ref="A1:Q48"/>
  <sheetViews>
    <sheetView workbookViewId="0" topLeftCell="A1">
      <selection activeCell="B45" sqref="B45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4" width="7.7109375" style="4" hidden="1" customWidth="1"/>
    <col min="5" max="10" width="7.7109375" style="4" customWidth="1"/>
    <col min="11" max="15" width="8.28125" style="4" customWidth="1"/>
    <col min="16" max="16" width="4.00390625" style="4" customWidth="1"/>
    <col min="17" max="16384" width="9.140625" style="4" customWidth="1"/>
  </cols>
  <sheetData>
    <row r="1" spans="2:16" ht="14.25" customHeight="1">
      <c r="B1" s="49"/>
      <c r="C1" s="23"/>
      <c r="D1" s="23"/>
      <c r="E1" s="23"/>
      <c r="F1" s="23"/>
      <c r="G1" s="23"/>
      <c r="H1" s="50"/>
      <c r="K1" s="50"/>
      <c r="L1" s="50"/>
      <c r="M1" s="50"/>
      <c r="N1" s="50"/>
      <c r="O1" s="50"/>
      <c r="P1" s="50" t="s">
        <v>225</v>
      </c>
    </row>
    <row r="2" spans="2:16" s="125" customFormat="1" ht="30" customHeight="1">
      <c r="B2" s="866" t="s">
        <v>21</v>
      </c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</row>
    <row r="3" spans="2:16" ht="18" customHeight="1">
      <c r="B3" s="839" t="s">
        <v>15</v>
      </c>
      <c r="C3" s="839"/>
      <c r="D3" s="839"/>
      <c r="E3" s="839"/>
      <c r="F3" s="839"/>
      <c r="G3" s="839"/>
      <c r="H3" s="839"/>
      <c r="I3" s="839"/>
      <c r="J3" s="839"/>
      <c r="K3" s="839"/>
      <c r="L3" s="839"/>
      <c r="M3" s="839"/>
      <c r="N3" s="839"/>
      <c r="O3" s="839"/>
      <c r="P3" s="839"/>
    </row>
    <row r="4" spans="2:17" ht="24.75" customHeight="1">
      <c r="B4" s="360"/>
      <c r="C4" s="114">
        <v>1970</v>
      </c>
      <c r="D4" s="115">
        <v>1980</v>
      </c>
      <c r="E4" s="115">
        <v>1990</v>
      </c>
      <c r="F4" s="115">
        <v>2000</v>
      </c>
      <c r="G4" s="115">
        <v>2001</v>
      </c>
      <c r="H4" s="115">
        <v>2002</v>
      </c>
      <c r="I4" s="115">
        <v>2003</v>
      </c>
      <c r="J4" s="115">
        <v>2004</v>
      </c>
      <c r="K4" s="115">
        <v>2005</v>
      </c>
      <c r="L4" s="115">
        <v>2006</v>
      </c>
      <c r="M4" s="114" t="s">
        <v>151</v>
      </c>
      <c r="N4" s="115" t="s">
        <v>179</v>
      </c>
      <c r="O4" s="116" t="s">
        <v>243</v>
      </c>
      <c r="P4" s="9"/>
      <c r="Q4" s="541"/>
    </row>
    <row r="5" spans="2:17" ht="12.75" customHeight="1">
      <c r="B5" s="113" t="s">
        <v>40</v>
      </c>
      <c r="C5" s="211"/>
      <c r="D5" s="212"/>
      <c r="E5" s="212"/>
      <c r="F5" s="212"/>
      <c r="G5" s="213">
        <f>SUM(G8:G34)</f>
        <v>877561</v>
      </c>
      <c r="H5" s="213">
        <f>SUM(H8:H34)</f>
        <v>813016</v>
      </c>
      <c r="I5" s="213"/>
      <c r="J5" s="213"/>
      <c r="K5" s="308"/>
      <c r="L5" s="308"/>
      <c r="M5" s="503"/>
      <c r="N5" s="308"/>
      <c r="O5" s="504"/>
      <c r="P5" s="202" t="s">
        <v>40</v>
      </c>
      <c r="Q5" s="455"/>
    </row>
    <row r="6" spans="1:17" ht="12.75" customHeight="1">
      <c r="A6" s="11"/>
      <c r="B6" s="110" t="s">
        <v>71</v>
      </c>
      <c r="C6" s="214">
        <f>SUM(C8,C11:C12,C14:C18,C22,C25:C26,C28,C32:C34)</f>
        <v>1540584</v>
      </c>
      <c r="D6" s="215">
        <f>SUM(D8,D11:D12,D14:D18,D22,D25:D26,D28,D32:D34)</f>
        <v>1205463</v>
      </c>
      <c r="E6" s="215">
        <f>SUM(E8,E11:E12,E14:E18,E22,E25:E26,E28,E32:E34)</f>
        <v>825398</v>
      </c>
      <c r="F6" s="215"/>
      <c r="G6" s="216">
        <f>SUM(G8,G11:G12,G14:G18,G22,G25:G26,G28,G32:G34)</f>
        <v>503254</v>
      </c>
      <c r="H6" s="216">
        <f>SUM(H8,H11:H12,H14:H18,H22,H25:H26,H28,H32:H34)</f>
        <v>471541</v>
      </c>
      <c r="I6" s="216"/>
      <c r="J6" s="216"/>
      <c r="K6" s="309"/>
      <c r="L6" s="309"/>
      <c r="M6" s="505"/>
      <c r="N6" s="309"/>
      <c r="O6" s="506"/>
      <c r="P6" s="203" t="s">
        <v>71</v>
      </c>
      <c r="Q6" s="455"/>
    </row>
    <row r="7" spans="1:17" ht="12.75" customHeight="1">
      <c r="A7" s="11"/>
      <c r="B7" s="112" t="s">
        <v>131</v>
      </c>
      <c r="C7" s="214"/>
      <c r="D7" s="215"/>
      <c r="E7" s="802">
        <f aca="true" t="shared" si="0" ref="E7:O7">SUM(E9,E10,E13,E19,E20,E21,E23,E24,E27,E29,E30,E31)</f>
        <v>516764</v>
      </c>
      <c r="F7" s="215">
        <f t="shared" si="0"/>
        <v>421261</v>
      </c>
      <c r="G7" s="215">
        <f t="shared" si="0"/>
        <v>374307</v>
      </c>
      <c r="H7" s="215">
        <f t="shared" si="0"/>
        <v>341475</v>
      </c>
      <c r="I7" s="215">
        <f t="shared" si="0"/>
        <v>337681</v>
      </c>
      <c r="J7" s="215">
        <f t="shared" si="0"/>
        <v>293729</v>
      </c>
      <c r="K7" s="310">
        <f t="shared" si="0"/>
        <v>282394</v>
      </c>
      <c r="L7" s="429">
        <f t="shared" si="0"/>
        <v>286769</v>
      </c>
      <c r="M7" s="507">
        <f t="shared" si="0"/>
        <v>224743</v>
      </c>
      <c r="N7" s="429">
        <f t="shared" si="0"/>
        <v>216756</v>
      </c>
      <c r="O7" s="508">
        <f t="shared" si="0"/>
        <v>212972</v>
      </c>
      <c r="P7" s="204" t="s">
        <v>131</v>
      </c>
      <c r="Q7" s="455"/>
    </row>
    <row r="8" spans="1:17" ht="12.75" customHeight="1">
      <c r="A8" s="11"/>
      <c r="B8" s="12" t="s">
        <v>72</v>
      </c>
      <c r="C8" s="217">
        <v>44651</v>
      </c>
      <c r="D8" s="218">
        <v>42968</v>
      </c>
      <c r="E8" s="218">
        <v>30332</v>
      </c>
      <c r="F8" s="218">
        <v>18790</v>
      </c>
      <c r="G8" s="218">
        <v>19719</v>
      </c>
      <c r="H8" s="218">
        <v>20312</v>
      </c>
      <c r="I8" s="218">
        <v>20101</v>
      </c>
      <c r="J8" s="218">
        <v>18782</v>
      </c>
      <c r="K8" s="363">
        <v>17375</v>
      </c>
      <c r="L8" s="363">
        <f>10521+5023</f>
        <v>15544</v>
      </c>
      <c r="M8" s="509">
        <v>10616</v>
      </c>
      <c r="N8" s="363">
        <v>9573</v>
      </c>
      <c r="O8" s="296">
        <v>11612</v>
      </c>
      <c r="P8" s="205" t="s">
        <v>72</v>
      </c>
      <c r="Q8" s="455"/>
    </row>
    <row r="9" spans="1:17" ht="12.75" customHeight="1">
      <c r="A9" s="11"/>
      <c r="B9" s="110" t="s">
        <v>54</v>
      </c>
      <c r="C9" s="219">
        <v>33850</v>
      </c>
      <c r="D9" s="220">
        <v>37272</v>
      </c>
      <c r="E9" s="221">
        <v>42459</v>
      </c>
      <c r="F9" s="220">
        <v>29720</v>
      </c>
      <c r="G9" s="220">
        <v>16609</v>
      </c>
      <c r="H9" s="220">
        <v>17508</v>
      </c>
      <c r="I9" s="220">
        <v>17259</v>
      </c>
      <c r="J9" s="220">
        <v>16382</v>
      </c>
      <c r="K9" s="364">
        <v>16511</v>
      </c>
      <c r="L9" s="364">
        <f>11911+361+300+4539</f>
        <v>17111</v>
      </c>
      <c r="M9" s="510">
        <f>11834+361+18+204</f>
        <v>12417</v>
      </c>
      <c r="N9" s="364">
        <f>11812+361+438+214</f>
        <v>12825</v>
      </c>
      <c r="O9" s="297">
        <f>11812+361+356+214</f>
        <v>12743</v>
      </c>
      <c r="P9" s="203" t="s">
        <v>54</v>
      </c>
      <c r="Q9" s="455"/>
    </row>
    <row r="10" spans="1:17" ht="12.75" customHeight="1">
      <c r="A10" s="11"/>
      <c r="B10" s="13" t="s">
        <v>56</v>
      </c>
      <c r="C10" s="222"/>
      <c r="D10" s="223"/>
      <c r="E10" s="223"/>
      <c r="F10" s="224">
        <v>58524</v>
      </c>
      <c r="G10" s="224">
        <v>50180</v>
      </c>
      <c r="H10" s="224">
        <v>46789</v>
      </c>
      <c r="I10" s="224">
        <v>45506</v>
      </c>
      <c r="J10" s="224">
        <v>44805</v>
      </c>
      <c r="K10" s="365">
        <v>44545</v>
      </c>
      <c r="L10" s="365">
        <f>33354+9408</f>
        <v>42762</v>
      </c>
      <c r="M10" s="511">
        <v>32809</v>
      </c>
      <c r="N10" s="365">
        <v>31656</v>
      </c>
      <c r="O10" s="298">
        <v>29194</v>
      </c>
      <c r="P10" s="206" t="s">
        <v>56</v>
      </c>
      <c r="Q10" s="455"/>
    </row>
    <row r="11" spans="1:17" ht="12.75" customHeight="1">
      <c r="A11" s="11"/>
      <c r="B11" s="110" t="s">
        <v>67</v>
      </c>
      <c r="C11" s="219">
        <v>10995</v>
      </c>
      <c r="D11" s="220">
        <v>6883</v>
      </c>
      <c r="E11" s="220">
        <v>4632</v>
      </c>
      <c r="F11" s="220">
        <v>2236</v>
      </c>
      <c r="G11" s="220">
        <v>2236</v>
      </c>
      <c r="H11" s="225">
        <v>2200</v>
      </c>
      <c r="I11" s="226"/>
      <c r="J11" s="226"/>
      <c r="K11" s="371"/>
      <c r="L11" s="371"/>
      <c r="M11" s="512"/>
      <c r="N11" s="371"/>
      <c r="O11" s="513"/>
      <c r="P11" s="203" t="s">
        <v>67</v>
      </c>
      <c r="Q11" s="455"/>
    </row>
    <row r="12" spans="1:17" ht="12.75" customHeight="1">
      <c r="A12" s="11"/>
      <c r="B12" s="13" t="s">
        <v>73</v>
      </c>
      <c r="C12" s="227">
        <v>459030</v>
      </c>
      <c r="D12" s="224">
        <v>476437</v>
      </c>
      <c r="E12" s="224">
        <v>366724</v>
      </c>
      <c r="F12" s="224">
        <v>189558</v>
      </c>
      <c r="G12" s="224">
        <v>182836</v>
      </c>
      <c r="H12" s="228">
        <v>179000</v>
      </c>
      <c r="I12" s="224">
        <v>176837</v>
      </c>
      <c r="J12" s="224">
        <v>237313</v>
      </c>
      <c r="K12" s="365">
        <v>158247</v>
      </c>
      <c r="L12" s="365">
        <f>96550+58918</f>
        <v>155468</v>
      </c>
      <c r="M12" s="511">
        <v>95595</v>
      </c>
      <c r="N12" s="365">
        <v>119916</v>
      </c>
      <c r="O12" s="298">
        <v>113657</v>
      </c>
      <c r="P12" s="206" t="s">
        <v>73</v>
      </c>
      <c r="Q12" s="455"/>
    </row>
    <row r="13" spans="1:17" ht="12.75" customHeight="1">
      <c r="A13" s="11"/>
      <c r="B13" s="110" t="s">
        <v>57</v>
      </c>
      <c r="C13" s="219"/>
      <c r="D13" s="220"/>
      <c r="E13" s="220"/>
      <c r="F13" s="220">
        <v>5857</v>
      </c>
      <c r="G13" s="220">
        <v>6122</v>
      </c>
      <c r="H13" s="220">
        <v>7531</v>
      </c>
      <c r="I13" s="220">
        <v>17436</v>
      </c>
      <c r="J13" s="220">
        <v>20352</v>
      </c>
      <c r="K13" s="364">
        <v>18971</v>
      </c>
      <c r="L13" s="364">
        <f>3318+13791</f>
        <v>17109</v>
      </c>
      <c r="M13" s="510">
        <v>3353</v>
      </c>
      <c r="N13" s="364">
        <v>2905</v>
      </c>
      <c r="O13" s="297">
        <v>2982</v>
      </c>
      <c r="P13" s="203" t="s">
        <v>57</v>
      </c>
      <c r="Q13" s="455"/>
    </row>
    <row r="14" spans="1:17" ht="12.75" customHeight="1">
      <c r="A14" s="11"/>
      <c r="B14" s="13" t="s">
        <v>76</v>
      </c>
      <c r="C14" s="227">
        <v>9727</v>
      </c>
      <c r="D14" s="224">
        <v>4417</v>
      </c>
      <c r="E14" s="224">
        <v>1830</v>
      </c>
      <c r="F14" s="224">
        <v>1856</v>
      </c>
      <c r="G14" s="224">
        <v>1856</v>
      </c>
      <c r="H14" s="224">
        <v>1856</v>
      </c>
      <c r="I14" s="224">
        <v>1611</v>
      </c>
      <c r="J14" s="224">
        <v>833</v>
      </c>
      <c r="K14" s="365">
        <v>926</v>
      </c>
      <c r="L14" s="365">
        <v>1095</v>
      </c>
      <c r="M14" s="511">
        <v>891</v>
      </c>
      <c r="N14" s="365">
        <v>891</v>
      </c>
      <c r="O14" s="298"/>
      <c r="P14" s="206" t="s">
        <v>76</v>
      </c>
      <c r="Q14" s="455"/>
    </row>
    <row r="15" spans="1:17" ht="12.75" customHeight="1">
      <c r="A15" s="11"/>
      <c r="B15" s="110" t="s">
        <v>68</v>
      </c>
      <c r="C15" s="219">
        <v>9025</v>
      </c>
      <c r="D15" s="220">
        <v>10871</v>
      </c>
      <c r="E15" s="220">
        <v>10967</v>
      </c>
      <c r="F15" s="220">
        <v>3453</v>
      </c>
      <c r="G15" s="220">
        <v>3539</v>
      </c>
      <c r="H15" s="220">
        <v>3539</v>
      </c>
      <c r="I15" s="220">
        <v>3473</v>
      </c>
      <c r="J15" s="220">
        <v>3497</v>
      </c>
      <c r="K15" s="364">
        <v>3491</v>
      </c>
      <c r="L15" s="364">
        <f>2861+305</f>
        <v>3166</v>
      </c>
      <c r="M15" s="510">
        <f>3263+305</f>
        <v>3568</v>
      </c>
      <c r="N15" s="364">
        <f>4458+305</f>
        <v>4763</v>
      </c>
      <c r="O15" s="297"/>
      <c r="P15" s="203" t="s">
        <v>68</v>
      </c>
      <c r="Q15" s="455"/>
    </row>
    <row r="16" spans="1:17" ht="12.75" customHeight="1">
      <c r="A16" s="11"/>
      <c r="B16" s="13" t="s">
        <v>74</v>
      </c>
      <c r="C16" s="227">
        <v>53336</v>
      </c>
      <c r="D16" s="224">
        <v>40773</v>
      </c>
      <c r="E16" s="224">
        <v>37687</v>
      </c>
      <c r="F16" s="224">
        <v>26452</v>
      </c>
      <c r="G16" s="224">
        <v>25867</v>
      </c>
      <c r="H16" s="224">
        <v>26228</v>
      </c>
      <c r="I16" s="224">
        <v>25426</v>
      </c>
      <c r="J16" s="224">
        <v>25542</v>
      </c>
      <c r="K16" s="365">
        <v>23842</v>
      </c>
      <c r="L16" s="365">
        <f>14+1020+180+13817</f>
        <v>15031</v>
      </c>
      <c r="M16" s="511">
        <f>1026+187+14311</f>
        <v>15524</v>
      </c>
      <c r="N16" s="365">
        <f>42+1026+187+13718</f>
        <v>14973</v>
      </c>
      <c r="O16" s="298">
        <f>42+1026+187+11192</f>
        <v>12447</v>
      </c>
      <c r="P16" s="206" t="s">
        <v>74</v>
      </c>
      <c r="Q16" s="455"/>
    </row>
    <row r="17" spans="1:17" ht="12.75" customHeight="1">
      <c r="A17" s="11"/>
      <c r="B17" s="110" t="s">
        <v>75</v>
      </c>
      <c r="C17" s="219">
        <v>291450</v>
      </c>
      <c r="D17" s="220">
        <v>239800</v>
      </c>
      <c r="E17" s="221">
        <v>148100</v>
      </c>
      <c r="F17" s="220">
        <v>94789</v>
      </c>
      <c r="G17" s="220">
        <v>109770</v>
      </c>
      <c r="H17" s="220">
        <v>107033</v>
      </c>
      <c r="I17" s="220">
        <v>103833</v>
      </c>
      <c r="J17" s="220">
        <v>99372</v>
      </c>
      <c r="K17" s="364">
        <v>95738</v>
      </c>
      <c r="L17" s="364">
        <f>32769+59047</f>
        <v>91816</v>
      </c>
      <c r="M17" s="510">
        <v>31589</v>
      </c>
      <c r="N17" s="364">
        <f>30196+1649</f>
        <v>31845</v>
      </c>
      <c r="O17" s="297">
        <v>29028</v>
      </c>
      <c r="P17" s="203" t="s">
        <v>75</v>
      </c>
      <c r="Q17" s="455"/>
    </row>
    <row r="18" spans="1:17" ht="12.75" customHeight="1">
      <c r="A18" s="11"/>
      <c r="B18" s="13" t="s">
        <v>77</v>
      </c>
      <c r="C18" s="227">
        <v>125200</v>
      </c>
      <c r="D18" s="224">
        <v>115228</v>
      </c>
      <c r="E18" s="229">
        <v>99728</v>
      </c>
      <c r="F18" s="224">
        <v>70115</v>
      </c>
      <c r="G18" s="224">
        <v>73146</v>
      </c>
      <c r="H18" s="224">
        <v>56900</v>
      </c>
      <c r="I18" s="224">
        <v>56175</v>
      </c>
      <c r="J18" s="224">
        <v>54598</v>
      </c>
      <c r="K18" s="365">
        <v>45730</v>
      </c>
      <c r="L18" s="365">
        <f>79+41106+5265</f>
        <v>46450</v>
      </c>
      <c r="M18" s="511">
        <f>79+41398</f>
        <v>41477</v>
      </c>
      <c r="N18" s="365">
        <f>79+40740</f>
        <v>40819</v>
      </c>
      <c r="O18" s="298">
        <f>79+38421</f>
        <v>38500</v>
      </c>
      <c r="P18" s="206" t="s">
        <v>77</v>
      </c>
      <c r="Q18" s="455"/>
    </row>
    <row r="19" spans="1:17" ht="12.75" customHeight="1">
      <c r="A19" s="11"/>
      <c r="B19" s="110" t="s">
        <v>55</v>
      </c>
      <c r="C19" s="230" t="s">
        <v>85</v>
      </c>
      <c r="D19" s="231" t="s">
        <v>85</v>
      </c>
      <c r="E19" s="231" t="s">
        <v>85</v>
      </c>
      <c r="F19" s="231" t="s">
        <v>85</v>
      </c>
      <c r="G19" s="231" t="s">
        <v>85</v>
      </c>
      <c r="H19" s="231" t="s">
        <v>85</v>
      </c>
      <c r="I19" s="231" t="s">
        <v>85</v>
      </c>
      <c r="J19" s="231" t="s">
        <v>85</v>
      </c>
      <c r="K19" s="301" t="s">
        <v>85</v>
      </c>
      <c r="L19" s="301" t="s">
        <v>85</v>
      </c>
      <c r="M19" s="514" t="s">
        <v>85</v>
      </c>
      <c r="N19" s="301" t="s">
        <v>85</v>
      </c>
      <c r="O19" s="515" t="s">
        <v>85</v>
      </c>
      <c r="P19" s="203" t="s">
        <v>55</v>
      </c>
      <c r="Q19" s="455"/>
    </row>
    <row r="20" spans="1:17" ht="12.75" customHeight="1">
      <c r="A20" s="11"/>
      <c r="B20" s="13" t="s">
        <v>59</v>
      </c>
      <c r="C20" s="227"/>
      <c r="D20" s="224"/>
      <c r="E20" s="224">
        <v>11085</v>
      </c>
      <c r="F20" s="224">
        <v>9146</v>
      </c>
      <c r="G20" s="224">
        <v>8105</v>
      </c>
      <c r="H20" s="224">
        <v>7911</v>
      </c>
      <c r="I20" s="224">
        <v>7952</v>
      </c>
      <c r="J20" s="224">
        <v>8706</v>
      </c>
      <c r="K20" s="365">
        <v>8871</v>
      </c>
      <c r="L20" s="365">
        <f>5225+3623</f>
        <v>8848</v>
      </c>
      <c r="M20" s="511">
        <v>5256</v>
      </c>
      <c r="N20" s="365">
        <v>5228</v>
      </c>
      <c r="O20" s="298">
        <v>6043</v>
      </c>
      <c r="P20" s="206" t="s">
        <v>59</v>
      </c>
      <c r="Q20" s="455"/>
    </row>
    <row r="21" spans="1:17" ht="12.75" customHeight="1">
      <c r="A21" s="11"/>
      <c r="B21" s="110" t="s">
        <v>60</v>
      </c>
      <c r="C21" s="219"/>
      <c r="D21" s="220"/>
      <c r="E21" s="225">
        <v>12860</v>
      </c>
      <c r="F21" s="220">
        <v>13155</v>
      </c>
      <c r="G21" s="220">
        <v>12509</v>
      </c>
      <c r="H21" s="220">
        <v>12391</v>
      </c>
      <c r="I21" s="220">
        <v>12144</v>
      </c>
      <c r="J21" s="220">
        <v>13134</v>
      </c>
      <c r="K21" s="364">
        <v>13192</v>
      </c>
      <c r="L21" s="364">
        <f>9358+29+4006</f>
        <v>13393</v>
      </c>
      <c r="M21" s="510">
        <f>9457+29</f>
        <v>9486</v>
      </c>
      <c r="N21" s="364">
        <f>9638+10</f>
        <v>9648</v>
      </c>
      <c r="O21" s="297">
        <f>9551+10</f>
        <v>9561</v>
      </c>
      <c r="P21" s="203" t="s">
        <v>60</v>
      </c>
      <c r="Q21" s="455"/>
    </row>
    <row r="22" spans="1:17" ht="12.75" customHeight="1">
      <c r="A22" s="11"/>
      <c r="B22" s="13" t="s">
        <v>78</v>
      </c>
      <c r="C22" s="227">
        <v>4230</v>
      </c>
      <c r="D22" s="224">
        <v>3650</v>
      </c>
      <c r="E22" s="224">
        <v>2719</v>
      </c>
      <c r="F22" s="224">
        <v>2626</v>
      </c>
      <c r="G22" s="224">
        <v>2878</v>
      </c>
      <c r="H22" s="224">
        <v>3092</v>
      </c>
      <c r="I22" s="224">
        <v>3328</v>
      </c>
      <c r="J22" s="224">
        <v>3206</v>
      </c>
      <c r="K22" s="365">
        <v>3222</v>
      </c>
      <c r="L22" s="365">
        <f>3332+124</f>
        <v>3456</v>
      </c>
      <c r="M22" s="511">
        <v>3526</v>
      </c>
      <c r="N22" s="365">
        <v>3836</v>
      </c>
      <c r="O22" s="298">
        <v>3895</v>
      </c>
      <c r="P22" s="206" t="s">
        <v>78</v>
      </c>
      <c r="Q22" s="455"/>
    </row>
    <row r="23" spans="1:17" ht="12.75" customHeight="1">
      <c r="A23" s="11"/>
      <c r="B23" s="110" t="s">
        <v>58</v>
      </c>
      <c r="C23" s="219"/>
      <c r="D23" s="220"/>
      <c r="E23" s="220"/>
      <c r="F23" s="220">
        <v>23528</v>
      </c>
      <c r="G23" s="220">
        <v>22789</v>
      </c>
      <c r="H23" s="220">
        <v>21819</v>
      </c>
      <c r="I23" s="220">
        <v>22178</v>
      </c>
      <c r="J23" s="220">
        <v>19783</v>
      </c>
      <c r="K23" s="364">
        <v>19130</v>
      </c>
      <c r="L23" s="364">
        <f>95+13080+649</f>
        <v>13824</v>
      </c>
      <c r="M23" s="510">
        <f>95+11624</f>
        <v>11719</v>
      </c>
      <c r="N23" s="364">
        <f>1+95+11670</f>
        <v>11766</v>
      </c>
      <c r="O23" s="501">
        <v>11700</v>
      </c>
      <c r="P23" s="203" t="s">
        <v>58</v>
      </c>
      <c r="Q23" s="455"/>
    </row>
    <row r="24" spans="1:17" ht="12.75" customHeight="1">
      <c r="A24" s="11"/>
      <c r="B24" s="13" t="s">
        <v>61</v>
      </c>
      <c r="C24" s="222" t="s">
        <v>85</v>
      </c>
      <c r="D24" s="223" t="s">
        <v>85</v>
      </c>
      <c r="E24" s="223" t="s">
        <v>85</v>
      </c>
      <c r="F24" s="223" t="s">
        <v>85</v>
      </c>
      <c r="G24" s="223" t="s">
        <v>85</v>
      </c>
      <c r="H24" s="223" t="s">
        <v>85</v>
      </c>
      <c r="I24" s="223" t="s">
        <v>85</v>
      </c>
      <c r="J24" s="223" t="s">
        <v>85</v>
      </c>
      <c r="K24" s="303" t="s">
        <v>85</v>
      </c>
      <c r="L24" s="303" t="s">
        <v>85</v>
      </c>
      <c r="M24" s="516" t="s">
        <v>85</v>
      </c>
      <c r="N24" s="303" t="s">
        <v>85</v>
      </c>
      <c r="O24" s="517" t="s">
        <v>85</v>
      </c>
      <c r="P24" s="206" t="s">
        <v>61</v>
      </c>
      <c r="Q24" s="455"/>
    </row>
    <row r="25" spans="1:17" ht="12.75" customHeight="1">
      <c r="A25" s="11"/>
      <c r="B25" s="111" t="s">
        <v>69</v>
      </c>
      <c r="C25" s="219">
        <v>18750</v>
      </c>
      <c r="D25" s="220">
        <v>11355</v>
      </c>
      <c r="E25" s="220">
        <v>6697</v>
      </c>
      <c r="F25" s="220">
        <v>4700</v>
      </c>
      <c r="G25" s="220">
        <v>3331</v>
      </c>
      <c r="H25" s="220">
        <v>2099</v>
      </c>
      <c r="I25" s="232">
        <v>1807</v>
      </c>
      <c r="J25" s="232"/>
      <c r="K25" s="372"/>
      <c r="L25" s="372"/>
      <c r="M25" s="518"/>
      <c r="N25" s="372"/>
      <c r="O25" s="501"/>
      <c r="P25" s="207" t="s">
        <v>69</v>
      </c>
      <c r="Q25" s="455"/>
    </row>
    <row r="26" spans="1:17" ht="12.75" customHeight="1">
      <c r="A26" s="11"/>
      <c r="B26" s="13" t="s">
        <v>79</v>
      </c>
      <c r="C26" s="227">
        <v>39109</v>
      </c>
      <c r="D26" s="224">
        <v>38689</v>
      </c>
      <c r="E26" s="224">
        <v>34330</v>
      </c>
      <c r="F26" s="224">
        <v>23970</v>
      </c>
      <c r="G26" s="224">
        <v>24988</v>
      </c>
      <c r="H26" s="224">
        <v>24089</v>
      </c>
      <c r="I26" s="233">
        <v>22655</v>
      </c>
      <c r="J26" s="233">
        <v>22262</v>
      </c>
      <c r="K26" s="368">
        <v>22655</v>
      </c>
      <c r="L26" s="368">
        <f>67+16552+43+229</f>
        <v>16891</v>
      </c>
      <c r="M26" s="519">
        <f>59+18185+229</f>
        <v>18473</v>
      </c>
      <c r="N26" s="368">
        <f>56+30470</f>
        <v>30526</v>
      </c>
      <c r="O26" s="302">
        <f>52+27095</f>
        <v>27147</v>
      </c>
      <c r="P26" s="206" t="s">
        <v>79</v>
      </c>
      <c r="Q26" s="455"/>
    </row>
    <row r="27" spans="1:17" ht="12.75" customHeight="1">
      <c r="A27" s="11"/>
      <c r="B27" s="110" t="s">
        <v>62</v>
      </c>
      <c r="C27" s="219">
        <v>229222</v>
      </c>
      <c r="D27" s="220">
        <v>231364</v>
      </c>
      <c r="E27" s="221">
        <v>275582</v>
      </c>
      <c r="F27" s="220">
        <v>130116</v>
      </c>
      <c r="G27" s="220">
        <v>130660</v>
      </c>
      <c r="H27" s="220">
        <v>95379</v>
      </c>
      <c r="I27" s="220">
        <v>110985</v>
      </c>
      <c r="J27" s="220">
        <v>76785</v>
      </c>
      <c r="K27" s="364">
        <v>75164</v>
      </c>
      <c r="L27" s="364">
        <v>74146</v>
      </c>
      <c r="M27" s="510">
        <v>73993</v>
      </c>
      <c r="N27" s="364">
        <v>74408</v>
      </c>
      <c r="O27" s="297">
        <v>72725</v>
      </c>
      <c r="P27" s="203" t="s">
        <v>62</v>
      </c>
      <c r="Q27" s="455"/>
    </row>
    <row r="28" spans="1:17" ht="12.75" customHeight="1">
      <c r="A28" s="11"/>
      <c r="B28" s="13" t="s">
        <v>80</v>
      </c>
      <c r="C28" s="227">
        <v>9045</v>
      </c>
      <c r="D28" s="224">
        <v>5860</v>
      </c>
      <c r="E28" s="224">
        <v>4579</v>
      </c>
      <c r="F28" s="224">
        <v>4162</v>
      </c>
      <c r="G28" s="224">
        <v>4179</v>
      </c>
      <c r="H28" s="224">
        <v>4345</v>
      </c>
      <c r="I28" s="224">
        <v>3979</v>
      </c>
      <c r="J28" s="224">
        <v>3544</v>
      </c>
      <c r="K28" s="365">
        <v>3495</v>
      </c>
      <c r="L28" s="365">
        <f>2957+240</f>
        <v>3197</v>
      </c>
      <c r="M28" s="511">
        <v>2953</v>
      </c>
      <c r="N28" s="365">
        <v>3043</v>
      </c>
      <c r="O28" s="298"/>
      <c r="P28" s="206" t="s">
        <v>80</v>
      </c>
      <c r="Q28" s="455"/>
    </row>
    <row r="29" spans="1:17" ht="12.75" customHeight="1">
      <c r="A29" s="11"/>
      <c r="B29" s="110" t="s">
        <v>63</v>
      </c>
      <c r="C29" s="219"/>
      <c r="D29" s="220">
        <v>144520</v>
      </c>
      <c r="E29" s="220">
        <v>166086</v>
      </c>
      <c r="F29" s="220">
        <v>117982</v>
      </c>
      <c r="G29" s="220">
        <v>96765</v>
      </c>
      <c r="H29" s="220">
        <v>101824</v>
      </c>
      <c r="I29" s="220">
        <v>75478</v>
      </c>
      <c r="J29" s="220">
        <v>64299</v>
      </c>
      <c r="K29" s="364">
        <v>65175</v>
      </c>
      <c r="L29" s="364">
        <f>50849+94+800+1232+450+11183+1308</f>
        <v>65916</v>
      </c>
      <c r="M29" s="510">
        <f>50151+1290+1625+550</f>
        <v>53616</v>
      </c>
      <c r="N29" s="364">
        <f>42925+1398+1735+220+585</f>
        <v>46863</v>
      </c>
      <c r="O29" s="297">
        <f>41754+2600+1719+220+585</f>
        <v>46878</v>
      </c>
      <c r="P29" s="203" t="s">
        <v>63</v>
      </c>
      <c r="Q29" s="455"/>
    </row>
    <row r="30" spans="1:17" ht="12.75" customHeight="1">
      <c r="A30" s="11"/>
      <c r="B30" s="13" t="s">
        <v>65</v>
      </c>
      <c r="C30" s="227"/>
      <c r="D30" s="224"/>
      <c r="E30" s="224">
        <v>8692</v>
      </c>
      <c r="F30" s="224">
        <v>6258</v>
      </c>
      <c r="G30" s="224">
        <v>5981</v>
      </c>
      <c r="H30" s="224">
        <v>5774</v>
      </c>
      <c r="I30" s="224">
        <v>4770</v>
      </c>
      <c r="J30" s="224">
        <v>4627</v>
      </c>
      <c r="K30" s="365">
        <v>4465</v>
      </c>
      <c r="L30" s="365">
        <f>3995+513</f>
        <v>4508</v>
      </c>
      <c r="M30" s="511">
        <v>3979</v>
      </c>
      <c r="N30" s="365">
        <v>3921</v>
      </c>
      <c r="O30" s="298">
        <v>3905</v>
      </c>
      <c r="P30" s="206" t="s">
        <v>65</v>
      </c>
      <c r="Q30" s="455"/>
    </row>
    <row r="31" spans="1:17" ht="12.75" customHeight="1">
      <c r="A31" s="11"/>
      <c r="B31" s="110" t="s">
        <v>64</v>
      </c>
      <c r="C31" s="230"/>
      <c r="D31" s="231"/>
      <c r="E31" s="231"/>
      <c r="F31" s="220">
        <v>26975</v>
      </c>
      <c r="G31" s="220">
        <v>24587</v>
      </c>
      <c r="H31" s="220">
        <v>24549</v>
      </c>
      <c r="I31" s="220">
        <v>23973</v>
      </c>
      <c r="J31" s="220">
        <v>24856</v>
      </c>
      <c r="K31" s="364">
        <v>16370</v>
      </c>
      <c r="L31" s="364">
        <f>17920+11232</f>
        <v>29152</v>
      </c>
      <c r="M31" s="510">
        <v>18115</v>
      </c>
      <c r="N31" s="364">
        <v>17536</v>
      </c>
      <c r="O31" s="297">
        <v>17241</v>
      </c>
      <c r="P31" s="203" t="s">
        <v>64</v>
      </c>
      <c r="Q31" s="455"/>
    </row>
    <row r="32" spans="1:17" ht="12.75" customHeight="1">
      <c r="A32" s="11"/>
      <c r="B32" s="13" t="s">
        <v>81</v>
      </c>
      <c r="C32" s="227">
        <v>22835</v>
      </c>
      <c r="D32" s="224">
        <v>21472</v>
      </c>
      <c r="E32" s="224">
        <v>15200</v>
      </c>
      <c r="F32" s="224">
        <v>12630</v>
      </c>
      <c r="G32" s="224">
        <v>12259</v>
      </c>
      <c r="H32" s="224">
        <v>11842</v>
      </c>
      <c r="I32" s="224">
        <v>11627</v>
      </c>
      <c r="J32" s="224">
        <v>11738</v>
      </c>
      <c r="K32" s="365">
        <v>11216</v>
      </c>
      <c r="L32" s="365">
        <f>10971+53</f>
        <v>11024</v>
      </c>
      <c r="M32" s="511">
        <v>10790</v>
      </c>
      <c r="N32" s="365">
        <v>10934</v>
      </c>
      <c r="O32" s="298">
        <v>10524</v>
      </c>
      <c r="P32" s="206" t="s">
        <v>81</v>
      </c>
      <c r="Q32" s="455"/>
    </row>
    <row r="33" spans="1:17" ht="12.75" customHeight="1">
      <c r="A33" s="11"/>
      <c r="B33" s="110" t="s">
        <v>82</v>
      </c>
      <c r="C33" s="219">
        <v>53394</v>
      </c>
      <c r="D33" s="220">
        <v>45890</v>
      </c>
      <c r="E33" s="220">
        <v>27470</v>
      </c>
      <c r="F33" s="220">
        <v>17596</v>
      </c>
      <c r="G33" s="220">
        <v>17600</v>
      </c>
      <c r="H33" s="220">
        <v>9900</v>
      </c>
      <c r="I33" s="220">
        <v>8500</v>
      </c>
      <c r="J33" s="220">
        <v>13649</v>
      </c>
      <c r="K33" s="364">
        <v>13649</v>
      </c>
      <c r="L33" s="364"/>
      <c r="M33" s="510"/>
      <c r="N33" s="364"/>
      <c r="O33" s="297"/>
      <c r="P33" s="203" t="s">
        <v>82</v>
      </c>
      <c r="Q33" s="455"/>
    </row>
    <row r="34" spans="1:17" ht="12.75" customHeight="1">
      <c r="A34" s="11"/>
      <c r="B34" s="13" t="s">
        <v>70</v>
      </c>
      <c r="C34" s="227">
        <v>389807</v>
      </c>
      <c r="D34" s="224">
        <v>141170</v>
      </c>
      <c r="E34" s="224">
        <v>34403</v>
      </c>
      <c r="F34" s="224"/>
      <c r="G34" s="234">
        <v>19050</v>
      </c>
      <c r="H34" s="234">
        <v>19106</v>
      </c>
      <c r="I34" s="235"/>
      <c r="J34" s="235"/>
      <c r="K34" s="373"/>
      <c r="L34" s="373"/>
      <c r="M34" s="520"/>
      <c r="N34" s="373">
        <v>8284</v>
      </c>
      <c r="O34" s="521"/>
      <c r="P34" s="206" t="s">
        <v>70</v>
      </c>
      <c r="Q34" s="455"/>
    </row>
    <row r="35" spans="1:17" ht="12.75" customHeight="1">
      <c r="A35" s="11"/>
      <c r="B35" s="113" t="s">
        <v>86</v>
      </c>
      <c r="C35" s="236">
        <v>0</v>
      </c>
      <c r="D35" s="237">
        <v>12852</v>
      </c>
      <c r="E35" s="237">
        <v>13720</v>
      </c>
      <c r="F35" s="237">
        <v>9986</v>
      </c>
      <c r="G35" s="237">
        <v>9456</v>
      </c>
      <c r="H35" s="237">
        <v>8774</v>
      </c>
      <c r="I35" s="237">
        <v>7920</v>
      </c>
      <c r="J35" s="237">
        <v>7376</v>
      </c>
      <c r="K35" s="374">
        <v>7330</v>
      </c>
      <c r="L35" s="374">
        <v>6813</v>
      </c>
      <c r="M35" s="522">
        <v>6781</v>
      </c>
      <c r="N35" s="374">
        <v>6632</v>
      </c>
      <c r="O35" s="523">
        <v>5857</v>
      </c>
      <c r="P35" s="202" t="s">
        <v>86</v>
      </c>
      <c r="Q35" s="455"/>
    </row>
    <row r="36" spans="1:17" ht="12.75" customHeight="1">
      <c r="A36" s="11"/>
      <c r="B36" s="13" t="s">
        <v>1</v>
      </c>
      <c r="C36" s="227"/>
      <c r="D36" s="224"/>
      <c r="E36" s="224"/>
      <c r="F36" s="224"/>
      <c r="G36" s="224"/>
      <c r="H36" s="224"/>
      <c r="I36" s="224"/>
      <c r="J36" s="224">
        <v>1501</v>
      </c>
      <c r="K36" s="365">
        <v>1525</v>
      </c>
      <c r="L36" s="365">
        <v>1553</v>
      </c>
      <c r="M36" s="511">
        <v>1498</v>
      </c>
      <c r="N36" s="365">
        <v>1498</v>
      </c>
      <c r="O36" s="298">
        <v>1323</v>
      </c>
      <c r="P36" s="206" t="s">
        <v>1</v>
      </c>
      <c r="Q36" s="455"/>
    </row>
    <row r="37" spans="1:17" ht="12.75" customHeight="1">
      <c r="A37" s="11"/>
      <c r="B37" s="110" t="s">
        <v>66</v>
      </c>
      <c r="C37" s="238">
        <v>17374</v>
      </c>
      <c r="D37" s="239">
        <v>23228</v>
      </c>
      <c r="E37" s="239">
        <v>21941</v>
      </c>
      <c r="F37" s="220">
        <v>17872</v>
      </c>
      <c r="G37" s="220">
        <v>17571</v>
      </c>
      <c r="H37" s="220">
        <v>17030</v>
      </c>
      <c r="I37" s="220">
        <v>16841</v>
      </c>
      <c r="J37" s="220">
        <v>16004</v>
      </c>
      <c r="K37" s="364">
        <v>17499</v>
      </c>
      <c r="L37" s="364">
        <f>16320+1909</f>
        <v>18229</v>
      </c>
      <c r="M37" s="510">
        <v>17041</v>
      </c>
      <c r="N37" s="364">
        <v>17079</v>
      </c>
      <c r="O37" s="297">
        <v>17607</v>
      </c>
      <c r="P37" s="203" t="s">
        <v>66</v>
      </c>
      <c r="Q37" s="455"/>
    </row>
    <row r="38" spans="1:17" ht="12.75" customHeight="1">
      <c r="A38" s="11"/>
      <c r="B38" s="12" t="s">
        <v>52</v>
      </c>
      <c r="C38" s="240" t="s">
        <v>85</v>
      </c>
      <c r="D38" s="241" t="s">
        <v>85</v>
      </c>
      <c r="E38" s="241" t="s">
        <v>85</v>
      </c>
      <c r="F38" s="241" t="s">
        <v>85</v>
      </c>
      <c r="G38" s="241" t="s">
        <v>85</v>
      </c>
      <c r="H38" s="241" t="s">
        <v>85</v>
      </c>
      <c r="I38" s="241" t="s">
        <v>85</v>
      </c>
      <c r="J38" s="241" t="s">
        <v>85</v>
      </c>
      <c r="K38" s="375" t="s">
        <v>85</v>
      </c>
      <c r="L38" s="375" t="s">
        <v>85</v>
      </c>
      <c r="M38" s="524" t="s">
        <v>85</v>
      </c>
      <c r="N38" s="375" t="s">
        <v>85</v>
      </c>
      <c r="O38" s="525" t="s">
        <v>85</v>
      </c>
      <c r="P38" s="205" t="s">
        <v>52</v>
      </c>
      <c r="Q38" s="455"/>
    </row>
    <row r="39" spans="1:17" ht="12.75" customHeight="1">
      <c r="A39" s="11"/>
      <c r="B39" s="110" t="s">
        <v>83</v>
      </c>
      <c r="C39" s="219"/>
      <c r="D39" s="220"/>
      <c r="E39" s="220"/>
      <c r="F39" s="220"/>
      <c r="G39" s="220">
        <v>2741</v>
      </c>
      <c r="H39" s="220"/>
      <c r="I39" s="220"/>
      <c r="J39" s="220"/>
      <c r="K39" s="364"/>
      <c r="L39" s="364"/>
      <c r="M39" s="510"/>
      <c r="N39" s="364"/>
      <c r="O39" s="297"/>
      <c r="P39" s="203" t="s">
        <v>83</v>
      </c>
      <c r="Q39" s="455"/>
    </row>
    <row r="40" spans="1:17" ht="12.75" customHeight="1">
      <c r="A40" s="11"/>
      <c r="B40" s="13" t="s">
        <v>53</v>
      </c>
      <c r="C40" s="242">
        <v>32545</v>
      </c>
      <c r="D40" s="235">
        <v>31417</v>
      </c>
      <c r="E40" s="803">
        <v>27104</v>
      </c>
      <c r="F40" s="224">
        <v>19894</v>
      </c>
      <c r="G40" s="224">
        <v>20394</v>
      </c>
      <c r="H40" s="224">
        <v>19553</v>
      </c>
      <c r="I40" s="224">
        <v>19497</v>
      </c>
      <c r="J40" s="224">
        <v>18917</v>
      </c>
      <c r="K40" s="306">
        <v>18339</v>
      </c>
      <c r="L40" s="306">
        <f>29+10888</f>
        <v>10917</v>
      </c>
      <c r="M40" s="526">
        <v>10464</v>
      </c>
      <c r="N40" s="306">
        <f>21+11495</f>
        <v>11516</v>
      </c>
      <c r="O40" s="304">
        <f>21+9121</f>
        <v>9142</v>
      </c>
      <c r="P40" s="208" t="s">
        <v>53</v>
      </c>
      <c r="Q40" s="455"/>
    </row>
    <row r="41" spans="2:16" ht="13.5" customHeight="1">
      <c r="B41" s="879" t="s">
        <v>244</v>
      </c>
      <c r="C41" s="879"/>
      <c r="D41" s="879"/>
      <c r="E41" s="879"/>
      <c r="F41" s="879"/>
      <c r="G41" s="879"/>
      <c r="H41" s="879"/>
      <c r="I41" s="879"/>
      <c r="J41" s="879"/>
      <c r="K41" s="879"/>
      <c r="L41" s="879"/>
      <c r="M41" s="879"/>
      <c r="N41" s="879"/>
      <c r="O41" s="879"/>
      <c r="P41" s="879"/>
    </row>
    <row r="42" spans="2:9" ht="11.25">
      <c r="B42" s="3" t="s">
        <v>0</v>
      </c>
      <c r="C42" s="21"/>
      <c r="D42" s="21"/>
      <c r="E42" s="21"/>
      <c r="F42" s="21"/>
      <c r="G42" s="21"/>
      <c r="H42" s="21"/>
      <c r="I42" s="21"/>
    </row>
    <row r="43" spans="2:9" ht="12.75" customHeight="1">
      <c r="B43" s="294" t="s">
        <v>133</v>
      </c>
      <c r="C43" s="293"/>
      <c r="D43" s="293"/>
      <c r="E43" s="293"/>
      <c r="F43" s="293"/>
      <c r="G43" s="293"/>
      <c r="H43" s="293"/>
      <c r="I43" s="293"/>
    </row>
    <row r="44" spans="2:9" ht="12.75" customHeight="1">
      <c r="B44" s="293" t="s">
        <v>154</v>
      </c>
      <c r="C44" s="293"/>
      <c r="D44" s="293"/>
      <c r="E44" s="293"/>
      <c r="F44" s="293"/>
      <c r="G44" s="293"/>
      <c r="H44" s="293"/>
      <c r="I44" s="293"/>
    </row>
    <row r="45" spans="2:3" ht="11.25">
      <c r="B45" s="39" t="s">
        <v>250</v>
      </c>
      <c r="C45" s="6"/>
    </row>
    <row r="47" ht="11.25">
      <c r="B47" s="6"/>
    </row>
    <row r="48" ht="15">
      <c r="B48" s="36"/>
    </row>
  </sheetData>
  <mergeCells count="3">
    <mergeCell ref="B2:P2"/>
    <mergeCell ref="B3:P3"/>
    <mergeCell ref="B41:P41"/>
  </mergeCells>
  <printOptions horizontalCentered="1"/>
  <pageMargins left="0.6692913385826772" right="0.28" top="0.5118110236220472" bottom="0.275590551181102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3"/>
  <dimension ref="A1:Z43"/>
  <sheetViews>
    <sheetView workbookViewId="0" topLeftCell="A1">
      <selection activeCell="Y5" sqref="Y5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4" width="5.7109375" style="4" hidden="1" customWidth="1"/>
    <col min="5" max="5" width="5.7109375" style="4" customWidth="1"/>
    <col min="6" max="9" width="5.7109375" style="4" hidden="1" customWidth="1"/>
    <col min="10" max="10" width="5.7109375" style="4" customWidth="1"/>
    <col min="11" max="14" width="5.7109375" style="4" hidden="1" customWidth="1"/>
    <col min="15" max="20" width="5.7109375" style="4" customWidth="1"/>
    <col min="21" max="24" width="6.00390625" style="4" customWidth="1"/>
    <col min="25" max="25" width="6.7109375" style="455" customWidth="1"/>
    <col min="26" max="26" width="4.00390625" style="4" customWidth="1"/>
    <col min="27" max="16384" width="9.140625" style="4" customWidth="1"/>
  </cols>
  <sheetData>
    <row r="1" spans="2:26" ht="14.25" customHeight="1">
      <c r="B1" s="47"/>
      <c r="C1" s="47"/>
      <c r="D1" s="47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Z1" s="19" t="s">
        <v>208</v>
      </c>
    </row>
    <row r="2" spans="1:26" s="125" customFormat="1" ht="30" customHeight="1">
      <c r="A2" s="866" t="s">
        <v>183</v>
      </c>
      <c r="B2" s="866"/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</row>
    <row r="3" spans="2:26" ht="18" customHeight="1">
      <c r="B3" s="865" t="s">
        <v>13</v>
      </c>
      <c r="C3" s="865"/>
      <c r="D3" s="865"/>
      <c r="E3" s="865"/>
      <c r="F3" s="865"/>
      <c r="G3" s="865"/>
      <c r="H3" s="865"/>
      <c r="I3" s="865"/>
      <c r="J3" s="865"/>
      <c r="K3" s="865"/>
      <c r="L3" s="865"/>
      <c r="M3" s="865"/>
      <c r="N3" s="865"/>
      <c r="O3" s="865"/>
      <c r="P3" s="865"/>
      <c r="Q3" s="865"/>
      <c r="R3" s="865"/>
      <c r="S3" s="865"/>
      <c r="T3" s="865"/>
      <c r="U3" s="865"/>
      <c r="V3" s="865"/>
      <c r="W3" s="865"/>
      <c r="X3" s="865"/>
      <c r="Y3" s="865"/>
      <c r="Z3" s="865"/>
    </row>
    <row r="4" spans="2:26" ht="33" customHeight="1">
      <c r="B4" s="5"/>
      <c r="C4" s="430">
        <v>1970</v>
      </c>
      <c r="D4" s="430">
        <v>1980</v>
      </c>
      <c r="E4" s="114">
        <v>1990</v>
      </c>
      <c r="F4" s="115">
        <v>1991</v>
      </c>
      <c r="G4" s="115">
        <v>1992</v>
      </c>
      <c r="H4" s="115">
        <v>1993</v>
      </c>
      <c r="I4" s="115">
        <v>1994</v>
      </c>
      <c r="J4" s="115">
        <v>1995</v>
      </c>
      <c r="K4" s="115">
        <v>1996</v>
      </c>
      <c r="L4" s="115">
        <v>1997</v>
      </c>
      <c r="M4" s="115">
        <v>1998</v>
      </c>
      <c r="N4" s="115">
        <v>1999</v>
      </c>
      <c r="O4" s="115">
        <v>2000</v>
      </c>
      <c r="P4" s="115">
        <v>2001</v>
      </c>
      <c r="Q4" s="115">
        <v>2002</v>
      </c>
      <c r="R4" s="115">
        <v>2003</v>
      </c>
      <c r="S4" s="115">
        <v>2004</v>
      </c>
      <c r="T4" s="115">
        <v>2005</v>
      </c>
      <c r="U4" s="115">
        <v>2006</v>
      </c>
      <c r="V4" s="115">
        <v>2007</v>
      </c>
      <c r="W4" s="115">
        <v>2008</v>
      </c>
      <c r="X4" s="116">
        <v>2009</v>
      </c>
      <c r="Y4" s="823" t="s">
        <v>251</v>
      </c>
      <c r="Z4" s="9"/>
    </row>
    <row r="5" spans="2:26" ht="12.75" customHeight="1">
      <c r="B5" s="113" t="s">
        <v>40</v>
      </c>
      <c r="C5" s="431"/>
      <c r="D5" s="431"/>
      <c r="E5" s="681">
        <v>345.46451070294705</v>
      </c>
      <c r="F5" s="287">
        <v>354.73433828425703</v>
      </c>
      <c r="G5" s="287">
        <v>362.80169060060615</v>
      </c>
      <c r="H5" s="287">
        <v>367.9070839443103</v>
      </c>
      <c r="I5" s="287">
        <v>373.72057007885536</v>
      </c>
      <c r="J5" s="253">
        <v>380.34745886926737</v>
      </c>
      <c r="K5" s="253">
        <v>388.44925496912634</v>
      </c>
      <c r="L5" s="253">
        <v>386.99837102753014</v>
      </c>
      <c r="M5" s="253">
        <v>396.47534422486433</v>
      </c>
      <c r="N5" s="253">
        <v>407.3610253557236</v>
      </c>
      <c r="O5" s="253">
        <v>416.6657617422756</v>
      </c>
      <c r="P5" s="253">
        <v>425.6859673863972</v>
      </c>
      <c r="Q5" s="253">
        <v>432.36626271307597</v>
      </c>
      <c r="R5" s="253">
        <v>436.3096637914962</v>
      </c>
      <c r="S5" s="253">
        <v>441.2231505248395</v>
      </c>
      <c r="T5" s="253">
        <v>448.1716093104206</v>
      </c>
      <c r="U5" s="253">
        <v>454.8763226926781</v>
      </c>
      <c r="V5" s="253">
        <v>462.95311785152114</v>
      </c>
      <c r="W5" s="253">
        <v>469.7658976502727</v>
      </c>
      <c r="X5" s="620">
        <v>473.067112973726</v>
      </c>
      <c r="Y5" s="627">
        <f aca="true" t="shared" si="0" ref="Y5:Y40">X5/W5*100-100</f>
        <v>0.702736265013229</v>
      </c>
      <c r="Z5" s="113" t="s">
        <v>40</v>
      </c>
    </row>
    <row r="6" spans="2:26" ht="12.75" customHeight="1">
      <c r="B6" s="110" t="s">
        <v>71</v>
      </c>
      <c r="C6" s="432">
        <v>172.6392206480121</v>
      </c>
      <c r="D6" s="432">
        <v>286.89557005643985</v>
      </c>
      <c r="E6" s="682">
        <v>405.5202884533583</v>
      </c>
      <c r="F6" s="254">
        <v>413.19375165810226</v>
      </c>
      <c r="G6" s="254">
        <v>420.81378744896</v>
      </c>
      <c r="H6" s="254">
        <v>424.36353426179545</v>
      </c>
      <c r="I6" s="254">
        <v>429.27704330075534</v>
      </c>
      <c r="J6" s="254">
        <v>434.6334257411259</v>
      </c>
      <c r="K6" s="254">
        <v>441.73575279858613</v>
      </c>
      <c r="L6" s="254">
        <v>436.51052552950614</v>
      </c>
      <c r="M6" s="254">
        <v>446.02718948768137</v>
      </c>
      <c r="N6" s="254">
        <v>457.42478875194683</v>
      </c>
      <c r="O6" s="254">
        <v>465.4182968563578</v>
      </c>
      <c r="P6" s="254">
        <v>473.2287521159088</v>
      </c>
      <c r="Q6" s="254">
        <v>478.3515982815887</v>
      </c>
      <c r="R6" s="254">
        <v>480.61228162783715</v>
      </c>
      <c r="S6" s="254">
        <v>483.32677773991907</v>
      </c>
      <c r="T6" s="254">
        <v>488.73807379338615</v>
      </c>
      <c r="U6" s="254">
        <v>494.1149405294675</v>
      </c>
      <c r="V6" s="254">
        <v>499.17876935219164</v>
      </c>
      <c r="W6" s="254">
        <v>500.6384183259618</v>
      </c>
      <c r="X6" s="621">
        <v>502.6167028959218</v>
      </c>
      <c r="Y6" s="585">
        <f t="shared" si="0"/>
        <v>0.3951523689642187</v>
      </c>
      <c r="Z6" s="110" t="s">
        <v>71</v>
      </c>
    </row>
    <row r="7" spans="2:26" ht="12.75" customHeight="1">
      <c r="B7" s="112" t="s">
        <v>131</v>
      </c>
      <c r="C7" s="433"/>
      <c r="D7" s="433"/>
      <c r="E7" s="683">
        <v>140.3818590667399</v>
      </c>
      <c r="F7" s="255">
        <v>153.57607182241475</v>
      </c>
      <c r="G7" s="255">
        <v>162.02904946653274</v>
      </c>
      <c r="H7" s="255">
        <v>171.78566558635742</v>
      </c>
      <c r="I7" s="255">
        <v>180.07301881797926</v>
      </c>
      <c r="J7" s="255">
        <v>190.34296073162122</v>
      </c>
      <c r="K7" s="255">
        <v>201.16704922565907</v>
      </c>
      <c r="L7" s="255">
        <v>212.31849514494033</v>
      </c>
      <c r="M7" s="255">
        <v>220.9761922768259</v>
      </c>
      <c r="N7" s="255">
        <v>229.18257004810118</v>
      </c>
      <c r="O7" s="255">
        <v>241.532203275132</v>
      </c>
      <c r="P7" s="255">
        <v>252.4842044979942</v>
      </c>
      <c r="Q7" s="255">
        <v>263.5795466596534</v>
      </c>
      <c r="R7" s="255">
        <v>272.4603510679486</v>
      </c>
      <c r="S7" s="255">
        <v>284.31925290051214</v>
      </c>
      <c r="T7" s="255">
        <v>295.99424267179336</v>
      </c>
      <c r="U7" s="255">
        <v>306.7209397975675</v>
      </c>
      <c r="V7" s="255">
        <v>325.30654462709884</v>
      </c>
      <c r="W7" s="255">
        <v>351.9294814022312</v>
      </c>
      <c r="X7" s="622">
        <v>359.8499785907687</v>
      </c>
      <c r="Y7" s="685">
        <f t="shared" si="0"/>
        <v>2.250592123450133</v>
      </c>
      <c r="Z7" s="112" t="s">
        <v>131</v>
      </c>
    </row>
    <row r="8" spans="1:26" ht="12.75" customHeight="1">
      <c r="A8" s="11"/>
      <c r="B8" s="12" t="s">
        <v>72</v>
      </c>
      <c r="C8" s="434">
        <v>213.4108331785989</v>
      </c>
      <c r="D8" s="434">
        <v>320.24913584337367</v>
      </c>
      <c r="E8" s="256">
        <v>386.91986312171605</v>
      </c>
      <c r="F8" s="256">
        <v>396.1286358397433</v>
      </c>
      <c r="G8" s="256">
        <v>399.37153361946514</v>
      </c>
      <c r="H8" s="256">
        <v>406.8657690791793</v>
      </c>
      <c r="I8" s="256">
        <v>415.59313420937457</v>
      </c>
      <c r="J8" s="256">
        <v>421.3182685636772</v>
      </c>
      <c r="K8" s="256">
        <v>426.6602335090685</v>
      </c>
      <c r="L8" s="256">
        <v>433.2053212122449</v>
      </c>
      <c r="M8" s="256">
        <v>439.7731607346645</v>
      </c>
      <c r="N8" s="256">
        <v>447.65865309253707</v>
      </c>
      <c r="O8" s="256">
        <v>455.83038938115527</v>
      </c>
      <c r="P8" s="256">
        <v>459.7455315248467</v>
      </c>
      <c r="Q8" s="256">
        <v>462.2857393371318</v>
      </c>
      <c r="R8" s="256">
        <v>463.7045767961879</v>
      </c>
      <c r="S8" s="256">
        <v>466.63747485604813</v>
      </c>
      <c r="T8" s="256">
        <v>467.9255306295595</v>
      </c>
      <c r="U8" s="256">
        <v>470.14691435636183</v>
      </c>
      <c r="V8" s="256">
        <v>473.30893628925304</v>
      </c>
      <c r="W8" s="256">
        <v>477.1263675151678</v>
      </c>
      <c r="X8" s="256">
        <v>479.0232017716022</v>
      </c>
      <c r="Y8" s="628">
        <f t="shared" si="0"/>
        <v>0.3975538527272988</v>
      </c>
      <c r="Z8" s="12" t="s">
        <v>72</v>
      </c>
    </row>
    <row r="9" spans="1:26" ht="12.75" customHeight="1">
      <c r="A9" s="11"/>
      <c r="B9" s="110" t="s">
        <v>54</v>
      </c>
      <c r="C9" s="435">
        <v>18.79062812724497</v>
      </c>
      <c r="D9" s="435">
        <v>92.37717103250189</v>
      </c>
      <c r="E9" s="257">
        <v>151.96206277599646</v>
      </c>
      <c r="F9" s="257">
        <v>158.10662948426872</v>
      </c>
      <c r="G9" s="257">
        <v>166.3315011686105</v>
      </c>
      <c r="H9" s="257">
        <v>177.95427602404465</v>
      </c>
      <c r="I9" s="257">
        <v>188.41749631975063</v>
      </c>
      <c r="J9" s="257">
        <v>196.49695904989017</v>
      </c>
      <c r="K9" s="257">
        <v>204.65604819411155</v>
      </c>
      <c r="L9" s="257">
        <v>208.9175680896272</v>
      </c>
      <c r="M9" s="257">
        <v>219.83820656444283</v>
      </c>
      <c r="N9" s="257">
        <v>232.99095237188308</v>
      </c>
      <c r="O9" s="257">
        <v>244.51902872678315</v>
      </c>
      <c r="P9" s="257">
        <v>264.31059314328365</v>
      </c>
      <c r="Q9" s="257">
        <v>277.10222524264765</v>
      </c>
      <c r="R9" s="257">
        <v>296.0157912689378</v>
      </c>
      <c r="S9" s="257">
        <v>314.1843325560759</v>
      </c>
      <c r="T9" s="284">
        <v>328.8216356275304</v>
      </c>
      <c r="U9" s="257">
        <v>230.1960207258744</v>
      </c>
      <c r="V9" s="257">
        <v>272.44138206165826</v>
      </c>
      <c r="W9" s="257">
        <v>311.0734418266571</v>
      </c>
      <c r="X9" s="257">
        <v>330.79004879880375</v>
      </c>
      <c r="Y9" s="592">
        <f t="shared" si="0"/>
        <v>6.338248246577606</v>
      </c>
      <c r="Z9" s="110" t="s">
        <v>54</v>
      </c>
    </row>
    <row r="10" spans="1:26" ht="12.75" customHeight="1">
      <c r="A10" s="11"/>
      <c r="B10" s="13" t="s">
        <v>56</v>
      </c>
      <c r="C10" s="436">
        <v>69.82907778622864</v>
      </c>
      <c r="D10" s="436">
        <v>172.9378161276561</v>
      </c>
      <c r="E10" s="258">
        <v>233.87597411526707</v>
      </c>
      <c r="F10" s="258">
        <v>240.4837291424001</v>
      </c>
      <c r="G10" s="258">
        <v>249.86206742266407</v>
      </c>
      <c r="H10" s="258">
        <v>274.15709657032556</v>
      </c>
      <c r="I10" s="258">
        <v>282.9643320180533</v>
      </c>
      <c r="J10" s="258">
        <v>294.85656131604566</v>
      </c>
      <c r="K10" s="258">
        <v>309.67985002042366</v>
      </c>
      <c r="L10" s="258">
        <v>329.3038000801039</v>
      </c>
      <c r="M10" s="258">
        <v>339.46449533952705</v>
      </c>
      <c r="N10" s="258">
        <v>334.6674647390986</v>
      </c>
      <c r="O10" s="258">
        <v>334.9588069833808</v>
      </c>
      <c r="P10" s="258">
        <v>345.8397230923704</v>
      </c>
      <c r="Q10" s="258">
        <v>357.44103188889756</v>
      </c>
      <c r="R10" s="258">
        <v>362.92692863064076</v>
      </c>
      <c r="S10" s="258">
        <v>373.32011685837307</v>
      </c>
      <c r="T10" s="258">
        <v>386.1747626762022</v>
      </c>
      <c r="U10" s="258">
        <v>399.39093176960193</v>
      </c>
      <c r="V10" s="258">
        <v>412.2943263401961</v>
      </c>
      <c r="W10" s="258">
        <v>422.5796275763689</v>
      </c>
      <c r="X10" s="258">
        <v>422.1120143662974</v>
      </c>
      <c r="Y10" s="597">
        <f t="shared" si="0"/>
        <v>-0.11065682762641416</v>
      </c>
      <c r="Z10" s="13" t="s">
        <v>56</v>
      </c>
    </row>
    <row r="11" spans="1:26" ht="12.75" customHeight="1">
      <c r="A11" s="11"/>
      <c r="B11" s="110" t="s">
        <v>67</v>
      </c>
      <c r="C11" s="435">
        <v>217.5242263661885</v>
      </c>
      <c r="D11" s="435">
        <v>271.2730257617649</v>
      </c>
      <c r="E11" s="257">
        <v>308.9496895832852</v>
      </c>
      <c r="F11" s="257">
        <v>308.7875034433487</v>
      </c>
      <c r="G11" s="257">
        <v>309.6260404654738</v>
      </c>
      <c r="H11" s="257">
        <v>311.3037226732186</v>
      </c>
      <c r="I11" s="257">
        <v>308.91068113728545</v>
      </c>
      <c r="J11" s="257">
        <v>319.748308283313</v>
      </c>
      <c r="K11" s="257">
        <v>329.63300747035</v>
      </c>
      <c r="L11" s="257">
        <v>336.7601787393812</v>
      </c>
      <c r="M11" s="257">
        <v>341.98187021661676</v>
      </c>
      <c r="N11" s="257">
        <v>345.82496876184325</v>
      </c>
      <c r="O11" s="257">
        <v>346.60432228148744</v>
      </c>
      <c r="P11" s="257">
        <v>348.82777849597846</v>
      </c>
      <c r="Q11" s="257">
        <v>350.75462890639875</v>
      </c>
      <c r="R11" s="257">
        <v>351.0143321896236</v>
      </c>
      <c r="S11" s="257">
        <v>354.0339338859316</v>
      </c>
      <c r="T11" s="257">
        <v>361.9892844883766</v>
      </c>
      <c r="U11" s="257">
        <v>370.84300517487884</v>
      </c>
      <c r="V11" s="257">
        <v>377.7523649094715</v>
      </c>
      <c r="W11" s="257">
        <v>380.8597772165624</v>
      </c>
      <c r="X11" s="257">
        <v>383.03529453426705</v>
      </c>
      <c r="Y11" s="592">
        <f t="shared" si="0"/>
        <v>0.5712121488921724</v>
      </c>
      <c r="Z11" s="110" t="s">
        <v>67</v>
      </c>
    </row>
    <row r="12" spans="1:26" ht="12.75" customHeight="1">
      <c r="A12" s="11"/>
      <c r="B12" s="13" t="s">
        <v>73</v>
      </c>
      <c r="C12" s="436">
        <v>193.50812395552978</v>
      </c>
      <c r="D12" s="436">
        <v>329.9801562524515</v>
      </c>
      <c r="E12" s="258">
        <v>461.07225228641846</v>
      </c>
      <c r="F12" s="258">
        <v>472.71511807899697</v>
      </c>
      <c r="G12" s="258">
        <v>480.29857054490844</v>
      </c>
      <c r="H12" s="258">
        <v>481.96440995979583</v>
      </c>
      <c r="I12" s="258">
        <v>489.5543402920455</v>
      </c>
      <c r="J12" s="258">
        <v>494.9973110275591</v>
      </c>
      <c r="K12" s="258">
        <v>500.477197516144</v>
      </c>
      <c r="L12" s="322">
        <v>449.9856984220761</v>
      </c>
      <c r="M12" s="258">
        <v>457.76349652719546</v>
      </c>
      <c r="N12" s="258">
        <v>467.6868401683351</v>
      </c>
      <c r="O12" s="258">
        <v>474.8256190102692</v>
      </c>
      <c r="P12" s="258">
        <v>477.77985645347354</v>
      </c>
      <c r="Q12" s="258">
        <v>481.25210512465486</v>
      </c>
      <c r="R12" s="258">
        <v>484.8742490625205</v>
      </c>
      <c r="S12" s="258">
        <v>487.0189517686054</v>
      </c>
      <c r="T12" s="258">
        <v>493.2131112601659</v>
      </c>
      <c r="U12" s="258">
        <v>498.326512090046</v>
      </c>
      <c r="V12" s="258">
        <v>500.9082639816953</v>
      </c>
      <c r="W12" s="258">
        <v>503.90224154047473</v>
      </c>
      <c r="X12" s="258">
        <v>510.22586088303166</v>
      </c>
      <c r="Y12" s="597">
        <f t="shared" si="0"/>
        <v>1.254929790196016</v>
      </c>
      <c r="Z12" s="13" t="s">
        <v>73</v>
      </c>
    </row>
    <row r="13" spans="1:26" ht="12.75" customHeight="1">
      <c r="A13" s="11"/>
      <c r="B13" s="110" t="s">
        <v>57</v>
      </c>
      <c r="C13" s="435">
        <v>21.92163599708004</v>
      </c>
      <c r="D13" s="435">
        <v>85.6807266265339</v>
      </c>
      <c r="E13" s="257">
        <v>153.72358713033782</v>
      </c>
      <c r="F13" s="257">
        <v>167.8588287955711</v>
      </c>
      <c r="G13" s="257">
        <v>187.91731373523376</v>
      </c>
      <c r="H13" s="257">
        <v>214.91896825353837</v>
      </c>
      <c r="I13" s="257">
        <v>233.283497056437</v>
      </c>
      <c r="J13" s="257">
        <v>269.0472581939837</v>
      </c>
      <c r="K13" s="257">
        <v>289.1885894412217</v>
      </c>
      <c r="L13" s="257">
        <v>307.0030737778467</v>
      </c>
      <c r="M13" s="257">
        <v>326.9590360467418</v>
      </c>
      <c r="N13" s="257">
        <v>334.31214565427007</v>
      </c>
      <c r="O13" s="257">
        <v>339.36643308248455</v>
      </c>
      <c r="P13" s="257">
        <v>299.2120431194453</v>
      </c>
      <c r="Q13" s="257">
        <v>295.4916687868028</v>
      </c>
      <c r="R13" s="257">
        <v>321.2271171938665</v>
      </c>
      <c r="S13" s="257">
        <v>349.6820060704559</v>
      </c>
      <c r="T13" s="257">
        <v>367.20895020688874</v>
      </c>
      <c r="U13" s="284">
        <v>412.6998552602075</v>
      </c>
      <c r="V13" s="257">
        <v>390.59760540220066</v>
      </c>
      <c r="W13" s="257">
        <v>411.685933087887</v>
      </c>
      <c r="X13" s="257">
        <v>407.20021311413024</v>
      </c>
      <c r="Y13" s="592">
        <f t="shared" si="0"/>
        <v>-1.0895975823393371</v>
      </c>
      <c r="Z13" s="110" t="s">
        <v>57</v>
      </c>
    </row>
    <row r="14" spans="1:26" ht="12.75" customHeight="1">
      <c r="A14" s="11"/>
      <c r="B14" s="13" t="s">
        <v>76</v>
      </c>
      <c r="C14" s="436">
        <v>132.42427302100162</v>
      </c>
      <c r="D14" s="436">
        <v>215.01806105802845</v>
      </c>
      <c r="E14" s="258">
        <v>227.60302041166415</v>
      </c>
      <c r="F14" s="258">
        <v>237.33555988286938</v>
      </c>
      <c r="G14" s="258">
        <v>242.11828035615278</v>
      </c>
      <c r="H14" s="258">
        <v>250.38583326309728</v>
      </c>
      <c r="I14" s="258">
        <v>262.93710531165493</v>
      </c>
      <c r="J14" s="258">
        <v>275.81548950087915</v>
      </c>
      <c r="K14" s="258">
        <v>291.8235655432146</v>
      </c>
      <c r="L14" s="258">
        <v>309.9346379747356</v>
      </c>
      <c r="M14" s="258">
        <v>323.70978947811227</v>
      </c>
      <c r="N14" s="258">
        <v>339.439239571143</v>
      </c>
      <c r="O14" s="258">
        <v>347.7423399538687</v>
      </c>
      <c r="P14" s="258">
        <v>359.306552310894</v>
      </c>
      <c r="Q14" s="258">
        <v>369.9000798503405</v>
      </c>
      <c r="R14" s="258">
        <v>379.1121157018391</v>
      </c>
      <c r="S14" s="258">
        <v>390.2432435918371</v>
      </c>
      <c r="T14" s="258">
        <v>400.1039197019543</v>
      </c>
      <c r="U14" s="258">
        <v>417.8861762224738</v>
      </c>
      <c r="V14" s="258">
        <v>433.85813622457727</v>
      </c>
      <c r="W14" s="258">
        <v>438.94850147077665</v>
      </c>
      <c r="X14" s="258">
        <v>432.134308775533</v>
      </c>
      <c r="Y14" s="597">
        <f t="shared" si="0"/>
        <v>-1.5523900121338698</v>
      </c>
      <c r="Z14" s="13" t="s">
        <v>76</v>
      </c>
    </row>
    <row r="15" spans="1:26" ht="12.75" customHeight="1">
      <c r="A15" s="11"/>
      <c r="B15" s="110" t="s">
        <v>68</v>
      </c>
      <c r="C15" s="435">
        <v>25.768367370811774</v>
      </c>
      <c r="D15" s="435">
        <v>88.92119083467739</v>
      </c>
      <c r="E15" s="257">
        <v>170.2676497420609</v>
      </c>
      <c r="F15" s="257">
        <v>172.24229607297593</v>
      </c>
      <c r="G15" s="257">
        <v>175.53643410272437</v>
      </c>
      <c r="H15" s="257">
        <v>186.33286512524597</v>
      </c>
      <c r="I15" s="257">
        <v>195.7589913954353</v>
      </c>
      <c r="J15" s="257">
        <v>206.5602205646479</v>
      </c>
      <c r="K15" s="257">
        <v>217.72893651528307</v>
      </c>
      <c r="L15" s="257">
        <v>231.3116386411331</v>
      </c>
      <c r="M15" s="257">
        <v>246.34720269077602</v>
      </c>
      <c r="N15" s="257">
        <v>268.61209397824985</v>
      </c>
      <c r="O15" s="257">
        <v>292.2884263639346</v>
      </c>
      <c r="P15" s="257">
        <v>312.13375358337555</v>
      </c>
      <c r="Q15" s="257">
        <v>331.268772639716</v>
      </c>
      <c r="R15" s="257">
        <v>347.76476022697943</v>
      </c>
      <c r="S15" s="257">
        <v>367.55413885956654</v>
      </c>
      <c r="T15" s="257">
        <v>386.79188892151757</v>
      </c>
      <c r="U15" s="257">
        <v>406.65249996867095</v>
      </c>
      <c r="V15" s="257">
        <v>427.9135011060048</v>
      </c>
      <c r="W15" s="257">
        <v>446.1602702994086</v>
      </c>
      <c r="X15" s="257">
        <v>453.9501489502365</v>
      </c>
      <c r="Y15" s="592">
        <f t="shared" si="0"/>
        <v>1.7459821435019904</v>
      </c>
      <c r="Z15" s="110" t="s">
        <v>68</v>
      </c>
    </row>
    <row r="16" spans="1:26" ht="12.75" customHeight="1">
      <c r="A16" s="11"/>
      <c r="B16" s="13" t="s">
        <v>74</v>
      </c>
      <c r="C16" s="436">
        <v>69.85600966727272</v>
      </c>
      <c r="D16" s="436">
        <v>200.77772993081848</v>
      </c>
      <c r="E16" s="258">
        <v>308.5729070258855</v>
      </c>
      <c r="F16" s="258">
        <v>321.43503238322774</v>
      </c>
      <c r="G16" s="258">
        <v>334.8230702234587</v>
      </c>
      <c r="H16" s="258">
        <v>342.4656965314883</v>
      </c>
      <c r="I16" s="258">
        <v>349.07757650007244</v>
      </c>
      <c r="J16" s="258">
        <v>360.4342560192527</v>
      </c>
      <c r="K16" s="258">
        <v>373.27376359497896</v>
      </c>
      <c r="L16" s="258">
        <v>385.9132739385381</v>
      </c>
      <c r="M16" s="258">
        <v>403.2391216834925</v>
      </c>
      <c r="N16" s="258">
        <v>420.6621681236727</v>
      </c>
      <c r="O16" s="258">
        <v>431.0930753954563</v>
      </c>
      <c r="P16" s="258">
        <v>443.0908086574233</v>
      </c>
      <c r="Q16" s="258">
        <v>449.61515901779444</v>
      </c>
      <c r="R16" s="258">
        <v>441.33118584802077</v>
      </c>
      <c r="S16" s="258">
        <v>454.06157599899717</v>
      </c>
      <c r="T16" s="258">
        <v>462.7784931984255</v>
      </c>
      <c r="U16" s="258">
        <v>470.1270034145983</v>
      </c>
      <c r="V16" s="258">
        <v>480.5346275982477</v>
      </c>
      <c r="W16" s="258">
        <v>483.2259947003778</v>
      </c>
      <c r="X16" s="258">
        <v>478.0159897311132</v>
      </c>
      <c r="Y16" s="597">
        <f t="shared" si="0"/>
        <v>-1.0781715028586092</v>
      </c>
      <c r="Z16" s="13" t="s">
        <v>74</v>
      </c>
    </row>
    <row r="17" spans="1:26" ht="12.75" customHeight="1">
      <c r="A17" s="11"/>
      <c r="B17" s="110" t="s">
        <v>75</v>
      </c>
      <c r="C17" s="435">
        <v>233.25908376537555</v>
      </c>
      <c r="D17" s="435">
        <v>353.5162746121825</v>
      </c>
      <c r="E17" s="257">
        <v>476.27246980818893</v>
      </c>
      <c r="F17" s="257">
        <v>478.18926851899636</v>
      </c>
      <c r="G17" s="257">
        <v>481.02570299049694</v>
      </c>
      <c r="H17" s="257">
        <v>480.8526214397469</v>
      </c>
      <c r="I17" s="257">
        <v>480.70482100915564</v>
      </c>
      <c r="J17" s="257">
        <v>481.08407077545746</v>
      </c>
      <c r="K17" s="257">
        <v>482.09120246332094</v>
      </c>
      <c r="L17" s="257">
        <v>483.7362455955905</v>
      </c>
      <c r="M17" s="257">
        <v>489.3849153283456</v>
      </c>
      <c r="N17" s="257">
        <v>497.3336934304377</v>
      </c>
      <c r="O17" s="257">
        <v>502.9445435109694</v>
      </c>
      <c r="P17" s="257">
        <v>508.16662743071026</v>
      </c>
      <c r="Q17" s="257">
        <v>508.9817964145225</v>
      </c>
      <c r="R17" s="257">
        <v>505.45416418142105</v>
      </c>
      <c r="S17" s="257">
        <v>500.91222149785153</v>
      </c>
      <c r="T17" s="257">
        <v>496.6961827016414</v>
      </c>
      <c r="U17" s="257">
        <v>501.6940625748541</v>
      </c>
      <c r="V17" s="257">
        <v>506.08039982870173</v>
      </c>
      <c r="W17" s="257">
        <v>497.9913435630276</v>
      </c>
      <c r="X17" s="257">
        <v>499.9525109568784</v>
      </c>
      <c r="Y17" s="592">
        <f t="shared" si="0"/>
        <v>0.39381555908563826</v>
      </c>
      <c r="Z17" s="110" t="s">
        <v>75</v>
      </c>
    </row>
    <row r="18" spans="1:26" ht="12.75" customHeight="1">
      <c r="A18" s="11"/>
      <c r="B18" s="13" t="s">
        <v>77</v>
      </c>
      <c r="C18" s="436">
        <v>188.6859506582849</v>
      </c>
      <c r="D18" s="436">
        <v>313.1455364564194</v>
      </c>
      <c r="E18" s="258">
        <v>483.1483593920984</v>
      </c>
      <c r="F18" s="258">
        <v>500.85360234138375</v>
      </c>
      <c r="G18" s="258">
        <v>517.9334843918429</v>
      </c>
      <c r="H18" s="258">
        <v>521.6533463264531</v>
      </c>
      <c r="I18" s="258">
        <v>521.8685363035182</v>
      </c>
      <c r="J18" s="258">
        <v>533.0609912565042</v>
      </c>
      <c r="K18" s="258">
        <v>535.6737114911213</v>
      </c>
      <c r="L18" s="258">
        <v>540.2387925189378</v>
      </c>
      <c r="M18" s="258">
        <v>551.2432992054049</v>
      </c>
      <c r="N18" s="258">
        <v>562.8304213913391</v>
      </c>
      <c r="O18" s="258">
        <v>572.0403642568106</v>
      </c>
      <c r="P18" s="258">
        <v>583.2048894069809</v>
      </c>
      <c r="Q18" s="258">
        <v>588.0237929961879</v>
      </c>
      <c r="R18" s="258">
        <v>592.7014370534122</v>
      </c>
      <c r="S18" s="258">
        <v>581.1113044928468</v>
      </c>
      <c r="T18" s="258">
        <v>590.0676662846466</v>
      </c>
      <c r="U18" s="258">
        <v>596.930724677107</v>
      </c>
      <c r="V18" s="258">
        <v>598.4656476117042</v>
      </c>
      <c r="W18" s="258">
        <v>601.3013924807279</v>
      </c>
      <c r="X18" s="258">
        <v>604.5214901715483</v>
      </c>
      <c r="Y18" s="597">
        <f t="shared" si="0"/>
        <v>0.5355214092446232</v>
      </c>
      <c r="Z18" s="13" t="s">
        <v>77</v>
      </c>
    </row>
    <row r="19" spans="1:26" ht="12.75" customHeight="1">
      <c r="A19" s="11"/>
      <c r="B19" s="110" t="s">
        <v>55</v>
      </c>
      <c r="C19" s="435">
        <v>97.26049602852974</v>
      </c>
      <c r="D19" s="435">
        <v>174.75728155339806</v>
      </c>
      <c r="E19" s="257">
        <v>304.1892833237672</v>
      </c>
      <c r="F19" s="257">
        <v>315.0551595256928</v>
      </c>
      <c r="G19" s="257">
        <v>322.9812460939456</v>
      </c>
      <c r="H19" s="257">
        <v>321.6872266740818</v>
      </c>
      <c r="I19" s="257">
        <v>325.9456553232962</v>
      </c>
      <c r="J19" s="257">
        <v>334.81327314031137</v>
      </c>
      <c r="K19" s="257">
        <v>340.4285973709052</v>
      </c>
      <c r="L19" s="257">
        <v>348.00174759150786</v>
      </c>
      <c r="M19" s="257">
        <v>364.97125334254946</v>
      </c>
      <c r="N19" s="257">
        <v>372.17974878963986</v>
      </c>
      <c r="O19" s="257">
        <v>383.6131941985438</v>
      </c>
      <c r="P19" s="284">
        <v>396.9575034122848</v>
      </c>
      <c r="Q19" s="257">
        <v>402.19146820818946</v>
      </c>
      <c r="R19" s="257">
        <v>414.1767084219303</v>
      </c>
      <c r="S19" s="257">
        <v>448.00480528581437</v>
      </c>
      <c r="T19" s="257">
        <v>463.3709718246274</v>
      </c>
      <c r="U19" s="257">
        <v>478.9426776458743</v>
      </c>
      <c r="V19" s="257">
        <v>520.6539215400579</v>
      </c>
      <c r="W19" s="257">
        <v>556.5703529411765</v>
      </c>
      <c r="X19" s="257">
        <v>573.3744881074075</v>
      </c>
      <c r="Y19" s="592">
        <f t="shared" si="0"/>
        <v>3.0192292991227703</v>
      </c>
      <c r="Z19" s="110" t="s">
        <v>55</v>
      </c>
    </row>
    <row r="20" spans="1:26" ht="12.75" customHeight="1">
      <c r="A20" s="11"/>
      <c r="B20" s="13" t="s">
        <v>59</v>
      </c>
      <c r="C20" s="436">
        <v>16.903141617901102</v>
      </c>
      <c r="D20" s="436">
        <v>66.01342538096904</v>
      </c>
      <c r="E20" s="258">
        <v>106.46458209265728</v>
      </c>
      <c r="F20" s="258">
        <v>124.47975785092699</v>
      </c>
      <c r="G20" s="258">
        <v>135.36117261450104</v>
      </c>
      <c r="H20" s="258">
        <v>144.6237244697163</v>
      </c>
      <c r="I20" s="322">
        <v>100.61385758504028</v>
      </c>
      <c r="J20" s="258">
        <v>134.43848244869167</v>
      </c>
      <c r="K20" s="258">
        <v>155.38187059493347</v>
      </c>
      <c r="L20" s="258">
        <v>178.3782064442626</v>
      </c>
      <c r="M20" s="258">
        <v>201.17553500096696</v>
      </c>
      <c r="N20" s="258">
        <v>220.66955954007932</v>
      </c>
      <c r="O20" s="258">
        <v>235.50769079802762</v>
      </c>
      <c r="P20" s="258">
        <v>249.896835492683</v>
      </c>
      <c r="Q20" s="258">
        <v>265.5394856486009</v>
      </c>
      <c r="R20" s="258">
        <v>279.7943948847945</v>
      </c>
      <c r="S20" s="258">
        <v>297.48434162867875</v>
      </c>
      <c r="T20" s="258">
        <v>323.56412256655875</v>
      </c>
      <c r="U20" s="258">
        <v>360.32490175579323</v>
      </c>
      <c r="V20" s="258">
        <v>398.4637768209348</v>
      </c>
      <c r="W20" s="258">
        <v>412.51955738616914</v>
      </c>
      <c r="X20" s="258">
        <v>402.2053270496812</v>
      </c>
      <c r="Y20" s="597">
        <f t="shared" si="0"/>
        <v>-2.500300931631344</v>
      </c>
      <c r="Z20" s="13" t="s">
        <v>59</v>
      </c>
    </row>
    <row r="21" spans="1:26" ht="12.75" customHeight="1">
      <c r="A21" s="11"/>
      <c r="B21" s="110" t="s">
        <v>60</v>
      </c>
      <c r="C21" s="435">
        <v>13.82720174456887</v>
      </c>
      <c r="D21" s="435">
        <v>72.17558244526198</v>
      </c>
      <c r="E21" s="257">
        <v>133.17240991818406</v>
      </c>
      <c r="F21" s="257">
        <v>143.26960668850515</v>
      </c>
      <c r="G21" s="257">
        <v>152.9536707392048</v>
      </c>
      <c r="H21" s="257">
        <v>162.81307745275782</v>
      </c>
      <c r="I21" s="257">
        <v>179.19616051755273</v>
      </c>
      <c r="J21" s="257">
        <v>198.73495662218426</v>
      </c>
      <c r="K21" s="257">
        <v>218.80857176381465</v>
      </c>
      <c r="L21" s="257">
        <v>247.62391076903126</v>
      </c>
      <c r="M21" s="257">
        <v>277.3752184777688</v>
      </c>
      <c r="N21" s="257">
        <v>310.1682937204626</v>
      </c>
      <c r="O21" s="257">
        <v>336.2187187947914</v>
      </c>
      <c r="P21" s="257">
        <v>326.12543611350725</v>
      </c>
      <c r="Q21" s="257">
        <v>341.06192742753683</v>
      </c>
      <c r="R21" s="257">
        <v>364.7432264310446</v>
      </c>
      <c r="S21" s="257">
        <v>384.172125031092</v>
      </c>
      <c r="T21" s="257">
        <v>427.60933263283346</v>
      </c>
      <c r="U21" s="257">
        <v>470.3973170089684</v>
      </c>
      <c r="V21" s="257">
        <v>471.69774328747667</v>
      </c>
      <c r="W21" s="257">
        <v>498.8444334589501</v>
      </c>
      <c r="X21" s="257">
        <v>509.24185628345003</v>
      </c>
      <c r="Y21" s="592">
        <f t="shared" si="0"/>
        <v>2.0843016634274107</v>
      </c>
      <c r="Z21" s="110" t="s">
        <v>60</v>
      </c>
    </row>
    <row r="22" spans="1:26" ht="12.75" customHeight="1">
      <c r="A22" s="11"/>
      <c r="B22" s="13" t="s">
        <v>78</v>
      </c>
      <c r="C22" s="436">
        <v>211.8637833575113</v>
      </c>
      <c r="D22" s="436">
        <v>352.4736192956009</v>
      </c>
      <c r="E22" s="258">
        <v>477.1175858480749</v>
      </c>
      <c r="F22" s="258">
        <v>492.8131416837782</v>
      </c>
      <c r="G22" s="258">
        <v>509.1830272324256</v>
      </c>
      <c r="H22" s="258">
        <v>519.7401299350324</v>
      </c>
      <c r="I22" s="258">
        <v>536.802662393689</v>
      </c>
      <c r="J22" s="258">
        <v>556.4552964042759</v>
      </c>
      <c r="K22" s="258">
        <v>555.7538682979489</v>
      </c>
      <c r="L22" s="258">
        <v>561.1515223314774</v>
      </c>
      <c r="M22" s="258">
        <v>592.970632970633</v>
      </c>
      <c r="N22" s="258">
        <v>607.6452952029521</v>
      </c>
      <c r="O22" s="258">
        <v>622.0637813211846</v>
      </c>
      <c r="P22" s="258">
        <v>632.1562887062267</v>
      </c>
      <c r="Q22" s="258">
        <v>640.7428061565917</v>
      </c>
      <c r="R22" s="258">
        <v>644.8874626340778</v>
      </c>
      <c r="S22" s="258">
        <v>649.9121913145286</v>
      </c>
      <c r="T22" s="258">
        <v>655.0291417778404</v>
      </c>
      <c r="U22" s="258">
        <v>660.9126246621599</v>
      </c>
      <c r="V22" s="258">
        <v>664.6107164338908</v>
      </c>
      <c r="W22" s="258">
        <v>666.7639311043566</v>
      </c>
      <c r="X22" s="258">
        <v>660.2976501097464</v>
      </c>
      <c r="Y22" s="597">
        <f t="shared" si="0"/>
        <v>-0.9698006585179542</v>
      </c>
      <c r="Z22" s="13" t="s">
        <v>78</v>
      </c>
    </row>
    <row r="23" spans="1:26" ht="12.75" customHeight="1">
      <c r="A23" s="11"/>
      <c r="B23" s="110" t="s">
        <v>58</v>
      </c>
      <c r="C23" s="435">
        <v>23.180072169223024</v>
      </c>
      <c r="D23" s="435">
        <v>94.27990733685306</v>
      </c>
      <c r="E23" s="257">
        <v>187.40685691226187</v>
      </c>
      <c r="F23" s="257">
        <v>194.72418909184012</v>
      </c>
      <c r="G23" s="257">
        <v>198.55215153639134</v>
      </c>
      <c r="H23" s="257">
        <v>202.27313790034987</v>
      </c>
      <c r="I23" s="257">
        <v>210.79174204533362</v>
      </c>
      <c r="J23" s="257">
        <v>217.50762433427258</v>
      </c>
      <c r="K23" s="257">
        <v>219.8937662595606</v>
      </c>
      <c r="L23" s="257">
        <v>223.5433558332889</v>
      </c>
      <c r="M23" s="257">
        <v>216.3302454518572</v>
      </c>
      <c r="N23" s="257">
        <v>220.66176438936827</v>
      </c>
      <c r="O23" s="257">
        <v>231.82714857938464</v>
      </c>
      <c r="P23" s="257">
        <v>244.01600691430139</v>
      </c>
      <c r="Q23" s="257">
        <v>259.26169860630097</v>
      </c>
      <c r="R23" s="257">
        <v>274.51713209647926</v>
      </c>
      <c r="S23" s="257">
        <v>280.1108467015114</v>
      </c>
      <c r="T23" s="257">
        <v>286.6780905150269</v>
      </c>
      <c r="U23" s="257">
        <v>293.4324098628295</v>
      </c>
      <c r="V23" s="257">
        <v>299.85512773457225</v>
      </c>
      <c r="W23" s="257">
        <v>304.59920396571624</v>
      </c>
      <c r="X23" s="257">
        <v>300.94083235173935</v>
      </c>
      <c r="Y23" s="592">
        <f t="shared" si="0"/>
        <v>-1.2010443777747497</v>
      </c>
      <c r="Z23" s="110" t="s">
        <v>58</v>
      </c>
    </row>
    <row r="24" spans="1:26" ht="12.75" customHeight="1">
      <c r="A24" s="11"/>
      <c r="B24" s="13" t="s">
        <v>61</v>
      </c>
      <c r="C24" s="436"/>
      <c r="D24" s="436"/>
      <c r="E24" s="321">
        <v>337.16388974740806</v>
      </c>
      <c r="F24" s="258">
        <v>339.31963631610125</v>
      </c>
      <c r="G24" s="258">
        <v>344.3744369477956</v>
      </c>
      <c r="H24" s="258">
        <v>416.48495896908287</v>
      </c>
      <c r="I24" s="258">
        <v>461.8609775044593</v>
      </c>
      <c r="J24" s="258">
        <v>486.92432992743966</v>
      </c>
      <c r="K24" s="258">
        <v>486.6856705833275</v>
      </c>
      <c r="L24" s="258">
        <v>488.09470058138766</v>
      </c>
      <c r="M24" s="322">
        <v>461.76403764153883</v>
      </c>
      <c r="N24" s="258">
        <v>479.3569717070707</v>
      </c>
      <c r="O24" s="258">
        <v>483.17770141665494</v>
      </c>
      <c r="P24" s="258">
        <v>495.0803388396036</v>
      </c>
      <c r="Q24" s="258">
        <v>508.238190165519</v>
      </c>
      <c r="R24" s="258">
        <v>522.2036327078754</v>
      </c>
      <c r="S24" s="258">
        <v>524.95604319191</v>
      </c>
      <c r="T24" s="258">
        <v>524.8341999871608</v>
      </c>
      <c r="U24" s="258">
        <v>534.9378386993943</v>
      </c>
      <c r="V24" s="258">
        <v>548.1391211094591</v>
      </c>
      <c r="W24" s="258">
        <v>554.6035023415834</v>
      </c>
      <c r="X24" s="258">
        <v>569.7750441920721</v>
      </c>
      <c r="Y24" s="597">
        <f t="shared" si="0"/>
        <v>2.735565460086903</v>
      </c>
      <c r="Z24" s="13" t="s">
        <v>61</v>
      </c>
    </row>
    <row r="25" spans="1:26" ht="12.75" customHeight="1">
      <c r="A25" s="11"/>
      <c r="B25" s="111" t="s">
        <v>69</v>
      </c>
      <c r="C25" s="435">
        <v>195.43531997960278</v>
      </c>
      <c r="D25" s="435">
        <v>320.22890947769184</v>
      </c>
      <c r="E25" s="257">
        <v>367.02262990870685</v>
      </c>
      <c r="F25" s="257">
        <v>367.1058849968439</v>
      </c>
      <c r="G25" s="257">
        <v>371.2797707908469</v>
      </c>
      <c r="H25" s="257">
        <v>375.1249954942632</v>
      </c>
      <c r="I25" s="257">
        <v>381.48038507475496</v>
      </c>
      <c r="J25" s="257">
        <v>363.56269236213063</v>
      </c>
      <c r="K25" s="257">
        <v>368.72618656761335</v>
      </c>
      <c r="L25" s="257">
        <v>378.900872047564</v>
      </c>
      <c r="M25" s="257">
        <v>388.29274328253564</v>
      </c>
      <c r="N25" s="257">
        <v>399.84965913281366</v>
      </c>
      <c r="O25" s="257">
        <v>409.0311704924134</v>
      </c>
      <c r="P25" s="257">
        <v>416.67080092031904</v>
      </c>
      <c r="Q25" s="257">
        <v>423.32638693840613</v>
      </c>
      <c r="R25" s="257">
        <v>424.92676850433065</v>
      </c>
      <c r="S25" s="257">
        <v>428.8111282027946</v>
      </c>
      <c r="T25" s="257">
        <v>434.198715456701</v>
      </c>
      <c r="U25" s="257">
        <v>441.99667049598753</v>
      </c>
      <c r="V25" s="257">
        <v>450.5774592864215</v>
      </c>
      <c r="W25" s="257">
        <v>457.5050617844329</v>
      </c>
      <c r="X25" s="257">
        <v>459.84947561654496</v>
      </c>
      <c r="Y25" s="592">
        <f t="shared" si="0"/>
        <v>0.5124345123020078</v>
      </c>
      <c r="Z25" s="111" t="s">
        <v>69</v>
      </c>
    </row>
    <row r="26" spans="1:26" ht="12.75" customHeight="1">
      <c r="A26" s="11"/>
      <c r="B26" s="13" t="s">
        <v>79</v>
      </c>
      <c r="C26" s="436">
        <v>160.0474927898404</v>
      </c>
      <c r="D26" s="436">
        <v>297.4848431009068</v>
      </c>
      <c r="E26" s="258">
        <v>387.8933693966527</v>
      </c>
      <c r="F26" s="258">
        <v>397.4920049612131</v>
      </c>
      <c r="G26" s="258">
        <v>411.6704317490386</v>
      </c>
      <c r="H26" s="258">
        <v>424.7362697707809</v>
      </c>
      <c r="I26" s="258">
        <v>438.04366066346915</v>
      </c>
      <c r="J26" s="258">
        <v>451.8493305790081</v>
      </c>
      <c r="K26" s="258">
        <v>463.3656942163971</v>
      </c>
      <c r="L26" s="258">
        <v>474.5311697885215</v>
      </c>
      <c r="M26" s="258">
        <v>486.9643584854345</v>
      </c>
      <c r="N26" s="258">
        <v>501.06358437556935</v>
      </c>
      <c r="O26" s="258">
        <v>510.8057079551465</v>
      </c>
      <c r="P26" s="285">
        <v>518.6276917124277</v>
      </c>
      <c r="Q26" s="258">
        <v>492.21711416393003</v>
      </c>
      <c r="R26" s="258">
        <v>497.91484829181144</v>
      </c>
      <c r="S26" s="258">
        <v>501.03025608316864</v>
      </c>
      <c r="T26" s="258">
        <v>503.5852836909935</v>
      </c>
      <c r="U26" s="258">
        <v>507.6635425107666</v>
      </c>
      <c r="V26" s="258">
        <v>510.3727890489159</v>
      </c>
      <c r="W26" s="258">
        <v>512.8408930422273</v>
      </c>
      <c r="X26" s="258">
        <v>520.5723025710155</v>
      </c>
      <c r="Y26" s="597">
        <f t="shared" si="0"/>
        <v>1.5075649453234092</v>
      </c>
      <c r="Z26" s="13" t="s">
        <v>79</v>
      </c>
    </row>
    <row r="27" spans="1:26" ht="12.75" customHeight="1">
      <c r="A27" s="11"/>
      <c r="B27" s="110" t="s">
        <v>62</v>
      </c>
      <c r="C27" s="435">
        <v>14.667156592565373</v>
      </c>
      <c r="D27" s="435">
        <v>66.60162281290275</v>
      </c>
      <c r="E27" s="257">
        <v>137.78325314091342</v>
      </c>
      <c r="F27" s="257">
        <v>159.49160653885306</v>
      </c>
      <c r="G27" s="257">
        <v>169.32119614011185</v>
      </c>
      <c r="H27" s="257">
        <v>175.8371255753225</v>
      </c>
      <c r="I27" s="257">
        <v>185.4077322857394</v>
      </c>
      <c r="J27" s="257">
        <v>194.7004147876013</v>
      </c>
      <c r="K27" s="257">
        <v>208.45200232581607</v>
      </c>
      <c r="L27" s="257">
        <v>220.73082346992481</v>
      </c>
      <c r="M27" s="257">
        <v>229.93164478335433</v>
      </c>
      <c r="N27" s="257">
        <v>240.15641095299915</v>
      </c>
      <c r="O27" s="257">
        <v>261.1834514888722</v>
      </c>
      <c r="P27" s="257">
        <v>274.64687763624045</v>
      </c>
      <c r="Q27" s="257">
        <v>288.5746707533055</v>
      </c>
      <c r="R27" s="257">
        <v>294.4126995831017</v>
      </c>
      <c r="S27" s="257">
        <v>313.7015445265062</v>
      </c>
      <c r="T27" s="257">
        <v>323.38326424824976</v>
      </c>
      <c r="U27" s="257">
        <v>351.0573336009759</v>
      </c>
      <c r="V27" s="257">
        <v>382.74940725777117</v>
      </c>
      <c r="W27" s="257">
        <v>421.63796106322553</v>
      </c>
      <c r="X27" s="257">
        <v>432.1759062574171</v>
      </c>
      <c r="Y27" s="592">
        <f t="shared" si="0"/>
        <v>2.4992875801833634</v>
      </c>
      <c r="Z27" s="110" t="s">
        <v>62</v>
      </c>
    </row>
    <row r="28" spans="1:26" ht="12.75" customHeight="1">
      <c r="A28" s="11"/>
      <c r="B28" s="13" t="s">
        <v>80</v>
      </c>
      <c r="C28" s="436">
        <v>48.5960699284749</v>
      </c>
      <c r="D28" s="436">
        <v>129.2385193115345</v>
      </c>
      <c r="E28" s="321">
        <v>185.4481662345728</v>
      </c>
      <c r="F28" s="321">
        <v>195.67871161122352</v>
      </c>
      <c r="G28" s="321">
        <v>210.53494825000845</v>
      </c>
      <c r="H28" s="321">
        <v>225.21192442088005</v>
      </c>
      <c r="I28" s="321">
        <v>240.57728165839802</v>
      </c>
      <c r="J28" s="258">
        <v>254.89934462988816</v>
      </c>
      <c r="K28" s="258">
        <v>273.01946221718407</v>
      </c>
      <c r="L28" s="258">
        <v>291.7990519399345</v>
      </c>
      <c r="M28" s="258">
        <v>310.3789845641141</v>
      </c>
      <c r="N28" s="258">
        <v>328.5919960482644</v>
      </c>
      <c r="O28" s="258">
        <v>335.6843915435223</v>
      </c>
      <c r="P28" s="258">
        <v>347.456855907541</v>
      </c>
      <c r="Q28" s="258">
        <v>373.28974923288234</v>
      </c>
      <c r="R28" s="258">
        <v>378.62713771344914</v>
      </c>
      <c r="S28" s="258">
        <v>389.39127222201387</v>
      </c>
      <c r="T28" s="258">
        <v>397.3663316426973</v>
      </c>
      <c r="U28" s="258">
        <v>404.75153774921347</v>
      </c>
      <c r="V28" s="258">
        <v>412.4293918338227</v>
      </c>
      <c r="W28" s="258">
        <v>414.7827518878355</v>
      </c>
      <c r="X28" s="258">
        <v>418.9810347393279</v>
      </c>
      <c r="Y28" s="597">
        <f t="shared" si="0"/>
        <v>1.0121642793449013</v>
      </c>
      <c r="Z28" s="13" t="s">
        <v>80</v>
      </c>
    </row>
    <row r="29" spans="1:26" ht="12.75" customHeight="1">
      <c r="A29" s="11"/>
      <c r="B29" s="110" t="s">
        <v>63</v>
      </c>
      <c r="C29" s="435">
        <v>1.964521527030441</v>
      </c>
      <c r="D29" s="435">
        <v>10.771077180422813</v>
      </c>
      <c r="E29" s="257">
        <v>55.720409305271225</v>
      </c>
      <c r="F29" s="257">
        <v>62.76035963995672</v>
      </c>
      <c r="G29" s="257">
        <v>69.93553974700653</v>
      </c>
      <c r="H29" s="257">
        <v>78.82239633353697</v>
      </c>
      <c r="I29" s="257">
        <v>88.9389731439143</v>
      </c>
      <c r="J29" s="257">
        <v>96.99253778610615</v>
      </c>
      <c r="K29" s="257">
        <v>103.01085889197269</v>
      </c>
      <c r="L29" s="257">
        <v>108.63344122746896</v>
      </c>
      <c r="M29" s="257">
        <v>115.37274783062259</v>
      </c>
      <c r="N29" s="257">
        <v>120.32788425634095</v>
      </c>
      <c r="O29" s="257">
        <v>123.8313601902984</v>
      </c>
      <c r="P29" s="257">
        <v>131.9620419701245</v>
      </c>
      <c r="Q29" s="257">
        <v>136.56459209102158</v>
      </c>
      <c r="R29" s="257">
        <v>142.21326342672452</v>
      </c>
      <c r="S29" s="257">
        <v>148.91903087781404</v>
      </c>
      <c r="T29" s="257">
        <v>155.65691092447815</v>
      </c>
      <c r="U29" s="284">
        <v>167.09562326087791</v>
      </c>
      <c r="V29" s="257">
        <v>164.4908428205849</v>
      </c>
      <c r="W29" s="257">
        <v>187.33126820814886</v>
      </c>
      <c r="X29" s="257">
        <v>197.78507184682863</v>
      </c>
      <c r="Y29" s="592">
        <f t="shared" si="0"/>
        <v>5.580383744087115</v>
      </c>
      <c r="Z29" s="110" t="s">
        <v>63</v>
      </c>
    </row>
    <row r="30" spans="1:26" ht="12.75" customHeight="1">
      <c r="A30" s="11"/>
      <c r="B30" s="13" t="s">
        <v>65</v>
      </c>
      <c r="C30" s="436">
        <v>87.08172540849422</v>
      </c>
      <c r="D30" s="436">
        <v>218.0851565224768</v>
      </c>
      <c r="E30" s="258">
        <v>293.56007290200483</v>
      </c>
      <c r="F30" s="258">
        <v>301.606073704095</v>
      </c>
      <c r="G30" s="258">
        <v>304.02179647397</v>
      </c>
      <c r="H30" s="258">
        <v>326.9032797696601</v>
      </c>
      <c r="I30" s="258">
        <v>335.92094806826117</v>
      </c>
      <c r="J30" s="258">
        <v>357.42157078501066</v>
      </c>
      <c r="K30" s="258">
        <v>373.9613052714434</v>
      </c>
      <c r="L30" s="258">
        <v>391.3491858374355</v>
      </c>
      <c r="M30" s="258">
        <v>410.2800639325817</v>
      </c>
      <c r="N30" s="258">
        <v>425.6606070667663</v>
      </c>
      <c r="O30" s="258">
        <v>435.20356324877116</v>
      </c>
      <c r="P30" s="258">
        <v>442.0639450037261</v>
      </c>
      <c r="Q30" s="258">
        <v>448.3740369206925</v>
      </c>
      <c r="R30" s="258">
        <v>456.02782562700577</v>
      </c>
      <c r="S30" s="258">
        <v>467.53387832337967</v>
      </c>
      <c r="T30" s="258">
        <v>479.30175235779126</v>
      </c>
      <c r="U30" s="258">
        <v>487.60058436800654</v>
      </c>
      <c r="V30" s="258">
        <v>504.47079470458925</v>
      </c>
      <c r="W30" s="258">
        <v>514.2700955833656</v>
      </c>
      <c r="X30" s="258">
        <v>517.2791473861931</v>
      </c>
      <c r="Y30" s="597">
        <f t="shared" si="0"/>
        <v>0.5851111757556566</v>
      </c>
      <c r="Z30" s="13" t="s">
        <v>65</v>
      </c>
    </row>
    <row r="31" spans="1:26" ht="12.75" customHeight="1">
      <c r="A31" s="11"/>
      <c r="B31" s="110" t="s">
        <v>64</v>
      </c>
      <c r="C31" s="435">
        <v>36.12422327413219</v>
      </c>
      <c r="D31" s="435">
        <v>110.48111523480539</v>
      </c>
      <c r="E31" s="257">
        <v>165.7028597489112</v>
      </c>
      <c r="F31" s="257">
        <v>175.41948198570321</v>
      </c>
      <c r="G31" s="257">
        <v>182.7195480749056</v>
      </c>
      <c r="H31" s="257">
        <v>186.44081136259933</v>
      </c>
      <c r="I31" s="257">
        <v>185.58767426277586</v>
      </c>
      <c r="J31" s="257">
        <v>189.23877424414889</v>
      </c>
      <c r="K31" s="257">
        <v>196.7723332438484</v>
      </c>
      <c r="L31" s="257">
        <v>210.83663563891494</v>
      </c>
      <c r="M31" s="257">
        <v>221.77346236554354</v>
      </c>
      <c r="N31" s="257">
        <v>229.01992106555392</v>
      </c>
      <c r="O31" s="257">
        <v>236.8937359993887</v>
      </c>
      <c r="P31" s="257">
        <v>240.34426043293573</v>
      </c>
      <c r="Q31" s="257">
        <v>246.67415606262765</v>
      </c>
      <c r="R31" s="284">
        <v>252.07930107751727</v>
      </c>
      <c r="S31" s="257">
        <v>222.29704157351907</v>
      </c>
      <c r="T31" s="257">
        <v>241.9113854055719</v>
      </c>
      <c r="U31" s="257">
        <v>247.28193610359764</v>
      </c>
      <c r="V31" s="257">
        <v>265.4927848519847</v>
      </c>
      <c r="W31" s="257">
        <v>285.44262704595906</v>
      </c>
      <c r="X31" s="257">
        <v>292.9153859269944</v>
      </c>
      <c r="Y31" s="592">
        <f t="shared" si="0"/>
        <v>2.617954773738873</v>
      </c>
      <c r="Z31" s="110" t="s">
        <v>64</v>
      </c>
    </row>
    <row r="32" spans="1:26" ht="12.75" customHeight="1">
      <c r="A32" s="11"/>
      <c r="B32" s="13" t="s">
        <v>81</v>
      </c>
      <c r="C32" s="436">
        <v>154.8386198833665</v>
      </c>
      <c r="D32" s="436">
        <v>256.06868154705586</v>
      </c>
      <c r="E32" s="258">
        <v>387.8892734948518</v>
      </c>
      <c r="F32" s="258">
        <v>382.38203126584557</v>
      </c>
      <c r="G32" s="258">
        <v>382.9885052014033</v>
      </c>
      <c r="H32" s="258">
        <v>368.83920004915404</v>
      </c>
      <c r="I32" s="258">
        <v>367.2638452453286</v>
      </c>
      <c r="J32" s="258">
        <v>371.49103760807975</v>
      </c>
      <c r="K32" s="258">
        <v>378.53290519687005</v>
      </c>
      <c r="L32" s="258">
        <v>378.4717142746684</v>
      </c>
      <c r="M32" s="258">
        <v>391.7160208277854</v>
      </c>
      <c r="N32" s="258">
        <v>402.71869637472344</v>
      </c>
      <c r="O32" s="258">
        <v>412.02096459931886</v>
      </c>
      <c r="P32" s="258">
        <v>415.9084071092019</v>
      </c>
      <c r="Q32" s="258">
        <v>421.544111503478</v>
      </c>
      <c r="R32" s="258">
        <v>435.7650929204795</v>
      </c>
      <c r="S32" s="258">
        <v>448.1383092996597</v>
      </c>
      <c r="T32" s="258">
        <v>462.43135867021334</v>
      </c>
      <c r="U32" s="258">
        <v>474.8084833014494</v>
      </c>
      <c r="V32" s="258">
        <v>484.92854614786125</v>
      </c>
      <c r="W32" s="258">
        <v>507.00953792810566</v>
      </c>
      <c r="X32" s="258">
        <v>518.8642207022539</v>
      </c>
      <c r="Y32" s="597">
        <f t="shared" si="0"/>
        <v>2.3381577440519976</v>
      </c>
      <c r="Z32" s="13" t="s">
        <v>81</v>
      </c>
    </row>
    <row r="33" spans="1:26" ht="12.75" customHeight="1">
      <c r="A33" s="11"/>
      <c r="B33" s="110" t="s">
        <v>82</v>
      </c>
      <c r="C33" s="435">
        <v>283.12521732459044</v>
      </c>
      <c r="D33" s="435">
        <v>346.59911490391823</v>
      </c>
      <c r="E33" s="257">
        <v>419.1776388926074</v>
      </c>
      <c r="F33" s="257">
        <v>418.6660990361078</v>
      </c>
      <c r="G33" s="257">
        <v>412.90780398050487</v>
      </c>
      <c r="H33" s="257">
        <v>407.7822243267637</v>
      </c>
      <c r="I33" s="257">
        <v>407.6729442613698</v>
      </c>
      <c r="J33" s="257">
        <v>410.83582951550983</v>
      </c>
      <c r="K33" s="257">
        <v>413.2421745991491</v>
      </c>
      <c r="L33" s="257">
        <v>418.32356140772237</v>
      </c>
      <c r="M33" s="257">
        <v>428.11804223971075</v>
      </c>
      <c r="N33" s="257">
        <v>438.9992084795382</v>
      </c>
      <c r="O33" s="257">
        <v>450.15283482940947</v>
      </c>
      <c r="P33" s="257">
        <v>451.0579486567035</v>
      </c>
      <c r="Q33" s="257">
        <v>452.1740141920377</v>
      </c>
      <c r="R33" s="257">
        <v>454.05122960180137</v>
      </c>
      <c r="S33" s="257">
        <v>456.46932238659684</v>
      </c>
      <c r="T33" s="257">
        <v>459.08353809874546</v>
      </c>
      <c r="U33" s="257">
        <v>461.1373299359383</v>
      </c>
      <c r="V33" s="257">
        <v>463.73699801817</v>
      </c>
      <c r="W33" s="257">
        <v>462.27685716622335</v>
      </c>
      <c r="X33" s="257">
        <v>460.43233245709473</v>
      </c>
      <c r="Y33" s="592">
        <f t="shared" si="0"/>
        <v>-0.3990086634307488</v>
      </c>
      <c r="Z33" s="110" t="s">
        <v>82</v>
      </c>
    </row>
    <row r="34" spans="1:26" ht="12.75" customHeight="1">
      <c r="A34" s="11"/>
      <c r="B34" s="14" t="s">
        <v>70</v>
      </c>
      <c r="C34" s="437">
        <v>213.33773155659458</v>
      </c>
      <c r="D34" s="437">
        <v>277.20998646713343</v>
      </c>
      <c r="E34" s="259">
        <v>361.39956192206176</v>
      </c>
      <c r="F34" s="259">
        <v>360.970694013454</v>
      </c>
      <c r="G34" s="259">
        <v>363.7517322440325</v>
      </c>
      <c r="H34" s="259">
        <v>368.4275236507942</v>
      </c>
      <c r="I34" s="259">
        <v>375.2054933815495</v>
      </c>
      <c r="J34" s="259">
        <v>377.8460461385155</v>
      </c>
      <c r="K34" s="259">
        <v>391.8095392335679</v>
      </c>
      <c r="L34" s="259">
        <v>401.5782556317369</v>
      </c>
      <c r="M34" s="259">
        <v>408.3707346668047</v>
      </c>
      <c r="N34" s="259">
        <v>418.94767268644244</v>
      </c>
      <c r="O34" s="259">
        <v>424.8636787312821</v>
      </c>
      <c r="P34" s="259">
        <v>435.95720477414454</v>
      </c>
      <c r="Q34" s="259">
        <v>445.7370075920982</v>
      </c>
      <c r="R34" s="259">
        <v>452.1555734834879</v>
      </c>
      <c r="S34" s="259">
        <v>463.13871412428267</v>
      </c>
      <c r="T34" s="259">
        <v>468.901431053093</v>
      </c>
      <c r="U34" s="259">
        <v>468.0163055290023</v>
      </c>
      <c r="V34" s="259">
        <v>471.84831547534736</v>
      </c>
      <c r="W34" s="259">
        <v>471.62709768543084</v>
      </c>
      <c r="X34" s="259">
        <v>470.13742474202706</v>
      </c>
      <c r="Y34" s="629">
        <f t="shared" si="0"/>
        <v>-0.3158582173743838</v>
      </c>
      <c r="Z34" s="14" t="s">
        <v>70</v>
      </c>
    </row>
    <row r="35" spans="1:26" ht="12.75" customHeight="1">
      <c r="A35" s="11"/>
      <c r="B35" s="110" t="s">
        <v>86</v>
      </c>
      <c r="C35" s="435"/>
      <c r="D35" s="435"/>
      <c r="E35" s="257"/>
      <c r="F35" s="257"/>
      <c r="G35" s="257"/>
      <c r="H35" s="257">
        <v>139.11484116245853</v>
      </c>
      <c r="I35" s="257">
        <v>149.90492376622515</v>
      </c>
      <c r="J35" s="257">
        <v>155.18098336078995</v>
      </c>
      <c r="K35" s="257">
        <v>184.36109373248965</v>
      </c>
      <c r="L35" s="257">
        <v>205.49187402960493</v>
      </c>
      <c r="M35" s="257">
        <v>220.88593182180114</v>
      </c>
      <c r="N35" s="257">
        <v>236.4625750516649</v>
      </c>
      <c r="O35" s="257">
        <v>253.40357045985598</v>
      </c>
      <c r="P35" s="257">
        <v>268.966352038245</v>
      </c>
      <c r="Q35" s="257">
        <v>280.0638524299397</v>
      </c>
      <c r="R35" s="257">
        <v>291.19737723991966</v>
      </c>
      <c r="S35" s="257">
        <v>300.98285267831125</v>
      </c>
      <c r="T35" s="257">
        <v>311.66670117878385</v>
      </c>
      <c r="U35" s="257">
        <v>323.2839582116518</v>
      </c>
      <c r="V35" s="257">
        <v>336.1118618447701</v>
      </c>
      <c r="W35" s="257">
        <v>346.1692479193047</v>
      </c>
      <c r="X35" s="257">
        <v>346.2803002521382</v>
      </c>
      <c r="Y35" s="592">
        <f t="shared" si="0"/>
        <v>0.032080357657690683</v>
      </c>
      <c r="Z35" s="110" t="s">
        <v>86</v>
      </c>
    </row>
    <row r="36" spans="1:26" ht="12.75" customHeight="1">
      <c r="A36" s="11"/>
      <c r="B36" s="13" t="s">
        <v>1</v>
      </c>
      <c r="C36" s="436"/>
      <c r="D36" s="436"/>
      <c r="E36" s="258"/>
      <c r="F36" s="258"/>
      <c r="G36" s="258"/>
      <c r="H36" s="258">
        <v>149.72523429823605</v>
      </c>
      <c r="I36" s="258">
        <v>134.46365208594645</v>
      </c>
      <c r="J36" s="258">
        <v>145.00628142296418</v>
      </c>
      <c r="K36" s="258">
        <v>142.6244276633802</v>
      </c>
      <c r="L36" s="258">
        <v>144.43301337435202</v>
      </c>
      <c r="M36" s="258">
        <v>143.42787442769804</v>
      </c>
      <c r="N36" s="258">
        <v>143.4522932085727</v>
      </c>
      <c r="O36" s="258">
        <v>147.70234236221341</v>
      </c>
      <c r="P36" s="258">
        <v>152.06133860086888</v>
      </c>
      <c r="Q36" s="258">
        <v>152.19993141119974</v>
      </c>
      <c r="R36" s="285">
        <v>147.69702033408677</v>
      </c>
      <c r="S36" s="321">
        <v>122.54495390124588</v>
      </c>
      <c r="T36" s="258">
        <v>124.2248029692217</v>
      </c>
      <c r="U36" s="258">
        <v>118.6552402836321</v>
      </c>
      <c r="V36" s="258">
        <v>121.63934955263042</v>
      </c>
      <c r="W36" s="258">
        <v>128.43383762427277</v>
      </c>
      <c r="X36" s="258">
        <v>137.47404665609858</v>
      </c>
      <c r="Y36" s="597">
        <f t="shared" si="0"/>
        <v>7.038806282712301</v>
      </c>
      <c r="Z36" s="13" t="s">
        <v>1</v>
      </c>
    </row>
    <row r="37" spans="1:26" ht="12.75" customHeight="1">
      <c r="A37" s="11"/>
      <c r="B37" s="112" t="s">
        <v>66</v>
      </c>
      <c r="C37" s="438"/>
      <c r="D37" s="438"/>
      <c r="E37" s="260"/>
      <c r="F37" s="260"/>
      <c r="G37" s="260"/>
      <c r="H37" s="260">
        <v>43.60674085113848</v>
      </c>
      <c r="I37" s="260">
        <v>46.75608539526051</v>
      </c>
      <c r="J37" s="260">
        <v>49.06364964191686</v>
      </c>
      <c r="K37" s="260">
        <v>51.57396997047838</v>
      </c>
      <c r="L37" s="260">
        <v>55.22915363811349</v>
      </c>
      <c r="M37" s="260">
        <v>58.34455890331282</v>
      </c>
      <c r="N37" s="260">
        <v>60.88146220422735</v>
      </c>
      <c r="O37" s="260">
        <v>65.13207391214459</v>
      </c>
      <c r="P37" s="260">
        <v>65.8763830228881</v>
      </c>
      <c r="Q37" s="260">
        <v>65.93289788941745</v>
      </c>
      <c r="R37" s="260">
        <v>66.4904430711539</v>
      </c>
      <c r="S37" s="260">
        <v>75.41459742031311</v>
      </c>
      <c r="T37" s="260">
        <v>79.60213830192492</v>
      </c>
      <c r="U37" s="260">
        <v>88.11963783915272</v>
      </c>
      <c r="V37" s="260">
        <v>91.69144769486002</v>
      </c>
      <c r="W37" s="260">
        <v>95.03501959671183</v>
      </c>
      <c r="X37" s="260">
        <v>97.76510104999204</v>
      </c>
      <c r="Y37" s="593">
        <f t="shared" si="0"/>
        <v>2.8727109910278443</v>
      </c>
      <c r="Z37" s="112" t="s">
        <v>66</v>
      </c>
    </row>
    <row r="38" spans="1:26" ht="12.75" customHeight="1">
      <c r="A38" s="11"/>
      <c r="B38" s="13" t="s">
        <v>52</v>
      </c>
      <c r="C38" s="436">
        <v>199.11733403634165</v>
      </c>
      <c r="D38" s="436">
        <v>374.67895188965974</v>
      </c>
      <c r="E38" s="258">
        <v>467.94415827034464</v>
      </c>
      <c r="F38" s="258">
        <v>465.3424557323651</v>
      </c>
      <c r="G38" s="258">
        <v>457.8979061382848</v>
      </c>
      <c r="H38" s="258">
        <v>438.36582863006663</v>
      </c>
      <c r="I38" s="258">
        <v>435.40291709429243</v>
      </c>
      <c r="J38" s="258">
        <v>444.96525574903535</v>
      </c>
      <c r="K38" s="258">
        <v>462.84191882137594</v>
      </c>
      <c r="L38" s="258">
        <v>486.3334814102305</v>
      </c>
      <c r="M38" s="258">
        <v>509.1254642525534</v>
      </c>
      <c r="N38" s="258">
        <v>542.5892943533214</v>
      </c>
      <c r="O38" s="258">
        <v>560.8958184083202</v>
      </c>
      <c r="P38" s="258">
        <v>557.8469859548111</v>
      </c>
      <c r="Q38" s="258">
        <v>560.6144118472914</v>
      </c>
      <c r="R38" s="258">
        <v>574.2815844719</v>
      </c>
      <c r="S38" s="258">
        <v>597.5502168085375</v>
      </c>
      <c r="T38" s="258">
        <v>625.033762266957</v>
      </c>
      <c r="U38" s="258">
        <v>641.2835747159313</v>
      </c>
      <c r="V38" s="258">
        <v>657.812901201107</v>
      </c>
      <c r="W38" s="258">
        <v>656.7345507377071</v>
      </c>
      <c r="X38" s="258">
        <v>646.4691622327865</v>
      </c>
      <c r="Y38" s="597">
        <f t="shared" si="0"/>
        <v>-1.563095544979248</v>
      </c>
      <c r="Z38" s="13" t="s">
        <v>52</v>
      </c>
    </row>
    <row r="39" spans="1:26" ht="12.75" customHeight="1">
      <c r="A39" s="11"/>
      <c r="B39" s="110" t="s">
        <v>83</v>
      </c>
      <c r="C39" s="435">
        <v>177.45521506157567</v>
      </c>
      <c r="D39" s="435">
        <v>300.5615369201972</v>
      </c>
      <c r="E39" s="257">
        <v>379.55329977904995</v>
      </c>
      <c r="F39" s="257">
        <v>377.8103131901328</v>
      </c>
      <c r="G39" s="257">
        <v>376.68646042361235</v>
      </c>
      <c r="H39" s="257">
        <v>377.60875320678457</v>
      </c>
      <c r="I39" s="257">
        <v>380.2948663994425</v>
      </c>
      <c r="J39" s="257">
        <v>385.5104295076587</v>
      </c>
      <c r="K39" s="257">
        <v>378.1823719914386</v>
      </c>
      <c r="L39" s="257">
        <v>397.95395643651676</v>
      </c>
      <c r="M39" s="257">
        <v>401.86091963047056</v>
      </c>
      <c r="N39" s="257">
        <v>404.9666662721891</v>
      </c>
      <c r="O39" s="257">
        <v>411.22578404578195</v>
      </c>
      <c r="P39" s="257">
        <v>413.97760333293104</v>
      </c>
      <c r="Q39" s="257">
        <v>417.32465601640683</v>
      </c>
      <c r="R39" s="257">
        <v>422.43105724422975</v>
      </c>
      <c r="S39" s="257">
        <v>429.3890863572845</v>
      </c>
      <c r="T39" s="257">
        <v>437.2442335157026</v>
      </c>
      <c r="U39" s="257">
        <v>445.23250135544083</v>
      </c>
      <c r="V39" s="257">
        <v>454.87844960631566</v>
      </c>
      <c r="W39" s="257">
        <v>457.8198852654539</v>
      </c>
      <c r="X39" s="257">
        <v>461.8995640153893</v>
      </c>
      <c r="Y39" s="592">
        <f t="shared" si="0"/>
        <v>0.8911099935228606</v>
      </c>
      <c r="Z39" s="110" t="s">
        <v>83</v>
      </c>
    </row>
    <row r="40" spans="1:26" ht="12.75" customHeight="1">
      <c r="A40" s="11"/>
      <c r="B40" s="14" t="s">
        <v>53</v>
      </c>
      <c r="C40" s="437">
        <v>223.3476407601161</v>
      </c>
      <c r="D40" s="437">
        <v>354.6433814772377</v>
      </c>
      <c r="E40" s="259">
        <v>441.8105578829537</v>
      </c>
      <c r="F40" s="259">
        <v>446.8656543667708</v>
      </c>
      <c r="G40" s="259">
        <v>447.48789041741566</v>
      </c>
      <c r="H40" s="259">
        <v>446.2211041863683</v>
      </c>
      <c r="I40" s="259">
        <v>450.9236974568668</v>
      </c>
      <c r="J40" s="259">
        <v>457.23791245808405</v>
      </c>
      <c r="K40" s="259">
        <v>461.50731795904335</v>
      </c>
      <c r="L40" s="259">
        <v>468.32542681461825</v>
      </c>
      <c r="M40" s="259">
        <v>474.9476278427416</v>
      </c>
      <c r="N40" s="259">
        <v>483.96093262784944</v>
      </c>
      <c r="O40" s="259">
        <v>492.1182583975275</v>
      </c>
      <c r="P40" s="259">
        <v>500.26000416502836</v>
      </c>
      <c r="Q40" s="259">
        <v>506.01933071392057</v>
      </c>
      <c r="R40" s="259">
        <v>509.75211253223046</v>
      </c>
      <c r="S40" s="259">
        <v>513.9984588209306</v>
      </c>
      <c r="T40" s="259">
        <v>517.6800827120811</v>
      </c>
      <c r="U40" s="259">
        <v>519.3966656718259</v>
      </c>
      <c r="V40" s="259">
        <v>520.9442451656641</v>
      </c>
      <c r="W40" s="259">
        <v>518.0324067341691</v>
      </c>
      <c r="X40" s="259">
        <v>514.9886858213523</v>
      </c>
      <c r="Y40" s="629">
        <f t="shared" si="0"/>
        <v>-0.5875541516804503</v>
      </c>
      <c r="Z40" s="14" t="s">
        <v>53</v>
      </c>
    </row>
    <row r="41" spans="2:26" ht="15" customHeight="1">
      <c r="B41" s="59" t="s">
        <v>227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818"/>
      <c r="Z41" s="59"/>
    </row>
    <row r="42" spans="2:26" ht="27" customHeight="1">
      <c r="B42" s="867" t="s">
        <v>228</v>
      </c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623"/>
    </row>
    <row r="43" spans="2:17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</sheetData>
  <mergeCells count="3">
    <mergeCell ref="B3:Z3"/>
    <mergeCell ref="A2:Z2"/>
    <mergeCell ref="B42:Y42"/>
  </mergeCells>
  <printOptions horizontalCentered="1"/>
  <pageMargins left="0.6692913385826772" right="0.4724409448818898" top="0.4724409448818898" bottom="0.2755905511811024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6"/>
  <dimension ref="A1:Z47"/>
  <sheetViews>
    <sheetView workbookViewId="0" topLeftCell="A1">
      <selection activeCell="E5" sqref="E5:Y43"/>
    </sheetView>
  </sheetViews>
  <sheetFormatPr defaultColWidth="9.140625" defaultRowHeight="12.75"/>
  <cols>
    <col min="1" max="1" width="2.7109375" style="4" customWidth="1"/>
    <col min="2" max="2" width="4.00390625" style="4" customWidth="1"/>
    <col min="3" max="4" width="6.7109375" style="4" hidden="1" customWidth="1"/>
    <col min="5" max="5" width="6.7109375" style="4" customWidth="1"/>
    <col min="6" max="9" width="6.7109375" style="4" hidden="1" customWidth="1"/>
    <col min="10" max="10" width="6.7109375" style="4" customWidth="1"/>
    <col min="11" max="14" width="6.7109375" style="4" hidden="1" customWidth="1"/>
    <col min="15" max="15" width="6.7109375" style="4" customWidth="1"/>
    <col min="16" max="16" width="6.7109375" style="28" customWidth="1"/>
    <col min="17" max="17" width="6.7109375" style="42" customWidth="1"/>
    <col min="18" max="20" width="6.7109375" style="38" customWidth="1"/>
    <col min="21" max="24" width="7.28125" style="38" customWidth="1"/>
    <col min="25" max="25" width="7.00390625" style="4" customWidth="1"/>
    <col min="26" max="26" width="4.00390625" style="4" customWidth="1"/>
    <col min="27" max="16384" width="9.140625" style="4" customWidth="1"/>
  </cols>
  <sheetData>
    <row r="1" spans="2:26" ht="14.25" customHeight="1"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25"/>
      <c r="Q1" s="66"/>
      <c r="R1" s="67"/>
      <c r="S1" s="67"/>
      <c r="Z1" s="37" t="s">
        <v>209</v>
      </c>
    </row>
    <row r="2" spans="2:26" s="125" customFormat="1" ht="30" customHeight="1">
      <c r="B2" s="870" t="s">
        <v>14</v>
      </c>
      <c r="C2" s="870"/>
      <c r="D2" s="870"/>
      <c r="E2" s="870"/>
      <c r="F2" s="870"/>
      <c r="G2" s="870"/>
      <c r="H2" s="870"/>
      <c r="I2" s="870"/>
      <c r="J2" s="870"/>
      <c r="K2" s="870"/>
      <c r="L2" s="870"/>
      <c r="M2" s="870"/>
      <c r="N2" s="870"/>
      <c r="O2" s="870"/>
      <c r="P2" s="870"/>
      <c r="Q2" s="870"/>
      <c r="R2" s="870"/>
      <c r="S2" s="870"/>
      <c r="T2" s="870"/>
      <c r="U2" s="870"/>
      <c r="V2" s="870"/>
      <c r="W2" s="870"/>
      <c r="X2" s="870"/>
      <c r="Y2" s="870"/>
      <c r="Z2" s="870"/>
    </row>
    <row r="3" spans="2:26" ht="19.5" customHeight="1">
      <c r="B3" s="871" t="s">
        <v>152</v>
      </c>
      <c r="C3" s="871"/>
      <c r="D3" s="871"/>
      <c r="E3" s="871"/>
      <c r="F3" s="871"/>
      <c r="G3" s="871"/>
      <c r="H3" s="871"/>
      <c r="I3" s="871"/>
      <c r="J3" s="871"/>
      <c r="K3" s="871"/>
      <c r="L3" s="871"/>
      <c r="M3" s="871"/>
      <c r="N3" s="871"/>
      <c r="O3" s="871"/>
      <c r="P3" s="871"/>
      <c r="Q3" s="871"/>
      <c r="R3" s="871"/>
      <c r="S3" s="871"/>
      <c r="T3" s="871"/>
      <c r="U3" s="871"/>
      <c r="V3" s="871"/>
      <c r="W3" s="871"/>
      <c r="X3" s="871"/>
      <c r="Y3" s="871"/>
      <c r="Z3" s="871"/>
    </row>
    <row r="4" spans="23:24" ht="12.75" customHeight="1">
      <c r="W4" s="68"/>
      <c r="X4" s="68" t="s">
        <v>5</v>
      </c>
    </row>
    <row r="5" spans="2:26" ht="19.5" customHeight="1">
      <c r="B5" s="359"/>
      <c r="C5" s="398">
        <v>1970</v>
      </c>
      <c r="D5" s="398">
        <v>1980</v>
      </c>
      <c r="E5" s="398">
        <v>1990</v>
      </c>
      <c r="F5" s="283">
        <v>1991</v>
      </c>
      <c r="G5" s="283">
        <v>1992</v>
      </c>
      <c r="H5" s="283">
        <v>1993</v>
      </c>
      <c r="I5" s="283">
        <v>1994</v>
      </c>
      <c r="J5" s="283">
        <v>1995</v>
      </c>
      <c r="K5" s="283">
        <v>1996</v>
      </c>
      <c r="L5" s="283">
        <v>1997</v>
      </c>
      <c r="M5" s="283">
        <v>1998</v>
      </c>
      <c r="N5" s="283">
        <v>1999</v>
      </c>
      <c r="O5" s="283">
        <v>2000</v>
      </c>
      <c r="P5" s="283">
        <v>2001</v>
      </c>
      <c r="Q5" s="283">
        <v>2002</v>
      </c>
      <c r="R5" s="283">
        <v>2003</v>
      </c>
      <c r="S5" s="283">
        <v>2004</v>
      </c>
      <c r="T5" s="283">
        <v>2005</v>
      </c>
      <c r="U5" s="283">
        <v>2006</v>
      </c>
      <c r="V5" s="283">
        <v>2007</v>
      </c>
      <c r="W5" s="283">
        <v>2008</v>
      </c>
      <c r="X5" s="283">
        <v>2009</v>
      </c>
      <c r="Y5" s="394" t="s">
        <v>229</v>
      </c>
      <c r="Z5" s="2"/>
    </row>
    <row r="6" spans="2:26" ht="9.75" customHeight="1">
      <c r="B6" s="360"/>
      <c r="C6" s="399"/>
      <c r="D6" s="399"/>
      <c r="E6" s="399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82"/>
      <c r="V6" s="82"/>
      <c r="W6" s="82"/>
      <c r="X6" s="82"/>
      <c r="Y6" s="395" t="s">
        <v>132</v>
      </c>
      <c r="Z6" s="2"/>
    </row>
    <row r="7" spans="2:26" ht="12.75" customHeight="1">
      <c r="B7" s="113" t="s">
        <v>40</v>
      </c>
      <c r="C7" s="396"/>
      <c r="D7" s="396"/>
      <c r="E7" s="396">
        <v>163047.99899999998</v>
      </c>
      <c r="F7" s="133">
        <v>167875.546</v>
      </c>
      <c r="G7" s="133">
        <v>172285.89</v>
      </c>
      <c r="H7" s="133">
        <v>175148.343</v>
      </c>
      <c r="I7" s="133">
        <v>178268.269</v>
      </c>
      <c r="J7" s="117">
        <v>181751.17799999999</v>
      </c>
      <c r="K7" s="117">
        <v>185923.53100000002</v>
      </c>
      <c r="L7" s="117">
        <v>185482.26</v>
      </c>
      <c r="M7" s="117">
        <v>190290.733</v>
      </c>
      <c r="N7" s="117">
        <v>195973.603</v>
      </c>
      <c r="O7" s="117">
        <v>200868.095</v>
      </c>
      <c r="P7" s="117">
        <v>205562.54299999998</v>
      </c>
      <c r="Q7" s="117">
        <v>209647.198</v>
      </c>
      <c r="R7" s="117">
        <v>212487.16499999995</v>
      </c>
      <c r="S7" s="117">
        <v>215900.56199999992</v>
      </c>
      <c r="T7" s="117">
        <v>220223.17399999994</v>
      </c>
      <c r="U7" s="243">
        <v>224455.127</v>
      </c>
      <c r="V7" s="243">
        <v>229536.39</v>
      </c>
      <c r="W7" s="243">
        <v>233852.033</v>
      </c>
      <c r="X7" s="243">
        <v>236146.95799999996</v>
      </c>
      <c r="Y7" s="627">
        <f>X7/W7*100-100</f>
        <v>0.9813577288849018</v>
      </c>
      <c r="Z7" s="113" t="s">
        <v>40</v>
      </c>
    </row>
    <row r="8" spans="2:26" ht="12.75" customHeight="1">
      <c r="B8" s="110" t="s">
        <v>71</v>
      </c>
      <c r="C8" s="397">
        <v>62477.114</v>
      </c>
      <c r="D8" s="397">
        <v>104284.42300000001</v>
      </c>
      <c r="E8" s="397">
        <v>148040.61</v>
      </c>
      <c r="F8" s="134">
        <v>151510.096</v>
      </c>
      <c r="G8" s="134">
        <v>155037.316</v>
      </c>
      <c r="H8" s="134">
        <v>156868.47400000002</v>
      </c>
      <c r="I8" s="134">
        <v>159118.86299999998</v>
      </c>
      <c r="J8" s="119">
        <v>161538.931</v>
      </c>
      <c r="K8" s="119">
        <v>164596.276</v>
      </c>
      <c r="L8" s="119">
        <v>163008.656</v>
      </c>
      <c r="M8" s="119">
        <v>166938.63900000002</v>
      </c>
      <c r="N8" s="119">
        <v>171789.655</v>
      </c>
      <c r="O8" s="119">
        <v>175512.823</v>
      </c>
      <c r="P8" s="119">
        <v>179303.222</v>
      </c>
      <c r="Q8" s="119">
        <v>182282.50599999996</v>
      </c>
      <c r="R8" s="119">
        <v>184245.51099999997</v>
      </c>
      <c r="S8" s="119">
        <v>186466.39399999997</v>
      </c>
      <c r="T8" s="119">
        <v>189611.392</v>
      </c>
      <c r="U8" s="244">
        <v>192764.00299999997</v>
      </c>
      <c r="V8" s="244">
        <v>195932.20799999998</v>
      </c>
      <c r="W8" s="244">
        <v>197481.444</v>
      </c>
      <c r="X8" s="244">
        <v>198967.287</v>
      </c>
      <c r="Y8" s="585">
        <f aca="true" t="shared" si="0" ref="Y8:Y43">X8/W8*100-100</f>
        <v>0.7523962605823442</v>
      </c>
      <c r="Z8" s="110" t="s">
        <v>71</v>
      </c>
    </row>
    <row r="9" spans="2:26" ht="12.75" customHeight="1">
      <c r="B9" s="110" t="s">
        <v>131</v>
      </c>
      <c r="C9" s="407"/>
      <c r="D9" s="407"/>
      <c r="E9" s="407">
        <v>15007.388999999996</v>
      </c>
      <c r="F9" s="119">
        <v>16365.45</v>
      </c>
      <c r="G9" s="119">
        <v>17248.573999999993</v>
      </c>
      <c r="H9" s="119">
        <v>18279.868999999977</v>
      </c>
      <c r="I9" s="119">
        <v>19149.406000000017</v>
      </c>
      <c r="J9" s="119">
        <v>20212.246999999974</v>
      </c>
      <c r="K9" s="119">
        <v>21327.255000000005</v>
      </c>
      <c r="L9" s="119">
        <v>22473.603999999992</v>
      </c>
      <c r="M9" s="119">
        <v>23352.093999999983</v>
      </c>
      <c r="N9" s="119">
        <v>24183.948000000004</v>
      </c>
      <c r="O9" s="119">
        <v>25355.271999999997</v>
      </c>
      <c r="P9" s="119">
        <v>26259.320999999967</v>
      </c>
      <c r="Q9" s="119">
        <v>27364.69200000004</v>
      </c>
      <c r="R9" s="119">
        <v>28241.65399999998</v>
      </c>
      <c r="S9" s="119">
        <v>29434.167999999947</v>
      </c>
      <c r="T9" s="119">
        <v>30611.78199999995</v>
      </c>
      <c r="U9" s="244">
        <v>31691.12400000004</v>
      </c>
      <c r="V9" s="244">
        <v>33604.182</v>
      </c>
      <c r="W9" s="244">
        <v>36370.58900000001</v>
      </c>
      <c r="X9" s="244">
        <v>37179.670999999944</v>
      </c>
      <c r="Y9" s="585">
        <f t="shared" si="0"/>
        <v>2.2245501715683957</v>
      </c>
      <c r="Z9" s="112" t="s">
        <v>131</v>
      </c>
    </row>
    <row r="10" spans="1:26" ht="12.75" customHeight="1">
      <c r="A10" s="11"/>
      <c r="B10" s="12" t="s">
        <v>72</v>
      </c>
      <c r="C10" s="408">
        <v>2059.616</v>
      </c>
      <c r="D10" s="408">
        <v>3158.737</v>
      </c>
      <c r="E10" s="408">
        <v>3864.159</v>
      </c>
      <c r="F10" s="409">
        <v>3970</v>
      </c>
      <c r="G10" s="409">
        <v>4021</v>
      </c>
      <c r="H10" s="129">
        <v>4109.601</v>
      </c>
      <c r="I10" s="129">
        <v>4210.197</v>
      </c>
      <c r="J10" s="129">
        <v>4273.451</v>
      </c>
      <c r="K10" s="129">
        <v>4339.231</v>
      </c>
      <c r="L10" s="129">
        <v>4415.343</v>
      </c>
      <c r="M10" s="129">
        <v>4491.734</v>
      </c>
      <c r="N10" s="409">
        <v>4583.615</v>
      </c>
      <c r="O10" s="409">
        <v>4678.376</v>
      </c>
      <c r="P10" s="409">
        <v>4739.85</v>
      </c>
      <c r="Q10" s="409">
        <v>4787.359</v>
      </c>
      <c r="R10" s="409">
        <v>4820.868</v>
      </c>
      <c r="S10" s="409">
        <v>4874.426</v>
      </c>
      <c r="T10" s="409">
        <v>4918.544</v>
      </c>
      <c r="U10" s="409">
        <v>4976.286</v>
      </c>
      <c r="V10" s="129">
        <v>5048.723</v>
      </c>
      <c r="W10" s="409">
        <v>5130.578</v>
      </c>
      <c r="X10" s="409">
        <v>5192.566</v>
      </c>
      <c r="Y10" s="628">
        <f t="shared" si="0"/>
        <v>1.2082069505619017</v>
      </c>
      <c r="Z10" s="12" t="s">
        <v>72</v>
      </c>
    </row>
    <row r="11" spans="1:26" ht="12.75" customHeight="1">
      <c r="A11" s="11"/>
      <c r="B11" s="110" t="s">
        <v>54</v>
      </c>
      <c r="C11" s="400">
        <v>160</v>
      </c>
      <c r="D11" s="400">
        <v>820</v>
      </c>
      <c r="E11" s="400">
        <v>1317.4</v>
      </c>
      <c r="F11" s="401">
        <v>1359</v>
      </c>
      <c r="G11" s="401">
        <v>1411.3</v>
      </c>
      <c r="H11" s="127">
        <v>1505.451</v>
      </c>
      <c r="I11" s="127">
        <v>1587.873</v>
      </c>
      <c r="J11" s="127">
        <v>1647.571</v>
      </c>
      <c r="K11" s="127">
        <v>1707.023</v>
      </c>
      <c r="L11" s="127">
        <v>1730.506</v>
      </c>
      <c r="M11" s="127">
        <v>1809.35</v>
      </c>
      <c r="N11" s="401">
        <v>1908.4</v>
      </c>
      <c r="O11" s="401">
        <v>1992.7</v>
      </c>
      <c r="P11" s="401">
        <v>2085.7</v>
      </c>
      <c r="Q11" s="401">
        <v>2174.1</v>
      </c>
      <c r="R11" s="401">
        <v>2309.3</v>
      </c>
      <c r="S11" s="401">
        <v>2438.4</v>
      </c>
      <c r="T11" s="404">
        <v>2538.092</v>
      </c>
      <c r="U11" s="401">
        <v>1767.742</v>
      </c>
      <c r="V11" s="127">
        <v>2081.517</v>
      </c>
      <c r="W11" s="401">
        <v>2366.196</v>
      </c>
      <c r="X11" s="401">
        <v>2502</v>
      </c>
      <c r="Y11" s="592">
        <f t="shared" si="0"/>
        <v>5.739338583955018</v>
      </c>
      <c r="Z11" s="110" t="s">
        <v>54</v>
      </c>
    </row>
    <row r="12" spans="1:26" ht="12.75" customHeight="1">
      <c r="A12" s="11"/>
      <c r="B12" s="13" t="s">
        <v>56</v>
      </c>
      <c r="C12" s="383">
        <v>685</v>
      </c>
      <c r="D12" s="383">
        <v>1780</v>
      </c>
      <c r="E12" s="594">
        <v>2410</v>
      </c>
      <c r="F12" s="70">
        <v>2480</v>
      </c>
      <c r="G12" s="70">
        <v>2580</v>
      </c>
      <c r="H12" s="70">
        <v>2833.143</v>
      </c>
      <c r="I12" s="70">
        <v>2923.916</v>
      </c>
      <c r="J12" s="70">
        <v>3043.316</v>
      </c>
      <c r="K12" s="70">
        <v>3192.532</v>
      </c>
      <c r="L12" s="70">
        <v>3391.541</v>
      </c>
      <c r="M12" s="70">
        <v>3492.961</v>
      </c>
      <c r="N12" s="70">
        <v>3439.745</v>
      </c>
      <c r="O12" s="70">
        <v>3438.87</v>
      </c>
      <c r="P12" s="70">
        <v>3529.791</v>
      </c>
      <c r="Q12" s="70">
        <v>3647.067</v>
      </c>
      <c r="R12" s="70">
        <v>3706.012</v>
      </c>
      <c r="S12" s="70">
        <v>3815.547</v>
      </c>
      <c r="T12" s="70">
        <v>3958.708</v>
      </c>
      <c r="U12" s="70">
        <v>4108.61</v>
      </c>
      <c r="V12" s="70">
        <v>4280.081</v>
      </c>
      <c r="W12" s="70">
        <v>4423.37</v>
      </c>
      <c r="X12" s="70">
        <v>4435.052</v>
      </c>
      <c r="Y12" s="597">
        <f t="shared" si="0"/>
        <v>0.26409728329304016</v>
      </c>
      <c r="Z12" s="13" t="s">
        <v>56</v>
      </c>
    </row>
    <row r="13" spans="1:26" ht="12.75" customHeight="1">
      <c r="A13" s="11"/>
      <c r="B13" s="110" t="s">
        <v>67</v>
      </c>
      <c r="C13" s="400">
        <v>1076.875</v>
      </c>
      <c r="D13" s="400">
        <v>1390</v>
      </c>
      <c r="E13" s="595">
        <v>1590</v>
      </c>
      <c r="F13" s="127">
        <v>1594</v>
      </c>
      <c r="G13" s="127">
        <v>1604.053</v>
      </c>
      <c r="H13" s="127">
        <v>1617.734</v>
      </c>
      <c r="I13" s="127">
        <v>1611.191</v>
      </c>
      <c r="J13" s="127">
        <v>1679.007</v>
      </c>
      <c r="K13" s="127">
        <v>1738.854</v>
      </c>
      <c r="L13" s="127">
        <v>1783.098</v>
      </c>
      <c r="M13" s="127">
        <v>1817.147</v>
      </c>
      <c r="N13" s="127">
        <v>1843.254</v>
      </c>
      <c r="O13" s="127">
        <v>1854.06</v>
      </c>
      <c r="P13" s="127">
        <v>1872.631</v>
      </c>
      <c r="Q13" s="127">
        <v>1888.29</v>
      </c>
      <c r="R13" s="127">
        <v>1894.649</v>
      </c>
      <c r="S13" s="127">
        <v>1915.821</v>
      </c>
      <c r="T13" s="127">
        <v>1964.682</v>
      </c>
      <c r="U13" s="127">
        <v>2020.013</v>
      </c>
      <c r="V13" s="127">
        <v>2068.493</v>
      </c>
      <c r="W13" s="127">
        <v>2099.09</v>
      </c>
      <c r="X13" s="127">
        <v>2120</v>
      </c>
      <c r="Y13" s="592">
        <f t="shared" si="0"/>
        <v>0.9961459489588265</v>
      </c>
      <c r="Z13" s="110" t="s">
        <v>67</v>
      </c>
    </row>
    <row r="14" spans="1:26" ht="12.75" customHeight="1">
      <c r="A14" s="11"/>
      <c r="B14" s="13" t="s">
        <v>73</v>
      </c>
      <c r="C14" s="383">
        <v>15107.079</v>
      </c>
      <c r="D14" s="383">
        <v>25869.616000000005</v>
      </c>
      <c r="E14" s="383">
        <v>36772</v>
      </c>
      <c r="F14" s="384">
        <v>37947</v>
      </c>
      <c r="G14" s="70">
        <v>38892</v>
      </c>
      <c r="H14" s="70">
        <v>39202.066</v>
      </c>
      <c r="I14" s="70">
        <v>39917.577</v>
      </c>
      <c r="J14" s="70">
        <v>40499.442</v>
      </c>
      <c r="K14" s="385">
        <v>41045.217</v>
      </c>
      <c r="L14" s="384">
        <v>36924.647</v>
      </c>
      <c r="M14" s="384">
        <v>37553.549</v>
      </c>
      <c r="N14" s="384">
        <v>38426.776</v>
      </c>
      <c r="O14" s="384">
        <v>39058.937</v>
      </c>
      <c r="P14" s="384">
        <v>39388.319</v>
      </c>
      <c r="Q14" s="384">
        <v>39720.951</v>
      </c>
      <c r="R14" s="384">
        <v>40017.482</v>
      </c>
      <c r="S14" s="384">
        <v>40179.477</v>
      </c>
      <c r="T14" s="384">
        <v>40659.5</v>
      </c>
      <c r="U14" s="384">
        <v>41019.7</v>
      </c>
      <c r="V14" s="70">
        <v>41183.594</v>
      </c>
      <c r="W14" s="384">
        <v>41321.171</v>
      </c>
      <c r="X14" s="384">
        <v>41737.627</v>
      </c>
      <c r="Y14" s="597">
        <f t="shared" si="0"/>
        <v>1.0078513989838314</v>
      </c>
      <c r="Z14" s="13" t="s">
        <v>73</v>
      </c>
    </row>
    <row r="15" spans="1:26" ht="12.75" customHeight="1">
      <c r="A15" s="11"/>
      <c r="B15" s="110" t="s">
        <v>57</v>
      </c>
      <c r="C15" s="400">
        <v>30</v>
      </c>
      <c r="D15" s="400">
        <v>127</v>
      </c>
      <c r="E15" s="400">
        <v>241</v>
      </c>
      <c r="F15" s="401">
        <v>261</v>
      </c>
      <c r="G15" s="401">
        <v>284</v>
      </c>
      <c r="H15" s="127">
        <v>317.425</v>
      </c>
      <c r="I15" s="127">
        <v>337.812</v>
      </c>
      <c r="J15" s="127">
        <v>383.444</v>
      </c>
      <c r="K15" s="127">
        <v>406.598</v>
      </c>
      <c r="L15" s="127">
        <v>427.678</v>
      </c>
      <c r="M15" s="127">
        <v>450.954</v>
      </c>
      <c r="N15" s="127">
        <v>458.7</v>
      </c>
      <c r="O15" s="403">
        <v>463.9</v>
      </c>
      <c r="P15" s="403">
        <v>407.3</v>
      </c>
      <c r="Q15" s="401">
        <v>400.7</v>
      </c>
      <c r="R15" s="401">
        <v>434</v>
      </c>
      <c r="S15" s="401">
        <v>471.2</v>
      </c>
      <c r="T15" s="401">
        <v>493.78</v>
      </c>
      <c r="U15" s="404">
        <v>554.012</v>
      </c>
      <c r="V15" s="127">
        <v>523.766</v>
      </c>
      <c r="W15" s="401">
        <v>551.83</v>
      </c>
      <c r="X15" s="401">
        <f>545.7</f>
        <v>545.7</v>
      </c>
      <c r="Y15" s="592">
        <f t="shared" si="0"/>
        <v>-1.1108493557798624</v>
      </c>
      <c r="Z15" s="110" t="s">
        <v>57</v>
      </c>
    </row>
    <row r="16" spans="1:26" ht="12.75" customHeight="1">
      <c r="A16" s="11"/>
      <c r="B16" s="13" t="s">
        <v>76</v>
      </c>
      <c r="C16" s="383">
        <v>393.459</v>
      </c>
      <c r="D16" s="383">
        <v>738.114</v>
      </c>
      <c r="E16" s="594">
        <f>796.408+4.977</f>
        <v>801.385</v>
      </c>
      <c r="F16" s="70">
        <f>836.583+5.363</f>
        <v>841.946</v>
      </c>
      <c r="G16" s="70">
        <f>858.498+5.711</f>
        <v>864.2090000000001</v>
      </c>
      <c r="H16" s="70">
        <f>891.027+6.144</f>
        <v>897.171</v>
      </c>
      <c r="I16" s="70">
        <f>939.022+6.925</f>
        <v>945.947</v>
      </c>
      <c r="J16" s="70">
        <f>990.384+8.086</f>
        <v>998.47</v>
      </c>
      <c r="K16" s="70">
        <f>1057.383+9.219</f>
        <v>1066.602</v>
      </c>
      <c r="L16" s="70">
        <f>1134.429+10.34</f>
        <v>1144.769</v>
      </c>
      <c r="M16" s="70">
        <f>1196.901+11.249</f>
        <v>1208.15</v>
      </c>
      <c r="N16" s="70">
        <f>1269.245+13.076</f>
        <v>1282.321</v>
      </c>
      <c r="O16" s="70">
        <f>1319.25+13.637</f>
        <v>1332.887</v>
      </c>
      <c r="P16" s="70">
        <f>1384.704+16.547</f>
        <v>1401.251</v>
      </c>
      <c r="Q16" s="70">
        <f>1447.908+18.252</f>
        <v>1466.1599999999999</v>
      </c>
      <c r="R16" s="70">
        <f>1507.106+19.856</f>
        <v>1526.962</v>
      </c>
      <c r="S16" s="70">
        <f>1582.833+20.744</f>
        <v>1603.577</v>
      </c>
      <c r="T16" s="70">
        <f>1662.157+21.888</f>
        <v>1684.0449999999998</v>
      </c>
      <c r="U16" s="70">
        <f>1778.861+23.284</f>
        <v>1802.1450000000002</v>
      </c>
      <c r="V16" s="70">
        <f>1882.901+26.654</f>
        <v>1909.555</v>
      </c>
      <c r="W16" s="70">
        <f>1924.281+29.053</f>
        <v>1953.334</v>
      </c>
      <c r="X16" s="70">
        <f>1902.429+28.284</f>
        <v>1930.7130000000002</v>
      </c>
      <c r="Y16" s="597">
        <f t="shared" si="0"/>
        <v>-1.1580712771087747</v>
      </c>
      <c r="Z16" s="13" t="s">
        <v>76</v>
      </c>
    </row>
    <row r="17" spans="1:26" ht="12.75" customHeight="1">
      <c r="A17" s="11"/>
      <c r="B17" s="110" t="s">
        <v>68</v>
      </c>
      <c r="C17" s="400">
        <v>226.893</v>
      </c>
      <c r="D17" s="400">
        <v>862.609</v>
      </c>
      <c r="E17" s="400">
        <v>1735.523</v>
      </c>
      <c r="F17" s="401">
        <v>1777.484</v>
      </c>
      <c r="G17" s="401">
        <v>1829.1</v>
      </c>
      <c r="H17" s="401">
        <v>1958.544</v>
      </c>
      <c r="I17" s="401">
        <v>2074.081</v>
      </c>
      <c r="J17" s="401">
        <v>2204.761</v>
      </c>
      <c r="K17" s="401">
        <v>2339.421</v>
      </c>
      <c r="L17" s="401">
        <v>2500.099</v>
      </c>
      <c r="M17" s="401">
        <v>2675.676</v>
      </c>
      <c r="N17" s="401">
        <v>2928.881</v>
      </c>
      <c r="O17" s="401">
        <v>3195.065</v>
      </c>
      <c r="P17" s="401">
        <v>3423.704</v>
      </c>
      <c r="Q17" s="401">
        <v>3646.069</v>
      </c>
      <c r="R17" s="401">
        <v>3839.549</v>
      </c>
      <c r="S17" s="401">
        <v>4073.511</v>
      </c>
      <c r="T17" s="401">
        <v>4303.129</v>
      </c>
      <c r="U17" s="401">
        <v>4543.016</v>
      </c>
      <c r="V17" s="401">
        <v>4798.53</v>
      </c>
      <c r="W17" s="401">
        <v>5023.944</v>
      </c>
      <c r="X17" s="401">
        <v>5131.96</v>
      </c>
      <c r="Y17" s="592">
        <f t="shared" si="0"/>
        <v>2.1500239652352775</v>
      </c>
      <c r="Z17" s="110" t="s">
        <v>68</v>
      </c>
    </row>
    <row r="18" spans="1:26" ht="12.75" customHeight="1">
      <c r="A18" s="11"/>
      <c r="B18" s="13" t="s">
        <v>74</v>
      </c>
      <c r="C18" s="383">
        <v>2378</v>
      </c>
      <c r="D18" s="383">
        <v>7556.511</v>
      </c>
      <c r="E18" s="383">
        <v>11995.64</v>
      </c>
      <c r="F18" s="384">
        <v>12537.099</v>
      </c>
      <c r="G18" s="384">
        <v>13102.285</v>
      </c>
      <c r="H18" s="384">
        <v>13440.694</v>
      </c>
      <c r="I18" s="384">
        <v>13733.794</v>
      </c>
      <c r="J18" s="384">
        <v>14212.259</v>
      </c>
      <c r="K18" s="384">
        <v>14753.809</v>
      </c>
      <c r="L18" s="384">
        <v>15297.366</v>
      </c>
      <c r="M18" s="384">
        <v>16050.057</v>
      </c>
      <c r="N18" s="384">
        <v>16847.397</v>
      </c>
      <c r="O18" s="384">
        <v>17449.235</v>
      </c>
      <c r="P18" s="384">
        <v>18150.88</v>
      </c>
      <c r="Q18" s="385">
        <v>18732.632</v>
      </c>
      <c r="R18" s="384">
        <v>18688.32</v>
      </c>
      <c r="S18" s="384">
        <v>19541.918</v>
      </c>
      <c r="T18" s="384">
        <v>20250.377</v>
      </c>
      <c r="U18" s="384">
        <v>20908.725</v>
      </c>
      <c r="V18" s="384">
        <v>21760.174</v>
      </c>
      <c r="W18" s="384">
        <v>22145.364</v>
      </c>
      <c r="X18" s="384">
        <f>21983.485</f>
        <v>21983.485</v>
      </c>
      <c r="Y18" s="597">
        <f t="shared" si="0"/>
        <v>-0.7309836948266053</v>
      </c>
      <c r="Z18" s="13" t="s">
        <v>74</v>
      </c>
    </row>
    <row r="19" spans="1:26" ht="12.75" customHeight="1">
      <c r="A19" s="11"/>
      <c r="B19" s="110" t="s">
        <v>75</v>
      </c>
      <c r="C19" s="400">
        <v>11900</v>
      </c>
      <c r="D19" s="400">
        <v>19100</v>
      </c>
      <c r="E19" s="400">
        <v>27071.642</v>
      </c>
      <c r="F19" s="401">
        <v>27309.644</v>
      </c>
      <c r="G19" s="401">
        <v>27596.041</v>
      </c>
      <c r="H19" s="401">
        <v>27680.285</v>
      </c>
      <c r="I19" s="401">
        <v>27761.922</v>
      </c>
      <c r="J19" s="401">
        <v>27872.067</v>
      </c>
      <c r="K19" s="401">
        <v>28017.221</v>
      </c>
      <c r="L19" s="401">
        <v>28201.321</v>
      </c>
      <c r="M19" s="401">
        <v>28627.36</v>
      </c>
      <c r="N19" s="401">
        <v>29272.165</v>
      </c>
      <c r="O19" s="401">
        <v>29807.799</v>
      </c>
      <c r="P19" s="401">
        <v>30330.382</v>
      </c>
      <c r="Q19" s="401">
        <v>30590.743</v>
      </c>
      <c r="R19" s="401">
        <v>30582.717</v>
      </c>
      <c r="S19" s="401">
        <v>30537.244</v>
      </c>
      <c r="T19" s="401">
        <v>30497.013</v>
      </c>
      <c r="U19" s="401">
        <v>31002.304</v>
      </c>
      <c r="V19" s="401">
        <v>31442.88</v>
      </c>
      <c r="W19" s="401">
        <v>31109.081</v>
      </c>
      <c r="X19" s="401">
        <f>31393.734</f>
        <v>31393.734</v>
      </c>
      <c r="Y19" s="592">
        <f t="shared" si="0"/>
        <v>0.9150157794761071</v>
      </c>
      <c r="Z19" s="110" t="s">
        <v>75</v>
      </c>
    </row>
    <row r="20" spans="1:26" ht="12.75" customHeight="1">
      <c r="A20" s="11"/>
      <c r="B20" s="13" t="s">
        <v>77</v>
      </c>
      <c r="C20" s="383">
        <v>10181.192</v>
      </c>
      <c r="D20" s="383">
        <v>17686.236</v>
      </c>
      <c r="E20" s="383">
        <v>27415.828</v>
      </c>
      <c r="F20" s="384">
        <v>28434.923</v>
      </c>
      <c r="G20" s="384">
        <v>29429.628</v>
      </c>
      <c r="H20" s="384">
        <v>29652.024</v>
      </c>
      <c r="I20" s="384">
        <v>29665.308</v>
      </c>
      <c r="J20" s="384">
        <v>30301.424</v>
      </c>
      <c r="K20" s="70">
        <v>30467.173</v>
      </c>
      <c r="L20" s="70">
        <v>30741.953</v>
      </c>
      <c r="M20" s="70">
        <v>31370.765</v>
      </c>
      <c r="N20" s="384">
        <v>32038.291</v>
      </c>
      <c r="O20" s="384">
        <v>32583.815</v>
      </c>
      <c r="P20" s="384">
        <v>33239.029</v>
      </c>
      <c r="Q20" s="384">
        <v>33706.153</v>
      </c>
      <c r="R20" s="384">
        <v>34310.446</v>
      </c>
      <c r="S20" s="384">
        <v>33973.147</v>
      </c>
      <c r="T20" s="384">
        <v>34667.485</v>
      </c>
      <c r="U20" s="384">
        <v>35297.282</v>
      </c>
      <c r="V20" s="384">
        <v>35680.097</v>
      </c>
      <c r="W20" s="384">
        <v>36105.183</v>
      </c>
      <c r="X20" s="384">
        <f>36477.025</f>
        <v>36477.025</v>
      </c>
      <c r="Y20" s="597">
        <f t="shared" si="0"/>
        <v>1.0298853768446463</v>
      </c>
      <c r="Z20" s="13" t="s">
        <v>77</v>
      </c>
    </row>
    <row r="21" spans="1:26" ht="12.75" customHeight="1">
      <c r="A21" s="11"/>
      <c r="B21" s="110" t="s">
        <v>55</v>
      </c>
      <c r="C21" s="400">
        <v>60</v>
      </c>
      <c r="D21" s="400">
        <v>90</v>
      </c>
      <c r="E21" s="400">
        <v>178.602</v>
      </c>
      <c r="F21" s="401">
        <v>190</v>
      </c>
      <c r="G21" s="401">
        <v>200</v>
      </c>
      <c r="H21" s="127">
        <v>203.61</v>
      </c>
      <c r="I21" s="127">
        <v>210.365</v>
      </c>
      <c r="J21" s="127">
        <v>219.749</v>
      </c>
      <c r="K21" s="127">
        <v>226.832</v>
      </c>
      <c r="L21" s="127">
        <v>234.976</v>
      </c>
      <c r="M21" s="127">
        <v>249.225</v>
      </c>
      <c r="N21" s="127">
        <v>256.989</v>
      </c>
      <c r="O21" s="401">
        <v>267.589</v>
      </c>
      <c r="P21" s="404">
        <v>280.069</v>
      </c>
      <c r="Q21" s="401">
        <v>287.622</v>
      </c>
      <c r="R21" s="401">
        <v>302.501</v>
      </c>
      <c r="S21" s="401">
        <v>335.634</v>
      </c>
      <c r="T21" s="401">
        <v>355.134</v>
      </c>
      <c r="U21" s="401">
        <v>372.945</v>
      </c>
      <c r="V21" s="127">
        <v>410.936</v>
      </c>
      <c r="W21" s="401">
        <v>443.517</v>
      </c>
      <c r="X21" s="401">
        <v>460.504</v>
      </c>
      <c r="Y21" s="592">
        <f t="shared" si="0"/>
        <v>3.830067393132623</v>
      </c>
      <c r="Z21" s="110" t="s">
        <v>55</v>
      </c>
    </row>
    <row r="22" spans="1:26" ht="12.75" customHeight="1">
      <c r="A22" s="11"/>
      <c r="B22" s="13" t="s">
        <v>59</v>
      </c>
      <c r="C22" s="383">
        <v>40</v>
      </c>
      <c r="D22" s="383">
        <v>166</v>
      </c>
      <c r="E22" s="383">
        <v>283</v>
      </c>
      <c r="F22" s="384">
        <v>329</v>
      </c>
      <c r="G22" s="384">
        <v>350</v>
      </c>
      <c r="H22" s="70">
        <v>367.475</v>
      </c>
      <c r="I22" s="70">
        <v>251.593</v>
      </c>
      <c r="J22" s="70">
        <v>332</v>
      </c>
      <c r="K22" s="70">
        <v>379.895</v>
      </c>
      <c r="L22" s="70">
        <v>431.816</v>
      </c>
      <c r="M22" s="70">
        <v>482.67</v>
      </c>
      <c r="N22" s="70">
        <v>525.572</v>
      </c>
      <c r="O22" s="384">
        <v>556.8</v>
      </c>
      <c r="P22" s="384">
        <v>586.2</v>
      </c>
      <c r="Q22" s="384">
        <v>619.1</v>
      </c>
      <c r="R22" s="384">
        <v>648.9</v>
      </c>
      <c r="S22" s="384">
        <v>686.128</v>
      </c>
      <c r="T22" s="384">
        <v>742.447</v>
      </c>
      <c r="U22" s="384">
        <v>822.011</v>
      </c>
      <c r="V22" s="70">
        <v>904.869</v>
      </c>
      <c r="W22" s="384">
        <v>932.828</v>
      </c>
      <c r="X22" s="384">
        <v>904.308</v>
      </c>
      <c r="Y22" s="597">
        <f t="shared" si="0"/>
        <v>-3.0573696329870046</v>
      </c>
      <c r="Z22" s="13" t="s">
        <v>59</v>
      </c>
    </row>
    <row r="23" spans="1:26" ht="12.75" customHeight="1">
      <c r="A23" s="11"/>
      <c r="B23" s="110" t="s">
        <v>60</v>
      </c>
      <c r="C23" s="400">
        <v>43.7</v>
      </c>
      <c r="D23" s="400">
        <v>247</v>
      </c>
      <c r="E23" s="400">
        <v>493</v>
      </c>
      <c r="F23" s="401">
        <v>531</v>
      </c>
      <c r="G23" s="401">
        <v>565</v>
      </c>
      <c r="H23" s="127">
        <v>597.735</v>
      </c>
      <c r="I23" s="127">
        <v>652.81</v>
      </c>
      <c r="J23" s="401">
        <v>718.469</v>
      </c>
      <c r="K23" s="401">
        <v>785.088</v>
      </c>
      <c r="L23" s="401">
        <v>882.101</v>
      </c>
      <c r="M23" s="401">
        <v>980.91</v>
      </c>
      <c r="N23" s="401">
        <v>1089.334</v>
      </c>
      <c r="O23" s="401">
        <v>1172.394</v>
      </c>
      <c r="P23" s="401">
        <v>1133.477</v>
      </c>
      <c r="Q23" s="401">
        <v>1180.945</v>
      </c>
      <c r="R23" s="401">
        <v>1256.853</v>
      </c>
      <c r="S23" s="401">
        <v>1315.914</v>
      </c>
      <c r="T23" s="401">
        <v>1455.276</v>
      </c>
      <c r="U23" s="401">
        <v>1592.238</v>
      </c>
      <c r="V23" s="401">
        <v>1587.903</v>
      </c>
      <c r="W23" s="401">
        <v>1671.065</v>
      </c>
      <c r="X23" s="401">
        <v>1695.286</v>
      </c>
      <c r="Y23" s="592">
        <f t="shared" si="0"/>
        <v>1.449434941190205</v>
      </c>
      <c r="Z23" s="110" t="s">
        <v>60</v>
      </c>
    </row>
    <row r="24" spans="1:26" ht="12.75" customHeight="1">
      <c r="A24" s="11"/>
      <c r="B24" s="13" t="s">
        <v>78</v>
      </c>
      <c r="C24" s="383">
        <v>72</v>
      </c>
      <c r="D24" s="383">
        <v>128.6</v>
      </c>
      <c r="E24" s="383">
        <v>183.404</v>
      </c>
      <c r="F24" s="384">
        <v>192</v>
      </c>
      <c r="G24" s="384">
        <v>201</v>
      </c>
      <c r="H24" s="70">
        <v>208</v>
      </c>
      <c r="I24" s="70">
        <v>217.754</v>
      </c>
      <c r="J24" s="70">
        <v>229.037</v>
      </c>
      <c r="K24" s="70">
        <v>231.666</v>
      </c>
      <c r="L24" s="70">
        <v>236.834</v>
      </c>
      <c r="M24" s="70">
        <v>253.406</v>
      </c>
      <c r="N24" s="70">
        <v>263.475</v>
      </c>
      <c r="O24" s="70">
        <v>273.086</v>
      </c>
      <c r="P24" s="70">
        <v>280.709</v>
      </c>
      <c r="Q24" s="384">
        <v>287.245</v>
      </c>
      <c r="R24" s="384">
        <v>293.398</v>
      </c>
      <c r="S24" s="384">
        <v>299.759</v>
      </c>
      <c r="T24" s="384">
        <f>211.567+92.927+2.771</f>
        <v>307.26500000000004</v>
      </c>
      <c r="U24" s="384">
        <f>210.986+101.57+2.162</f>
        <v>314.71799999999996</v>
      </c>
      <c r="V24" s="70">
        <f>211.611+108.265+1.662</f>
        <v>321.53799999999995</v>
      </c>
      <c r="W24" s="384">
        <f>212.623+115.122+1.303</f>
        <v>329.048</v>
      </c>
      <c r="X24" s="384">
        <f>209.666+120.821+1.026</f>
        <v>331.513</v>
      </c>
      <c r="Y24" s="597">
        <f t="shared" si="0"/>
        <v>0.7491308258977369</v>
      </c>
      <c r="Z24" s="13" t="s">
        <v>78</v>
      </c>
    </row>
    <row r="25" spans="1:26" ht="12.75" customHeight="1">
      <c r="A25" s="11"/>
      <c r="B25" s="110" t="s">
        <v>58</v>
      </c>
      <c r="C25" s="400">
        <v>240</v>
      </c>
      <c r="D25" s="400">
        <v>1010</v>
      </c>
      <c r="E25" s="400">
        <v>1944</v>
      </c>
      <c r="F25" s="401">
        <v>2020</v>
      </c>
      <c r="G25" s="401">
        <v>2058</v>
      </c>
      <c r="H25" s="127">
        <v>2093.529</v>
      </c>
      <c r="I25" s="127">
        <v>2178.891</v>
      </c>
      <c r="J25" s="127">
        <v>2244.946</v>
      </c>
      <c r="K25" s="127">
        <v>2265.18</v>
      </c>
      <c r="L25" s="127">
        <v>2297.964</v>
      </c>
      <c r="M25" s="127">
        <v>2218.124</v>
      </c>
      <c r="N25" s="127">
        <v>2255.526</v>
      </c>
      <c r="O25" s="127">
        <v>2364.706</v>
      </c>
      <c r="P25" s="127">
        <v>2482.827</v>
      </c>
      <c r="Q25" s="127">
        <v>2629.526</v>
      </c>
      <c r="R25" s="127">
        <v>2777.219</v>
      </c>
      <c r="S25" s="401">
        <v>2828.433</v>
      </c>
      <c r="T25" s="401">
        <v>2888.735</v>
      </c>
      <c r="U25" s="401">
        <v>2953.737</v>
      </c>
      <c r="V25" s="127">
        <v>3012.165</v>
      </c>
      <c r="W25" s="401">
        <v>3055.427</v>
      </c>
      <c r="X25" s="401">
        <f>3013.719</f>
        <v>3013.719</v>
      </c>
      <c r="Y25" s="592">
        <f t="shared" si="0"/>
        <v>-1.3650465221391386</v>
      </c>
      <c r="Z25" s="110" t="s">
        <v>58</v>
      </c>
    </row>
    <row r="26" spans="1:26" ht="12.75" customHeight="1">
      <c r="A26" s="11"/>
      <c r="B26" s="13" t="s">
        <v>61</v>
      </c>
      <c r="C26" s="383" t="s">
        <v>84</v>
      </c>
      <c r="D26" s="383" t="s">
        <v>84</v>
      </c>
      <c r="E26" s="596">
        <v>120</v>
      </c>
      <c r="F26" s="384">
        <v>122</v>
      </c>
      <c r="G26" s="384">
        <v>125</v>
      </c>
      <c r="H26" s="70">
        <v>152.613</v>
      </c>
      <c r="I26" s="70">
        <v>170.635</v>
      </c>
      <c r="J26" s="70">
        <v>180.851</v>
      </c>
      <c r="K26" s="70">
        <v>182</v>
      </c>
      <c r="L26" s="386">
        <f>177.651+6.123</f>
        <v>183.774</v>
      </c>
      <c r="M26" s="70">
        <f>0.863+169.542+4.136+0.245</f>
        <v>174.786</v>
      </c>
      <c r="N26" s="70">
        <f>0.966+176.264+4.777+0.245</f>
        <v>182.252</v>
      </c>
      <c r="O26" s="70">
        <f>1.034+182.105+5.738+0.246</f>
        <v>189.123</v>
      </c>
      <c r="P26" s="70">
        <f>1.116+188.495+5.521+0.247</f>
        <v>195.37900000000002</v>
      </c>
      <c r="Q26" s="70">
        <f>1.165+195.055+5.454+0.247</f>
        <v>201.92100000000002</v>
      </c>
      <c r="R26" s="70">
        <f>1.194+201.924+5.447+0.247</f>
        <v>208.812</v>
      </c>
      <c r="S26" s="384">
        <f>1.19+204.702+5.245+0.246</f>
        <v>211.383</v>
      </c>
      <c r="T26" s="384">
        <f>1.133+206.148+5.034+0.246</f>
        <v>212.561</v>
      </c>
      <c r="U26" s="388">
        <f>1.123+211.84+4.943+0.247</f>
        <v>218.15300000000002</v>
      </c>
      <c r="V26" s="70">
        <f>1.136+218.429+5.083+0.248</f>
        <v>224.896</v>
      </c>
      <c r="W26" s="388">
        <f>1.214+222.775+5.152+0.248</f>
        <v>229.38899999999998</v>
      </c>
      <c r="X26" s="388">
        <f>1.189+229.016+4.847+0.248</f>
        <v>235.29999999999998</v>
      </c>
      <c r="Y26" s="597">
        <f t="shared" si="0"/>
        <v>2.576845445945537</v>
      </c>
      <c r="Z26" s="13" t="s">
        <v>61</v>
      </c>
    </row>
    <row r="27" spans="1:26" ht="12.75" customHeight="1">
      <c r="A27" s="11"/>
      <c r="B27" s="111" t="s">
        <v>69</v>
      </c>
      <c r="C27" s="400">
        <v>2564</v>
      </c>
      <c r="D27" s="400">
        <v>4550</v>
      </c>
      <c r="E27" s="400">
        <v>5509.173</v>
      </c>
      <c r="F27" s="401">
        <v>5554</v>
      </c>
      <c r="G27" s="401">
        <v>5658</v>
      </c>
      <c r="H27" s="127">
        <v>5755</v>
      </c>
      <c r="I27" s="127">
        <v>5884</v>
      </c>
      <c r="J27" s="127">
        <v>5633</v>
      </c>
      <c r="K27" s="127">
        <v>5740</v>
      </c>
      <c r="L27" s="127">
        <v>5931.387</v>
      </c>
      <c r="M27" s="127">
        <v>6119.581</v>
      </c>
      <c r="N27" s="127">
        <v>6343.195</v>
      </c>
      <c r="O27" s="127">
        <v>6539.212</v>
      </c>
      <c r="P27" s="127">
        <v>6710.602</v>
      </c>
      <c r="Q27" s="127">
        <v>6854.743</v>
      </c>
      <c r="R27" s="127">
        <v>6908.473</v>
      </c>
      <c r="S27" s="401">
        <v>6991.991</v>
      </c>
      <c r="T27" s="401">
        <v>7092.293</v>
      </c>
      <c r="U27" s="401">
        <v>7230.178</v>
      </c>
      <c r="V27" s="127">
        <v>7391.903</v>
      </c>
      <c r="W27" s="401">
        <v>7542.331</v>
      </c>
      <c r="X27" s="401">
        <v>7622</v>
      </c>
      <c r="Y27" s="592">
        <f t="shared" si="0"/>
        <v>1.0562914833623722</v>
      </c>
      <c r="Z27" s="111" t="s">
        <v>69</v>
      </c>
    </row>
    <row r="28" spans="1:26" ht="12.75" customHeight="1">
      <c r="A28" s="11"/>
      <c r="B28" s="13" t="s">
        <v>79</v>
      </c>
      <c r="C28" s="383">
        <v>1197</v>
      </c>
      <c r="D28" s="383">
        <v>2247</v>
      </c>
      <c r="E28" s="383">
        <v>2991</v>
      </c>
      <c r="F28" s="384">
        <v>3100</v>
      </c>
      <c r="G28" s="384">
        <v>3245</v>
      </c>
      <c r="H28" s="70">
        <v>3367.626</v>
      </c>
      <c r="I28" s="70">
        <v>3479.595</v>
      </c>
      <c r="J28" s="70">
        <v>3593.588</v>
      </c>
      <c r="K28" s="70">
        <v>3690.692</v>
      </c>
      <c r="L28" s="70">
        <v>3782.543</v>
      </c>
      <c r="M28" s="70">
        <v>3887.174</v>
      </c>
      <c r="N28" s="70">
        <v>4009.604</v>
      </c>
      <c r="O28" s="70">
        <v>4097.145</v>
      </c>
      <c r="P28" s="386">
        <v>4182.027</v>
      </c>
      <c r="Q28" s="70">
        <v>3987.093</v>
      </c>
      <c r="R28" s="70">
        <v>4054.308</v>
      </c>
      <c r="S28" s="384">
        <v>4109.129</v>
      </c>
      <c r="T28" s="384">
        <v>4156.743</v>
      </c>
      <c r="U28" s="384">
        <v>4204.969</v>
      </c>
      <c r="V28" s="70">
        <v>4245.583</v>
      </c>
      <c r="W28" s="384">
        <v>4284.919</v>
      </c>
      <c r="X28" s="384">
        <v>4359.944</v>
      </c>
      <c r="Y28" s="597">
        <f t="shared" si="0"/>
        <v>1.7509082435397403</v>
      </c>
      <c r="Z28" s="13" t="s">
        <v>79</v>
      </c>
    </row>
    <row r="29" spans="1:26" ht="12.75" customHeight="1">
      <c r="A29" s="11"/>
      <c r="B29" s="110" t="s">
        <v>62</v>
      </c>
      <c r="C29" s="400">
        <v>479</v>
      </c>
      <c r="D29" s="400">
        <v>2380</v>
      </c>
      <c r="E29" s="400">
        <v>5261</v>
      </c>
      <c r="F29" s="401">
        <v>6110</v>
      </c>
      <c r="G29" s="401">
        <v>6505</v>
      </c>
      <c r="H29" s="127">
        <v>6770.557</v>
      </c>
      <c r="I29" s="127">
        <v>7153.141</v>
      </c>
      <c r="J29" s="127">
        <v>7517.266</v>
      </c>
      <c r="K29" s="127">
        <v>8054.448</v>
      </c>
      <c r="L29" s="127">
        <v>8533.449</v>
      </c>
      <c r="M29" s="127">
        <v>8890.763</v>
      </c>
      <c r="N29" s="127">
        <v>9282.9</v>
      </c>
      <c r="O29" s="127">
        <v>9991.3</v>
      </c>
      <c r="P29" s="127">
        <v>10503.1</v>
      </c>
      <c r="Q29" s="127">
        <v>11028.9</v>
      </c>
      <c r="R29" s="127">
        <v>11243.8</v>
      </c>
      <c r="S29" s="401">
        <v>11975.191</v>
      </c>
      <c r="T29" s="401">
        <v>12339.353</v>
      </c>
      <c r="U29" s="401">
        <v>13384.229</v>
      </c>
      <c r="V29" s="127">
        <v>14588.739</v>
      </c>
      <c r="W29" s="401">
        <v>16079.533</v>
      </c>
      <c r="X29" s="401">
        <f>16495</f>
        <v>16495</v>
      </c>
      <c r="Y29" s="592">
        <f t="shared" si="0"/>
        <v>2.5838250401924086</v>
      </c>
      <c r="Z29" s="110" t="s">
        <v>62</v>
      </c>
    </row>
    <row r="30" spans="1:26" ht="12.75" customHeight="1">
      <c r="A30" s="11"/>
      <c r="B30" s="13" t="s">
        <v>80</v>
      </c>
      <c r="C30" s="383">
        <v>421</v>
      </c>
      <c r="D30" s="383">
        <v>1269</v>
      </c>
      <c r="E30" s="383">
        <v>1849</v>
      </c>
      <c r="F30" s="387">
        <v>1950</v>
      </c>
      <c r="G30" s="387">
        <v>2100</v>
      </c>
      <c r="H30" s="130">
        <v>2250</v>
      </c>
      <c r="I30" s="130">
        <v>2410</v>
      </c>
      <c r="J30" s="70">
        <v>2560</v>
      </c>
      <c r="K30" s="70">
        <v>2750</v>
      </c>
      <c r="L30" s="70">
        <v>2950</v>
      </c>
      <c r="M30" s="70">
        <v>3150</v>
      </c>
      <c r="N30" s="70">
        <v>3350</v>
      </c>
      <c r="O30" s="70">
        <v>3443</v>
      </c>
      <c r="P30" s="70">
        <v>3589</v>
      </c>
      <c r="Q30" s="70">
        <v>3885</v>
      </c>
      <c r="R30" s="70">
        <v>3966</v>
      </c>
      <c r="S30" s="384">
        <v>4100</v>
      </c>
      <c r="T30" s="384">
        <v>4200</v>
      </c>
      <c r="U30" s="384">
        <v>4290</v>
      </c>
      <c r="V30" s="70">
        <v>4379</v>
      </c>
      <c r="W30" s="384">
        <v>4408</v>
      </c>
      <c r="X30" s="384">
        <v>4457</v>
      </c>
      <c r="Y30" s="597">
        <f t="shared" si="0"/>
        <v>1.1116152450090624</v>
      </c>
      <c r="Z30" s="13" t="s">
        <v>80</v>
      </c>
    </row>
    <row r="31" spans="1:26" ht="12.75" customHeight="1">
      <c r="A31" s="11"/>
      <c r="B31" s="110" t="s">
        <v>63</v>
      </c>
      <c r="C31" s="400">
        <v>40</v>
      </c>
      <c r="D31" s="400">
        <v>240</v>
      </c>
      <c r="E31" s="400">
        <v>1292.283</v>
      </c>
      <c r="F31" s="401">
        <v>1431.566</v>
      </c>
      <c r="G31" s="401">
        <v>1593.029</v>
      </c>
      <c r="H31" s="127">
        <v>1793.054</v>
      </c>
      <c r="I31" s="127">
        <v>2020.017</v>
      </c>
      <c r="J31" s="127">
        <v>2197.477</v>
      </c>
      <c r="K31" s="127">
        <v>2326.177</v>
      </c>
      <c r="L31" s="127">
        <v>2447.087</v>
      </c>
      <c r="M31" s="127">
        <v>2594.571</v>
      </c>
      <c r="N31" s="127">
        <v>2702.021</v>
      </c>
      <c r="O31" s="127">
        <v>2777.594</v>
      </c>
      <c r="P31" s="127">
        <v>2881.191</v>
      </c>
      <c r="Q31" s="127">
        <v>2973.39</v>
      </c>
      <c r="R31" s="127">
        <v>3087.628</v>
      </c>
      <c r="S31" s="401">
        <v>3225.367</v>
      </c>
      <c r="T31" s="401">
        <v>3363.779</v>
      </c>
      <c r="U31" s="404">
        <v>3603.437</v>
      </c>
      <c r="V31" s="127">
        <v>3541.262</v>
      </c>
      <c r="W31" s="401">
        <v>4027.363</v>
      </c>
      <c r="X31" s="401">
        <f>4244.9</f>
        <v>4244.9</v>
      </c>
      <c r="Y31" s="592">
        <f t="shared" si="0"/>
        <v>5.401474860845653</v>
      </c>
      <c r="Z31" s="110" t="s">
        <v>63</v>
      </c>
    </row>
    <row r="32" spans="1:26" s="125" customFormat="1" ht="12.75" customHeight="1">
      <c r="A32" s="11"/>
      <c r="B32" s="124" t="s">
        <v>65</v>
      </c>
      <c r="C32" s="383">
        <v>150.807</v>
      </c>
      <c r="D32" s="383">
        <v>416.448</v>
      </c>
      <c r="E32" s="383">
        <v>587.104</v>
      </c>
      <c r="F32" s="384">
        <v>602.884</v>
      </c>
      <c r="G32" s="384">
        <v>606.245</v>
      </c>
      <c r="H32" s="70">
        <v>650.344</v>
      </c>
      <c r="I32" s="70">
        <v>668.307</v>
      </c>
      <c r="J32" s="70">
        <v>711.364</v>
      </c>
      <c r="K32" s="70">
        <v>743.057</v>
      </c>
      <c r="L32" s="70">
        <v>776.798</v>
      </c>
      <c r="M32" s="70">
        <v>811.671</v>
      </c>
      <c r="N32" s="70">
        <v>846.109</v>
      </c>
      <c r="O32" s="70">
        <v>866.096</v>
      </c>
      <c r="P32" s="70">
        <v>881.487</v>
      </c>
      <c r="Q32" s="70">
        <v>894.521</v>
      </c>
      <c r="R32" s="70">
        <v>910.429</v>
      </c>
      <c r="S32" s="384">
        <v>933.941</v>
      </c>
      <c r="T32" s="384">
        <v>960.213</v>
      </c>
      <c r="U32" s="384">
        <v>980.261</v>
      </c>
      <c r="V32" s="70">
        <v>1014.122</v>
      </c>
      <c r="W32" s="384">
        <v>1045.183</v>
      </c>
      <c r="X32" s="384">
        <f>1058.858</f>
        <v>1058.858</v>
      </c>
      <c r="Y32" s="597">
        <f t="shared" si="0"/>
        <v>1.3083833166057843</v>
      </c>
      <c r="Z32" s="124" t="s">
        <v>65</v>
      </c>
    </row>
    <row r="33" spans="1:26" ht="12.75" customHeight="1">
      <c r="A33" s="11"/>
      <c r="B33" s="110" t="s">
        <v>64</v>
      </c>
      <c r="C33" s="400">
        <v>164</v>
      </c>
      <c r="D33" s="400">
        <v>552</v>
      </c>
      <c r="E33" s="400">
        <v>880</v>
      </c>
      <c r="F33" s="401">
        <v>929</v>
      </c>
      <c r="G33" s="401">
        <v>971</v>
      </c>
      <c r="H33" s="127">
        <v>994.933</v>
      </c>
      <c r="I33" s="127">
        <v>994.046</v>
      </c>
      <c r="J33" s="127">
        <v>1015.794</v>
      </c>
      <c r="K33" s="127">
        <v>1058.425</v>
      </c>
      <c r="L33" s="127">
        <v>1135.914</v>
      </c>
      <c r="M33" s="127">
        <v>1196.109</v>
      </c>
      <c r="N33" s="127">
        <v>1236.4</v>
      </c>
      <c r="O33" s="127">
        <v>1274.2</v>
      </c>
      <c r="P33" s="127">
        <v>1292.8</v>
      </c>
      <c r="Q33" s="127">
        <v>1326.9</v>
      </c>
      <c r="R33" s="402">
        <v>1356.2</v>
      </c>
      <c r="S33" s="401">
        <v>1197.03</v>
      </c>
      <c r="T33" s="401">
        <v>1303.704</v>
      </c>
      <c r="U33" s="401">
        <v>1333.749</v>
      </c>
      <c r="V33" s="127">
        <v>1433.926</v>
      </c>
      <c r="W33" s="401">
        <v>1544.888</v>
      </c>
      <c r="X33" s="401">
        <f>1589.044</f>
        <v>1589.044</v>
      </c>
      <c r="Y33" s="592">
        <f t="shared" si="0"/>
        <v>2.858200723935994</v>
      </c>
      <c r="Z33" s="110" t="s">
        <v>64</v>
      </c>
    </row>
    <row r="34" spans="1:26" ht="12.75" customHeight="1">
      <c r="A34" s="11"/>
      <c r="B34" s="13" t="s">
        <v>81</v>
      </c>
      <c r="C34" s="383">
        <v>712</v>
      </c>
      <c r="D34" s="383">
        <v>1226</v>
      </c>
      <c r="E34" s="383">
        <v>1938.856</v>
      </c>
      <c r="F34" s="384">
        <v>1923</v>
      </c>
      <c r="G34" s="384">
        <v>1936</v>
      </c>
      <c r="H34" s="70">
        <v>1872.933</v>
      </c>
      <c r="I34" s="70">
        <v>1872.588</v>
      </c>
      <c r="J34" s="70">
        <v>1900.855</v>
      </c>
      <c r="K34" s="70">
        <v>1942.752</v>
      </c>
      <c r="L34" s="70">
        <v>1948.126</v>
      </c>
      <c r="M34" s="70">
        <v>2021.116</v>
      </c>
      <c r="N34" s="70">
        <v>2082.58</v>
      </c>
      <c r="O34" s="70">
        <v>2134.728</v>
      </c>
      <c r="P34" s="70">
        <v>2160.603</v>
      </c>
      <c r="Q34" s="70">
        <v>2194.683</v>
      </c>
      <c r="R34" s="70">
        <v>2274.577</v>
      </c>
      <c r="S34" s="384">
        <v>2346.726</v>
      </c>
      <c r="T34" s="384">
        <v>2430.345</v>
      </c>
      <c r="U34" s="384">
        <v>2505.543</v>
      </c>
      <c r="V34" s="70">
        <v>2570.356</v>
      </c>
      <c r="W34" s="384">
        <v>2700.492</v>
      </c>
      <c r="X34" s="384">
        <v>2776.664</v>
      </c>
      <c r="Y34" s="597">
        <f t="shared" si="0"/>
        <v>2.8206711962116486</v>
      </c>
      <c r="Z34" s="13" t="s">
        <v>81</v>
      </c>
    </row>
    <row r="35" spans="1:26" ht="12.75" customHeight="1">
      <c r="A35" s="11"/>
      <c r="B35" s="110" t="s">
        <v>82</v>
      </c>
      <c r="C35" s="400">
        <v>2288</v>
      </c>
      <c r="D35" s="400">
        <v>2883</v>
      </c>
      <c r="E35" s="400">
        <v>3601</v>
      </c>
      <c r="F35" s="401">
        <v>3619</v>
      </c>
      <c r="G35" s="401">
        <v>3589</v>
      </c>
      <c r="H35" s="127">
        <v>3566.1</v>
      </c>
      <c r="I35" s="127">
        <v>3594.2</v>
      </c>
      <c r="J35" s="127">
        <v>3630.76</v>
      </c>
      <c r="K35" s="127">
        <v>3654.92</v>
      </c>
      <c r="L35" s="127">
        <v>3701.17</v>
      </c>
      <c r="M35" s="127">
        <v>3790.695</v>
      </c>
      <c r="N35" s="127">
        <v>3890.159</v>
      </c>
      <c r="O35" s="127">
        <v>3998.614</v>
      </c>
      <c r="P35" s="127">
        <v>4018.533</v>
      </c>
      <c r="Q35" s="127">
        <v>4042.792</v>
      </c>
      <c r="R35" s="127">
        <v>4075.414</v>
      </c>
      <c r="S35" s="127">
        <v>4113.424</v>
      </c>
      <c r="T35" s="127">
        <v>4153.674</v>
      </c>
      <c r="U35" s="127">
        <v>4202.463</v>
      </c>
      <c r="V35" s="127">
        <v>4258.463</v>
      </c>
      <c r="W35" s="401">
        <v>4278.995</v>
      </c>
      <c r="X35" s="401">
        <f>4300.752</f>
        <v>4300.752</v>
      </c>
      <c r="Y35" s="592">
        <f t="shared" si="0"/>
        <v>0.5084605146769405</v>
      </c>
      <c r="Z35" s="110" t="s">
        <v>82</v>
      </c>
    </row>
    <row r="36" spans="1:26" ht="12.75" customHeight="1">
      <c r="A36" s="11"/>
      <c r="B36" s="14" t="s">
        <v>70</v>
      </c>
      <c r="C36" s="410">
        <v>11900</v>
      </c>
      <c r="D36" s="410">
        <v>15619</v>
      </c>
      <c r="E36" s="410">
        <v>20722</v>
      </c>
      <c r="F36" s="411">
        <v>20760</v>
      </c>
      <c r="G36" s="412">
        <v>20970</v>
      </c>
      <c r="H36" s="75">
        <v>21290.696</v>
      </c>
      <c r="I36" s="75">
        <v>21740.709</v>
      </c>
      <c r="J36" s="75">
        <v>21950.81</v>
      </c>
      <c r="K36" s="75">
        <v>22818.718</v>
      </c>
      <c r="L36" s="75">
        <v>23450</v>
      </c>
      <c r="M36" s="75">
        <f>23293+36+592.836+0.393</f>
        <v>23922.229</v>
      </c>
      <c r="N36" s="75">
        <f>23975+37+615.567+0.375</f>
        <v>24627.942</v>
      </c>
      <c r="O36" s="75">
        <f>24406+38+622.488+0.376</f>
        <v>25066.864</v>
      </c>
      <c r="P36" s="75">
        <f>25126+39+650.323+0.379</f>
        <v>25815.702</v>
      </c>
      <c r="Q36" s="75">
        <f>25782+39+671.18+0.413</f>
        <v>26492.593</v>
      </c>
      <c r="R36" s="75">
        <f>26240+39+712.835+0.513</f>
        <v>26992.347999999998</v>
      </c>
      <c r="S36" s="411">
        <f>27028+41+736.706+0.538</f>
        <v>27806.244</v>
      </c>
      <c r="T36" s="411">
        <f>27520+42+763.664+0.633</f>
        <v>28326.297000000002</v>
      </c>
      <c r="U36" s="411">
        <f>27609.2+43+793.763+0.698</f>
        <v>28446.661</v>
      </c>
      <c r="V36" s="75">
        <f>28000.3+44+828.31+0.709</f>
        <v>28873.319</v>
      </c>
      <c r="W36" s="411">
        <f>28160.7+44+844.51+0.704</f>
        <v>29049.914</v>
      </c>
      <c r="X36" s="411">
        <f>28246.5+861.311+0.754+43.739</f>
        <v>29152.304000000004</v>
      </c>
      <c r="Y36" s="629">
        <f t="shared" si="0"/>
        <v>0.3524623171001622</v>
      </c>
      <c r="Z36" s="14" t="s">
        <v>70</v>
      </c>
    </row>
    <row r="37" spans="1:26" ht="12.75" customHeight="1">
      <c r="A37" s="11"/>
      <c r="B37" s="110" t="s">
        <v>86</v>
      </c>
      <c r="C37" s="400" t="s">
        <v>84</v>
      </c>
      <c r="D37" s="400" t="s">
        <v>84</v>
      </c>
      <c r="E37" s="400"/>
      <c r="F37" s="401"/>
      <c r="G37" s="401"/>
      <c r="H37" s="127">
        <v>646.21</v>
      </c>
      <c r="I37" s="127">
        <v>698.391</v>
      </c>
      <c r="J37" s="127">
        <v>710.91</v>
      </c>
      <c r="K37" s="127">
        <v>835.714</v>
      </c>
      <c r="L37" s="127">
        <v>932.278</v>
      </c>
      <c r="M37" s="127">
        <v>1000.052</v>
      </c>
      <c r="N37" s="127">
        <v>1063.546</v>
      </c>
      <c r="O37" s="127">
        <v>1124.825</v>
      </c>
      <c r="P37" s="127">
        <v>1195.45</v>
      </c>
      <c r="Q37" s="127">
        <v>1244.252</v>
      </c>
      <c r="R37" s="127">
        <v>1293.421</v>
      </c>
      <c r="S37" s="401">
        <v>1337.538</v>
      </c>
      <c r="T37" s="401">
        <v>1384.699</v>
      </c>
      <c r="U37" s="401">
        <v>1435.781</v>
      </c>
      <c r="V37" s="127">
        <v>1491.127</v>
      </c>
      <c r="W37" s="401">
        <v>1535.28</v>
      </c>
      <c r="X37" s="401">
        <v>1532.549</v>
      </c>
      <c r="Y37" s="592">
        <f t="shared" si="0"/>
        <v>-0.17788286175812118</v>
      </c>
      <c r="Z37" s="110" t="s">
        <v>86</v>
      </c>
    </row>
    <row r="38" spans="1:26" ht="12.75" customHeight="1">
      <c r="A38" s="11"/>
      <c r="B38" s="13" t="s">
        <v>1</v>
      </c>
      <c r="C38" s="383"/>
      <c r="D38" s="383"/>
      <c r="E38" s="383"/>
      <c r="F38" s="384"/>
      <c r="G38" s="384"/>
      <c r="H38" s="70">
        <v>289.979</v>
      </c>
      <c r="I38" s="70">
        <v>263.181</v>
      </c>
      <c r="J38" s="70">
        <v>285.907</v>
      </c>
      <c r="K38" s="70">
        <v>284.022</v>
      </c>
      <c r="L38" s="70">
        <v>289.204</v>
      </c>
      <c r="M38" s="70">
        <v>288.678</v>
      </c>
      <c r="N38" s="70">
        <v>290</v>
      </c>
      <c r="O38" s="70">
        <v>300</v>
      </c>
      <c r="P38" s="70">
        <v>310</v>
      </c>
      <c r="Q38" s="70">
        <v>308</v>
      </c>
      <c r="R38" s="386">
        <v>299.809</v>
      </c>
      <c r="S38" s="70">
        <v>249.403</v>
      </c>
      <c r="T38" s="70">
        <v>253.234</v>
      </c>
      <c r="U38" s="70">
        <v>242.287</v>
      </c>
      <c r="V38" s="70">
        <f>248.774</f>
        <v>248.774</v>
      </c>
      <c r="W38" s="70">
        <f>263.112</f>
        <v>263.112</v>
      </c>
      <c r="X38" s="70">
        <f>282.196</f>
        <v>282.196</v>
      </c>
      <c r="Y38" s="630">
        <f t="shared" si="0"/>
        <v>7.253184955456234</v>
      </c>
      <c r="Z38" s="13" t="s">
        <v>1</v>
      </c>
    </row>
    <row r="39" spans="1:26" ht="12.75" customHeight="1">
      <c r="A39" s="11"/>
      <c r="B39" s="112" t="s">
        <v>66</v>
      </c>
      <c r="C39" s="405" t="s">
        <v>84</v>
      </c>
      <c r="D39" s="405" t="s">
        <v>84</v>
      </c>
      <c r="E39" s="405"/>
      <c r="F39" s="406"/>
      <c r="G39" s="406"/>
      <c r="H39" s="128">
        <v>2619.852</v>
      </c>
      <c r="I39" s="128">
        <v>2861.64</v>
      </c>
      <c r="J39" s="128">
        <v>3058.5110000000004</v>
      </c>
      <c r="K39" s="128">
        <v>3274.156</v>
      </c>
      <c r="L39" s="128">
        <v>3570.105</v>
      </c>
      <c r="M39" s="128">
        <v>3838.288</v>
      </c>
      <c r="N39" s="128">
        <v>4072.326</v>
      </c>
      <c r="O39" s="128">
        <v>4422.18</v>
      </c>
      <c r="P39" s="128">
        <v>4534.803</v>
      </c>
      <c r="Q39" s="406">
        <v>4600.14</v>
      </c>
      <c r="R39" s="406">
        <v>4700.343</v>
      </c>
      <c r="S39" s="406">
        <v>5400.44</v>
      </c>
      <c r="T39" s="406">
        <v>5772.745</v>
      </c>
      <c r="U39" s="406">
        <v>6140.992</v>
      </c>
      <c r="V39" s="128">
        <v>6472.156</v>
      </c>
      <c r="W39" s="406">
        <v>6796.629</v>
      </c>
      <c r="X39" s="406">
        <f>7093.964</f>
        <v>7093.964</v>
      </c>
      <c r="Y39" s="593">
        <f t="shared" si="0"/>
        <v>4.374742243544546</v>
      </c>
      <c r="Z39" s="112" t="s">
        <v>66</v>
      </c>
    </row>
    <row r="40" spans="1:26" ht="12.75" customHeight="1">
      <c r="A40" s="11"/>
      <c r="B40" s="124" t="s">
        <v>52</v>
      </c>
      <c r="C40" s="389">
        <v>40.786</v>
      </c>
      <c r="D40" s="389">
        <v>85.924</v>
      </c>
      <c r="E40" s="389">
        <v>119.731</v>
      </c>
      <c r="F40" s="390">
        <v>120.862</v>
      </c>
      <c r="G40" s="390">
        <v>120.146</v>
      </c>
      <c r="H40" s="390">
        <v>116.195</v>
      </c>
      <c r="I40" s="390">
        <v>116.243</v>
      </c>
      <c r="J40" s="390">
        <v>119.232</v>
      </c>
      <c r="K40" s="390">
        <v>124.909</v>
      </c>
      <c r="L40" s="390">
        <v>132.468</v>
      </c>
      <c r="M40" s="390">
        <v>140.372</v>
      </c>
      <c r="N40" s="390">
        <v>151.409</v>
      </c>
      <c r="O40" s="390">
        <v>158.936</v>
      </c>
      <c r="P40" s="390">
        <v>159.865</v>
      </c>
      <c r="Q40" s="390">
        <v>161.721</v>
      </c>
      <c r="R40" s="390">
        <v>166.869</v>
      </c>
      <c r="S40" s="390">
        <v>175.427</v>
      </c>
      <c r="T40" s="390">
        <v>187.442</v>
      </c>
      <c r="U40" s="390">
        <v>197.305</v>
      </c>
      <c r="V40" s="390">
        <v>207.513</v>
      </c>
      <c r="W40" s="390">
        <v>209.74</v>
      </c>
      <c r="X40" s="390">
        <v>205.338</v>
      </c>
      <c r="Y40" s="591">
        <f t="shared" si="0"/>
        <v>-2.098788976828459</v>
      </c>
      <c r="Z40" s="393" t="s">
        <v>52</v>
      </c>
    </row>
    <row r="41" spans="1:26" ht="12.75" customHeight="1">
      <c r="A41" s="11"/>
      <c r="B41" s="110" t="s">
        <v>83</v>
      </c>
      <c r="C41" s="400">
        <v>690</v>
      </c>
      <c r="D41" s="400">
        <v>1230</v>
      </c>
      <c r="E41" s="400">
        <v>1613.037</v>
      </c>
      <c r="F41" s="401">
        <v>1614.623</v>
      </c>
      <c r="G41" s="401">
        <v>1619.438</v>
      </c>
      <c r="H41" s="401">
        <v>1633.088</v>
      </c>
      <c r="I41" s="401">
        <v>1653.678</v>
      </c>
      <c r="J41" s="401">
        <v>1684.664</v>
      </c>
      <c r="K41" s="401">
        <v>1661.247</v>
      </c>
      <c r="L41" s="401">
        <v>1758.001</v>
      </c>
      <c r="M41" s="401">
        <v>1786.404</v>
      </c>
      <c r="N41" s="401">
        <v>1813.642</v>
      </c>
      <c r="O41" s="401">
        <v>1851.929</v>
      </c>
      <c r="P41" s="401">
        <v>1872.862</v>
      </c>
      <c r="Q41" s="401">
        <v>1899.767</v>
      </c>
      <c r="R41" s="401">
        <v>1933.66</v>
      </c>
      <c r="S41" s="401">
        <v>1977.922</v>
      </c>
      <c r="T41" s="401">
        <v>2028.909</v>
      </c>
      <c r="U41" s="401">
        <v>2084.193</v>
      </c>
      <c r="V41" s="401">
        <v>2154.837</v>
      </c>
      <c r="W41" s="401">
        <v>2197.193</v>
      </c>
      <c r="X41" s="401">
        <v>2244</v>
      </c>
      <c r="Y41" s="592">
        <f t="shared" si="0"/>
        <v>2.130308989697312</v>
      </c>
      <c r="Z41" s="110" t="s">
        <v>83</v>
      </c>
    </row>
    <row r="42" spans="1:26" ht="12.75" customHeight="1">
      <c r="A42" s="11"/>
      <c r="B42" s="13" t="s">
        <v>53</v>
      </c>
      <c r="C42" s="391">
        <v>1383.204</v>
      </c>
      <c r="D42" s="391">
        <v>2246.752</v>
      </c>
      <c r="E42" s="391">
        <v>2985.397</v>
      </c>
      <c r="F42" s="392">
        <v>3057.798</v>
      </c>
      <c r="G42" s="392">
        <v>3091.228</v>
      </c>
      <c r="H42" s="392">
        <v>3109.523</v>
      </c>
      <c r="I42" s="392">
        <v>3165.042</v>
      </c>
      <c r="J42" s="392">
        <v>3229.176</v>
      </c>
      <c r="K42" s="392">
        <v>3268.093</v>
      </c>
      <c r="L42" s="392">
        <v>3323.455</v>
      </c>
      <c r="M42" s="392">
        <v>3383.307</v>
      </c>
      <c r="N42" s="392">
        <v>3467.311</v>
      </c>
      <c r="O42" s="392">
        <v>3545.247</v>
      </c>
      <c r="P42" s="392">
        <v>3629.713</v>
      </c>
      <c r="Q42" s="392">
        <v>3700.951</v>
      </c>
      <c r="R42" s="392">
        <v>3753.89</v>
      </c>
      <c r="S42" s="392">
        <v>3811.351</v>
      </c>
      <c r="T42" s="392">
        <v>3861.442</v>
      </c>
      <c r="U42" s="392">
        <v>3900.014</v>
      </c>
      <c r="V42" s="392">
        <v>3955.787</v>
      </c>
      <c r="W42" s="392">
        <v>3989.811</v>
      </c>
      <c r="X42" s="392">
        <f>4009.602</f>
        <v>4009.602</v>
      </c>
      <c r="Y42" s="631">
        <f t="shared" si="0"/>
        <v>0.49603853415611354</v>
      </c>
      <c r="Z42" s="13" t="s">
        <v>53</v>
      </c>
    </row>
    <row r="43" spans="1:26" ht="12.75" customHeight="1">
      <c r="A43" s="11"/>
      <c r="B43" s="112" t="s">
        <v>94</v>
      </c>
      <c r="C43" s="405"/>
      <c r="D43" s="405"/>
      <c r="E43" s="405">
        <v>16.891</v>
      </c>
      <c r="F43" s="406">
        <v>17.328</v>
      </c>
      <c r="G43" s="406">
        <v>17.679</v>
      </c>
      <c r="H43" s="406">
        <v>17.767</v>
      </c>
      <c r="I43" s="406">
        <v>18.256</v>
      </c>
      <c r="J43" s="406">
        <v>18.82</v>
      </c>
      <c r="K43" s="406">
        <v>19.31</v>
      </c>
      <c r="L43" s="406">
        <v>19.926</v>
      </c>
      <c r="M43" s="406">
        <v>20.469</v>
      </c>
      <c r="N43" s="406">
        <v>21.15</v>
      </c>
      <c r="O43" s="406">
        <v>21.784</v>
      </c>
      <c r="P43" s="406">
        <v>22.626</v>
      </c>
      <c r="Q43" s="406">
        <v>23.265</v>
      </c>
      <c r="R43" s="406">
        <v>23.524</v>
      </c>
      <c r="S43" s="406">
        <v>23.935</v>
      </c>
      <c r="T43" s="406">
        <v>24.393</v>
      </c>
      <c r="U43" s="406">
        <v>24.293</v>
      </c>
      <c r="V43" s="406">
        <v>24.368</v>
      </c>
      <c r="W43" s="406">
        <v>25.462</v>
      </c>
      <c r="X43" s="406">
        <f>25.909</f>
        <v>25.909</v>
      </c>
      <c r="Y43" s="593">
        <f t="shared" si="0"/>
        <v>1.7555573010761094</v>
      </c>
      <c r="Z43" s="112" t="s">
        <v>94</v>
      </c>
    </row>
    <row r="44" spans="2:26" ht="27.75" customHeight="1">
      <c r="B44" s="872" t="s">
        <v>141</v>
      </c>
      <c r="C44" s="873"/>
      <c r="D44" s="873"/>
      <c r="E44" s="873"/>
      <c r="F44" s="873"/>
      <c r="G44" s="873"/>
      <c r="H44" s="873"/>
      <c r="I44" s="873"/>
      <c r="J44" s="873"/>
      <c r="K44" s="873"/>
      <c r="L44" s="873"/>
      <c r="M44" s="873"/>
      <c r="N44" s="873"/>
      <c r="O44" s="873"/>
      <c r="P44" s="873"/>
      <c r="Q44" s="873"/>
      <c r="R44" s="873"/>
      <c r="S44" s="873"/>
      <c r="T44" s="873"/>
      <c r="U44" s="873"/>
      <c r="V44" s="873"/>
      <c r="W44" s="873"/>
      <c r="X44" s="873"/>
      <c r="Y44" s="873"/>
      <c r="Z44" s="873"/>
    </row>
    <row r="45" spans="2:26" ht="12.75" customHeight="1">
      <c r="B45" s="874" t="s">
        <v>0</v>
      </c>
      <c r="C45" s="868"/>
      <c r="D45" s="868"/>
      <c r="E45" s="868"/>
      <c r="F45" s="868"/>
      <c r="G45" s="868"/>
      <c r="H45" s="868"/>
      <c r="I45" s="868"/>
      <c r="J45" s="868"/>
      <c r="K45" s="868"/>
      <c r="L45" s="868"/>
      <c r="M45" s="868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68"/>
      <c r="Y45" s="868"/>
      <c r="Z45" s="869"/>
    </row>
    <row r="46" spans="2:26" ht="12.75">
      <c r="B46" s="868" t="s">
        <v>190</v>
      </c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8"/>
      <c r="V46" s="868"/>
      <c r="W46" s="868"/>
      <c r="X46" s="868"/>
      <c r="Y46" s="868"/>
      <c r="Z46" s="869"/>
    </row>
    <row r="47" spans="2:26" ht="12.75">
      <c r="B47" s="868" t="s">
        <v>191</v>
      </c>
      <c r="C47" s="868"/>
      <c r="D47" s="868"/>
      <c r="E47" s="868"/>
      <c r="F47" s="868"/>
      <c r="G47" s="868"/>
      <c r="H47" s="868"/>
      <c r="I47" s="868"/>
      <c r="J47" s="868"/>
      <c r="K47" s="868"/>
      <c r="L47" s="868"/>
      <c r="M47" s="868"/>
      <c r="N47" s="868"/>
      <c r="O47" s="868"/>
      <c r="P47" s="868"/>
      <c r="Q47" s="868"/>
      <c r="R47" s="868"/>
      <c r="S47" s="868"/>
      <c r="T47" s="868"/>
      <c r="U47" s="868"/>
      <c r="V47" s="868"/>
      <c r="W47" s="868"/>
      <c r="X47" s="868"/>
      <c r="Y47" s="868"/>
      <c r="Z47" s="869"/>
    </row>
  </sheetData>
  <mergeCells count="6">
    <mergeCell ref="B46:Z46"/>
    <mergeCell ref="B47:Z47"/>
    <mergeCell ref="B2:Z2"/>
    <mergeCell ref="B3:Z3"/>
    <mergeCell ref="B44:Z44"/>
    <mergeCell ref="B45:Z45"/>
  </mergeCells>
  <printOptions horizontalCentered="1"/>
  <pageMargins left="0.6692913385826772" right="0.4724409448818898" top="0.4724409448818898" bottom="0.2755905511811024" header="0.31496062992125984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1"/>
  <dimension ref="A1:Z47"/>
  <sheetViews>
    <sheetView workbookViewId="0" topLeftCell="A1">
      <selection activeCell="P28" sqref="P28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4" width="6.7109375" style="2" hidden="1" customWidth="1"/>
    <col min="5" max="5" width="6.7109375" style="2" customWidth="1"/>
    <col min="6" max="9" width="6.7109375" style="2" hidden="1" customWidth="1"/>
    <col min="10" max="10" width="6.7109375" style="2" customWidth="1"/>
    <col min="11" max="12" width="6.7109375" style="2" hidden="1" customWidth="1"/>
    <col min="13" max="13" width="6.57421875" style="2" hidden="1" customWidth="1"/>
    <col min="14" max="14" width="6.7109375" style="2" hidden="1" customWidth="1"/>
    <col min="15" max="20" width="6.7109375" style="2" customWidth="1"/>
    <col min="21" max="24" width="7.28125" style="2" customWidth="1"/>
    <col min="25" max="25" width="7.00390625" style="4" customWidth="1"/>
    <col min="26" max="26" width="4.00390625" style="4" customWidth="1"/>
    <col min="27" max="16384" width="9.140625" style="4" customWidth="1"/>
  </cols>
  <sheetData>
    <row r="1" spans="2:26" ht="14.25" customHeight="1">
      <c r="B1" s="875"/>
      <c r="C1" s="875"/>
      <c r="D1" s="262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T1" s="61"/>
      <c r="Z1" s="61" t="s">
        <v>210</v>
      </c>
    </row>
    <row r="2" spans="2:26" s="125" customFormat="1" ht="30" customHeight="1">
      <c r="B2" s="866" t="s">
        <v>16</v>
      </c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</row>
    <row r="3" spans="2:26" ht="15" customHeight="1">
      <c r="B3" s="876" t="s">
        <v>152</v>
      </c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876"/>
      <c r="Q3" s="876"/>
      <c r="R3" s="876"/>
      <c r="S3" s="876"/>
      <c r="T3" s="876"/>
      <c r="U3" s="876"/>
      <c r="V3" s="876"/>
      <c r="W3" s="876"/>
      <c r="X3" s="876"/>
      <c r="Y3" s="876"/>
      <c r="Z3" s="876"/>
    </row>
    <row r="4" spans="2:26" ht="12.75" customHeight="1">
      <c r="B4" s="5"/>
      <c r="C4" s="5"/>
      <c r="E4" s="30"/>
      <c r="F4" s="30"/>
      <c r="G4" s="30"/>
      <c r="H4" s="30"/>
      <c r="I4" s="30"/>
      <c r="J4" s="33"/>
      <c r="K4" s="33"/>
      <c r="L4" s="33"/>
      <c r="M4" s="33"/>
      <c r="N4" s="33"/>
      <c r="O4" s="33"/>
      <c r="W4" s="52"/>
      <c r="X4" s="52" t="s">
        <v>5</v>
      </c>
      <c r="Z4" s="63"/>
    </row>
    <row r="5" spans="2:26" ht="19.5" customHeight="1">
      <c r="B5" s="5"/>
      <c r="C5" s="282">
        <v>1970</v>
      </c>
      <c r="D5" s="283">
        <v>1980</v>
      </c>
      <c r="E5" s="398">
        <v>1990</v>
      </c>
      <c r="F5" s="283">
        <v>1991</v>
      </c>
      <c r="G5" s="283">
        <v>1992</v>
      </c>
      <c r="H5" s="283">
        <v>1993</v>
      </c>
      <c r="I5" s="283">
        <v>1994</v>
      </c>
      <c r="J5" s="283">
        <v>1995</v>
      </c>
      <c r="K5" s="283">
        <v>1996</v>
      </c>
      <c r="L5" s="283">
        <v>1997</v>
      </c>
      <c r="M5" s="283">
        <v>1998</v>
      </c>
      <c r="N5" s="283">
        <v>1999</v>
      </c>
      <c r="O5" s="283">
        <v>2000</v>
      </c>
      <c r="P5" s="283">
        <v>2001</v>
      </c>
      <c r="Q5" s="283">
        <v>2002</v>
      </c>
      <c r="R5" s="283">
        <v>2003</v>
      </c>
      <c r="S5" s="283">
        <v>2004</v>
      </c>
      <c r="T5" s="283">
        <v>2005</v>
      </c>
      <c r="U5" s="283">
        <v>2006</v>
      </c>
      <c r="V5" s="283">
        <v>2007</v>
      </c>
      <c r="W5" s="283">
        <v>2008</v>
      </c>
      <c r="X5" s="283">
        <v>2009</v>
      </c>
      <c r="Y5" s="394" t="s">
        <v>229</v>
      </c>
      <c r="Z5" s="9"/>
    </row>
    <row r="6" spans="2:26" ht="9.75" customHeight="1">
      <c r="B6" s="5"/>
      <c r="C6" s="81"/>
      <c r="D6" s="82"/>
      <c r="E6" s="413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395" t="s">
        <v>132</v>
      </c>
      <c r="Z6" s="9"/>
    </row>
    <row r="7" spans="2:26" ht="12.75" customHeight="1">
      <c r="B7" s="113" t="s">
        <v>40</v>
      </c>
      <c r="C7" s="632"/>
      <c r="D7" s="633"/>
      <c r="E7" s="583">
        <v>738.17</v>
      </c>
      <c r="F7" s="551"/>
      <c r="G7" s="551"/>
      <c r="H7" s="551"/>
      <c r="I7" s="551"/>
      <c r="J7" s="551">
        <v>752.923</v>
      </c>
      <c r="K7" s="551">
        <v>756.6290000000001</v>
      </c>
      <c r="L7" s="551">
        <v>754.73</v>
      </c>
      <c r="M7" s="551">
        <v>757.402</v>
      </c>
      <c r="N7" s="551">
        <v>765.195</v>
      </c>
      <c r="O7" s="551">
        <v>776.8420000000001</v>
      </c>
      <c r="P7" s="551">
        <v>784.0239999999999</v>
      </c>
      <c r="Q7" s="551">
        <v>793.628</v>
      </c>
      <c r="R7" s="551">
        <v>800.0519999999999</v>
      </c>
      <c r="S7" s="551">
        <v>795.0030000000002</v>
      </c>
      <c r="T7" s="551">
        <v>790.318</v>
      </c>
      <c r="U7" s="551">
        <v>790.8740000000001</v>
      </c>
      <c r="V7" s="551">
        <v>797.5680000000001</v>
      </c>
      <c r="W7" s="551">
        <v>816.697</v>
      </c>
      <c r="X7" s="551">
        <v>823.879</v>
      </c>
      <c r="Y7" s="627">
        <f aca="true" t="shared" si="0" ref="Y7:Y43">X7/W7*100-100</f>
        <v>0.8793959081519773</v>
      </c>
      <c r="Z7" s="113" t="s">
        <v>40</v>
      </c>
    </row>
    <row r="8" spans="2:26" ht="12.75" customHeight="1">
      <c r="B8" s="110" t="s">
        <v>71</v>
      </c>
      <c r="C8" s="634">
        <v>331.638</v>
      </c>
      <c r="D8" s="635">
        <v>435.08299999999997</v>
      </c>
      <c r="E8" s="584">
        <v>480.081</v>
      </c>
      <c r="F8" s="553">
        <v>476.17300000000006</v>
      </c>
      <c r="G8" s="553">
        <v>477.5940000000001</v>
      </c>
      <c r="H8" s="553">
        <v>481.74099999999993</v>
      </c>
      <c r="I8" s="552">
        <v>481.918</v>
      </c>
      <c r="J8" s="552">
        <v>483.66799999999995</v>
      </c>
      <c r="K8" s="552">
        <v>491.79799999999994</v>
      </c>
      <c r="L8" s="552">
        <v>493.44199999999995</v>
      </c>
      <c r="M8" s="552">
        <v>503.5</v>
      </c>
      <c r="N8" s="552">
        <v>514.2429999999999</v>
      </c>
      <c r="O8" s="552">
        <v>523.2959999999999</v>
      </c>
      <c r="P8" s="552">
        <v>530.802</v>
      </c>
      <c r="Q8" s="552">
        <v>536.439</v>
      </c>
      <c r="R8" s="552">
        <v>542.2370000000001</v>
      </c>
      <c r="S8" s="552">
        <v>547.993</v>
      </c>
      <c r="T8" s="552">
        <v>548.4979999999999</v>
      </c>
      <c r="U8" s="552">
        <v>558.311</v>
      </c>
      <c r="V8" s="552">
        <v>566.136</v>
      </c>
      <c r="W8" s="552">
        <v>571.8739999999999</v>
      </c>
      <c r="X8" s="552">
        <v>579.756</v>
      </c>
      <c r="Y8" s="585">
        <f t="shared" si="0"/>
        <v>1.3782756341431934</v>
      </c>
      <c r="Z8" s="110" t="s">
        <v>71</v>
      </c>
    </row>
    <row r="9" spans="2:26" ht="12.75" customHeight="1">
      <c r="B9" s="112" t="s">
        <v>131</v>
      </c>
      <c r="C9" s="634"/>
      <c r="D9" s="635"/>
      <c r="E9" s="585">
        <v>258.08900000000006</v>
      </c>
      <c r="F9" s="552"/>
      <c r="G9" s="552"/>
      <c r="H9" s="552"/>
      <c r="I9" s="552"/>
      <c r="J9" s="552">
        <v>269.255</v>
      </c>
      <c r="K9" s="552">
        <v>264.8310000000002</v>
      </c>
      <c r="L9" s="552">
        <v>261.28800000000007</v>
      </c>
      <c r="M9" s="552">
        <v>253.90200000000004</v>
      </c>
      <c r="N9" s="552">
        <v>250.95199999999988</v>
      </c>
      <c r="O9" s="552">
        <v>253.54600000000016</v>
      </c>
      <c r="P9" s="552">
        <v>253.22199999999987</v>
      </c>
      <c r="Q9" s="552">
        <v>257.1890000000001</v>
      </c>
      <c r="R9" s="552">
        <v>257.815</v>
      </c>
      <c r="S9" s="552">
        <v>247.01</v>
      </c>
      <c r="T9" s="552">
        <v>241.82</v>
      </c>
      <c r="U9" s="552">
        <v>232.5630000000001</v>
      </c>
      <c r="V9" s="552">
        <v>231.43200000000013</v>
      </c>
      <c r="W9" s="552">
        <v>244.8230000000001</v>
      </c>
      <c r="X9" s="552">
        <v>244.12300000000005</v>
      </c>
      <c r="Y9" s="585">
        <f t="shared" si="0"/>
        <v>-0.2859208489398668</v>
      </c>
      <c r="Z9" s="112" t="s">
        <v>131</v>
      </c>
    </row>
    <row r="10" spans="1:26" ht="12.75" customHeight="1">
      <c r="A10" s="11"/>
      <c r="B10" s="13" t="s">
        <v>72</v>
      </c>
      <c r="C10" s="636">
        <v>16.169</v>
      </c>
      <c r="D10" s="637">
        <v>17.176</v>
      </c>
      <c r="E10" s="586">
        <v>15.644</v>
      </c>
      <c r="F10" s="554">
        <v>15.378</v>
      </c>
      <c r="G10" s="554">
        <v>15.004</v>
      </c>
      <c r="H10" s="554">
        <v>14.982</v>
      </c>
      <c r="I10" s="554">
        <v>14.85</v>
      </c>
      <c r="J10" s="554">
        <v>14.646</v>
      </c>
      <c r="K10" s="554">
        <v>14.684</v>
      </c>
      <c r="L10" s="554">
        <v>14.667</v>
      </c>
      <c r="M10" s="554">
        <v>14.588</v>
      </c>
      <c r="N10" s="554">
        <v>14.673</v>
      </c>
      <c r="O10" s="554">
        <v>14.722</v>
      </c>
      <c r="P10" s="554">
        <v>14.676</v>
      </c>
      <c r="Q10" s="554">
        <v>14.769</v>
      </c>
      <c r="R10" s="554">
        <v>15.06</v>
      </c>
      <c r="S10" s="554">
        <v>15.328</v>
      </c>
      <c r="T10" s="554">
        <v>15.391</v>
      </c>
      <c r="U10" s="554">
        <v>15.329</v>
      </c>
      <c r="V10" s="554">
        <v>15.479</v>
      </c>
      <c r="W10" s="554">
        <v>15.992</v>
      </c>
      <c r="X10" s="554">
        <v>16.061</v>
      </c>
      <c r="Y10" s="586">
        <f t="shared" si="0"/>
        <v>0.4314657328664282</v>
      </c>
      <c r="Z10" s="13" t="s">
        <v>72</v>
      </c>
    </row>
    <row r="11" spans="1:26" ht="12.75" customHeight="1">
      <c r="A11" s="11"/>
      <c r="B11" s="110" t="s">
        <v>54</v>
      </c>
      <c r="C11" s="638"/>
      <c r="D11" s="639">
        <v>21</v>
      </c>
      <c r="E11" s="587">
        <f>33.8+0.8</f>
        <v>34.599999999999994</v>
      </c>
      <c r="F11" s="555">
        <f>35.6+0.8</f>
        <v>36.4</v>
      </c>
      <c r="G11" s="555">
        <f>37.1+0.8</f>
        <v>37.9</v>
      </c>
      <c r="H11" s="555">
        <f>39.3+0.8</f>
        <v>40.099999999999994</v>
      </c>
      <c r="I11" s="555">
        <v>41.432</v>
      </c>
      <c r="J11" s="555">
        <v>41.839</v>
      </c>
      <c r="K11" s="555">
        <v>41.642</v>
      </c>
      <c r="L11" s="555">
        <v>41.202</v>
      </c>
      <c r="M11" s="555">
        <v>42.264</v>
      </c>
      <c r="N11" s="555">
        <v>42.721</v>
      </c>
      <c r="O11" s="555">
        <v>43.005</v>
      </c>
      <c r="P11" s="555">
        <v>43.566</v>
      </c>
      <c r="Q11" s="555">
        <v>43.86</v>
      </c>
      <c r="R11" s="425">
        <v>44.3</v>
      </c>
      <c r="S11" s="555">
        <v>36.6</v>
      </c>
      <c r="T11" s="425">
        <v>37.8</v>
      </c>
      <c r="U11" s="555">
        <v>22.8</v>
      </c>
      <c r="V11" s="555">
        <v>23.9</v>
      </c>
      <c r="W11" s="555">
        <v>25.2</v>
      </c>
      <c r="X11" s="555">
        <v>25.1</v>
      </c>
      <c r="Y11" s="587">
        <f t="shared" si="0"/>
        <v>-0.39682539682537765</v>
      </c>
      <c r="Z11" s="110" t="s">
        <v>54</v>
      </c>
    </row>
    <row r="12" spans="1:26" ht="12.75" customHeight="1">
      <c r="A12" s="11"/>
      <c r="B12" s="13" t="s">
        <v>56</v>
      </c>
      <c r="C12" s="640"/>
      <c r="D12" s="641">
        <v>20.3</v>
      </c>
      <c r="E12" s="588">
        <v>20.474</v>
      </c>
      <c r="F12" s="556"/>
      <c r="G12" s="556"/>
      <c r="H12" s="556">
        <v>19.203</v>
      </c>
      <c r="I12" s="556">
        <f>19.071+0.685</f>
        <v>19.756</v>
      </c>
      <c r="J12" s="556">
        <f>19.756+0.718</f>
        <v>20.474</v>
      </c>
      <c r="K12" s="556">
        <f>20.489+0.711</f>
        <v>21.2</v>
      </c>
      <c r="L12" s="556">
        <f>20.755+0.721</f>
        <v>21.476</v>
      </c>
      <c r="M12" s="556">
        <f>19.96+0.708</f>
        <v>20.668</v>
      </c>
      <c r="N12" s="556">
        <f>18.981+0.721</f>
        <v>19.702</v>
      </c>
      <c r="O12" s="556">
        <f>18.259+0.727</f>
        <v>18.986</v>
      </c>
      <c r="P12" s="556">
        <f>18.384+0.739</f>
        <v>19.123</v>
      </c>
      <c r="Q12" s="556">
        <f>21.34+0.726</f>
        <v>22.066</v>
      </c>
      <c r="R12" s="556">
        <f>20.627+0.723</f>
        <v>21.349999999999998</v>
      </c>
      <c r="S12" s="556">
        <f>19.948+0.726</f>
        <v>20.674</v>
      </c>
      <c r="T12" s="556">
        <f>20.134+0.719</f>
        <v>20.853</v>
      </c>
      <c r="U12" s="556">
        <f>20.331+0.744</f>
        <v>21.075</v>
      </c>
      <c r="V12" s="556">
        <f>20.416+0.74</f>
        <v>21.156</v>
      </c>
      <c r="W12" s="556">
        <f>20.375+0.738</f>
        <v>21.113</v>
      </c>
      <c r="X12" s="556">
        <f>19.943+0.733</f>
        <v>20.676000000000002</v>
      </c>
      <c r="Y12" s="588">
        <f t="shared" si="0"/>
        <v>-2.0698148060436523</v>
      </c>
      <c r="Z12" s="13" t="s">
        <v>56</v>
      </c>
    </row>
    <row r="13" spans="1:26" ht="12.75" customHeight="1">
      <c r="A13" s="11"/>
      <c r="B13" s="110" t="s">
        <v>67</v>
      </c>
      <c r="C13" s="638">
        <v>5.039</v>
      </c>
      <c r="D13" s="639">
        <v>7.351</v>
      </c>
      <c r="E13" s="587">
        <v>8.109</v>
      </c>
      <c r="F13" s="555">
        <v>9.989</v>
      </c>
      <c r="G13" s="555">
        <v>11.259</v>
      </c>
      <c r="H13" s="555">
        <v>12.976</v>
      </c>
      <c r="I13" s="555">
        <v>13.614</v>
      </c>
      <c r="J13" s="555">
        <v>13.669</v>
      </c>
      <c r="K13" s="555">
        <v>13.786</v>
      </c>
      <c r="L13" s="555">
        <v>13.779</v>
      </c>
      <c r="M13" s="555">
        <v>13.911</v>
      </c>
      <c r="N13" s="555">
        <v>13.909</v>
      </c>
      <c r="O13" s="555">
        <v>13.968</v>
      </c>
      <c r="P13" s="555">
        <v>13.954</v>
      </c>
      <c r="Q13" s="555">
        <v>13.986</v>
      </c>
      <c r="R13" s="555">
        <v>14.132</v>
      </c>
      <c r="S13" s="555">
        <v>14.191</v>
      </c>
      <c r="T13" s="555">
        <v>14.402</v>
      </c>
      <c r="U13" s="555">
        <v>14.552</v>
      </c>
      <c r="V13" s="555">
        <v>14.482</v>
      </c>
      <c r="W13" s="555">
        <v>14.452</v>
      </c>
      <c r="X13" s="555">
        <f>14.51</f>
        <v>14.51</v>
      </c>
      <c r="Y13" s="587">
        <f t="shared" si="0"/>
        <v>0.4013285358427794</v>
      </c>
      <c r="Z13" s="110" t="s">
        <v>67</v>
      </c>
    </row>
    <row r="14" spans="1:26" ht="12.75" customHeight="1">
      <c r="A14" s="11"/>
      <c r="B14" s="13" t="s">
        <v>73</v>
      </c>
      <c r="C14" s="640">
        <v>63.939</v>
      </c>
      <c r="D14" s="641">
        <v>95.758</v>
      </c>
      <c r="E14" s="588">
        <v>100.37</v>
      </c>
      <c r="F14" s="556">
        <v>89.59</v>
      </c>
      <c r="G14" s="556">
        <v>88.433</v>
      </c>
      <c r="H14" s="556">
        <v>88.746</v>
      </c>
      <c r="I14" s="556">
        <v>87.421</v>
      </c>
      <c r="J14" s="556">
        <v>85.434</v>
      </c>
      <c r="K14" s="556">
        <v>84.654</v>
      </c>
      <c r="L14" s="556">
        <v>75.453</v>
      </c>
      <c r="M14" s="556">
        <v>75.594</v>
      </c>
      <c r="N14" s="556">
        <v>76.63</v>
      </c>
      <c r="O14" s="556">
        <v>77.183</v>
      </c>
      <c r="P14" s="556">
        <v>77.089</v>
      </c>
      <c r="Q14" s="556">
        <v>77.06</v>
      </c>
      <c r="R14" s="556">
        <v>76.664</v>
      </c>
      <c r="S14" s="556">
        <v>76.028</v>
      </c>
      <c r="T14" s="556">
        <v>75.203</v>
      </c>
      <c r="U14" s="556">
        <v>75.085</v>
      </c>
      <c r="V14" s="556">
        <v>75.068</v>
      </c>
      <c r="W14" s="556">
        <v>75.27</v>
      </c>
      <c r="X14" s="556">
        <v>76.433</v>
      </c>
      <c r="Y14" s="588">
        <f t="shared" si="0"/>
        <v>1.5451042912183084</v>
      </c>
      <c r="Z14" s="13" t="s">
        <v>73</v>
      </c>
    </row>
    <row r="15" spans="1:26" ht="12.75" customHeight="1">
      <c r="A15" s="11"/>
      <c r="B15" s="110" t="s">
        <v>57</v>
      </c>
      <c r="C15" s="638"/>
      <c r="D15" s="639">
        <v>6.4</v>
      </c>
      <c r="E15" s="587">
        <v>7.9</v>
      </c>
      <c r="F15" s="555">
        <v>8.6</v>
      </c>
      <c r="G15" s="555">
        <v>8.4</v>
      </c>
      <c r="H15" s="555">
        <v>8.7</v>
      </c>
      <c r="I15" s="555">
        <v>6.3</v>
      </c>
      <c r="J15" s="555">
        <v>7</v>
      </c>
      <c r="K15" s="555">
        <v>6.7</v>
      </c>
      <c r="L15" s="555">
        <v>6.5</v>
      </c>
      <c r="M15" s="555">
        <v>6.3</v>
      </c>
      <c r="N15" s="555">
        <v>6.2</v>
      </c>
      <c r="O15" s="555">
        <v>6.1</v>
      </c>
      <c r="P15" s="555">
        <v>5.5</v>
      </c>
      <c r="Q15" s="555">
        <v>5.3</v>
      </c>
      <c r="R15" s="555">
        <v>5.4</v>
      </c>
      <c r="S15" s="555">
        <v>5.3</v>
      </c>
      <c r="T15" s="555">
        <v>5.194</v>
      </c>
      <c r="U15" s="425">
        <v>5.378</v>
      </c>
      <c r="V15" s="555">
        <v>4.31</v>
      </c>
      <c r="W15" s="555">
        <v>4.292</v>
      </c>
      <c r="X15" s="555">
        <f>4.1</f>
        <v>4.1</v>
      </c>
      <c r="Y15" s="587">
        <f t="shared" si="0"/>
        <v>-4.473438956197583</v>
      </c>
      <c r="Z15" s="110" t="s">
        <v>57</v>
      </c>
    </row>
    <row r="16" spans="1:26" ht="12.75" customHeight="1">
      <c r="A16" s="11"/>
      <c r="B16" s="13" t="s">
        <v>76</v>
      </c>
      <c r="C16" s="640">
        <v>2.012</v>
      </c>
      <c r="D16" s="641">
        <v>2.722</v>
      </c>
      <c r="E16" s="588">
        <v>4.047</v>
      </c>
      <c r="F16" s="556">
        <v>4.388</v>
      </c>
      <c r="G16" s="556">
        <v>4.557</v>
      </c>
      <c r="H16" s="556">
        <v>4.835</v>
      </c>
      <c r="I16" s="556">
        <v>4.985</v>
      </c>
      <c r="J16" s="556">
        <v>5.282</v>
      </c>
      <c r="K16" s="556">
        <v>5.535</v>
      </c>
      <c r="L16" s="556">
        <v>5.845</v>
      </c>
      <c r="M16" s="556">
        <v>6.096</v>
      </c>
      <c r="N16" s="556">
        <v>6.564</v>
      </c>
      <c r="O16" s="556">
        <v>6.957</v>
      </c>
      <c r="P16" s="556">
        <v>7.084</v>
      </c>
      <c r="Q16" s="556">
        <v>7.09</v>
      </c>
      <c r="R16" s="556">
        <v>7.392</v>
      </c>
      <c r="S16" s="556">
        <v>7.43</v>
      </c>
      <c r="T16" s="556">
        <v>7.625</v>
      </c>
      <c r="U16" s="556">
        <v>7.997</v>
      </c>
      <c r="V16" s="556">
        <v>8.451</v>
      </c>
      <c r="W16" s="556">
        <v>8.911</v>
      </c>
      <c r="X16" s="556">
        <f>8.556</f>
        <v>8.556</v>
      </c>
      <c r="Y16" s="588">
        <f t="shared" si="0"/>
        <v>-3.983840197508698</v>
      </c>
      <c r="Z16" s="13" t="s">
        <v>76</v>
      </c>
    </row>
    <row r="17" spans="1:26" ht="12.75" customHeight="1">
      <c r="A17" s="11"/>
      <c r="B17" s="110" t="s">
        <v>68</v>
      </c>
      <c r="C17" s="638">
        <v>10.546</v>
      </c>
      <c r="D17" s="639">
        <v>18.011</v>
      </c>
      <c r="E17" s="587">
        <v>21.43</v>
      </c>
      <c r="F17" s="555">
        <v>22.08</v>
      </c>
      <c r="G17" s="555">
        <v>22.674</v>
      </c>
      <c r="H17" s="555">
        <v>23.206</v>
      </c>
      <c r="I17" s="555">
        <v>23.54</v>
      </c>
      <c r="J17" s="555">
        <v>24.6</v>
      </c>
      <c r="K17" s="555">
        <v>25.096</v>
      </c>
      <c r="L17" s="555">
        <v>25.622</v>
      </c>
      <c r="M17" s="555">
        <v>26.32</v>
      </c>
      <c r="N17" s="555">
        <v>26.769</v>
      </c>
      <c r="O17" s="555">
        <v>27.037</v>
      </c>
      <c r="P17" s="555">
        <v>27.115</v>
      </c>
      <c r="Q17" s="555">
        <v>27.247</v>
      </c>
      <c r="R17" s="555">
        <v>27.139</v>
      </c>
      <c r="S17" s="555">
        <v>26.78</v>
      </c>
      <c r="T17" s="555">
        <v>26.829</v>
      </c>
      <c r="U17" s="555">
        <v>26.938</v>
      </c>
      <c r="V17" s="555">
        <v>27.102</v>
      </c>
      <c r="W17" s="555">
        <v>27.186</v>
      </c>
      <c r="X17" s="555">
        <v>27.324</v>
      </c>
      <c r="Y17" s="587">
        <f t="shared" si="0"/>
        <v>0.5076142131979822</v>
      </c>
      <c r="Z17" s="110" t="s">
        <v>68</v>
      </c>
    </row>
    <row r="18" spans="1:26" ht="12.75" customHeight="1">
      <c r="A18" s="11"/>
      <c r="B18" s="13" t="s">
        <v>74</v>
      </c>
      <c r="C18" s="640">
        <v>30.728</v>
      </c>
      <c r="D18" s="641">
        <v>42.631</v>
      </c>
      <c r="E18" s="588">
        <v>45.767</v>
      </c>
      <c r="F18" s="556">
        <v>46.604</v>
      </c>
      <c r="G18" s="556">
        <v>47.18</v>
      </c>
      <c r="H18" s="556">
        <v>47.028</v>
      </c>
      <c r="I18" s="556">
        <v>47.088</v>
      </c>
      <c r="J18" s="556">
        <v>47.375</v>
      </c>
      <c r="K18" s="556">
        <v>48.405</v>
      </c>
      <c r="L18" s="556">
        <v>50.035</v>
      </c>
      <c r="M18" s="556">
        <v>51.805</v>
      </c>
      <c r="N18" s="556">
        <v>53.54</v>
      </c>
      <c r="O18" s="556">
        <v>54.732</v>
      </c>
      <c r="P18" s="556">
        <v>56.146</v>
      </c>
      <c r="Q18" s="556">
        <v>56.953</v>
      </c>
      <c r="R18" s="556">
        <v>55.993</v>
      </c>
      <c r="S18" s="556">
        <v>56.957</v>
      </c>
      <c r="T18" s="556">
        <v>58.248</v>
      </c>
      <c r="U18" s="556">
        <v>59.105</v>
      </c>
      <c r="V18" s="556">
        <v>61.039</v>
      </c>
      <c r="W18" s="556">
        <v>62.196</v>
      </c>
      <c r="X18" s="556">
        <v>62.663</v>
      </c>
      <c r="Y18" s="588">
        <f t="shared" si="0"/>
        <v>0.7508521448324643</v>
      </c>
      <c r="Z18" s="13" t="s">
        <v>74</v>
      </c>
    </row>
    <row r="19" spans="1:26" ht="12.75" customHeight="1">
      <c r="A19" s="11"/>
      <c r="B19" s="110" t="s">
        <v>75</v>
      </c>
      <c r="C19" s="638">
        <v>41</v>
      </c>
      <c r="D19" s="639">
        <v>59</v>
      </c>
      <c r="E19" s="587">
        <v>73.7</v>
      </c>
      <c r="F19" s="555">
        <v>76.3</v>
      </c>
      <c r="G19" s="555">
        <v>75.9</v>
      </c>
      <c r="H19" s="555">
        <v>77.7</v>
      </c>
      <c r="I19" s="555">
        <v>78.7</v>
      </c>
      <c r="J19" s="555">
        <v>81.8</v>
      </c>
      <c r="K19" s="555">
        <v>82.1</v>
      </c>
      <c r="L19" s="555">
        <v>82</v>
      </c>
      <c r="M19" s="555">
        <v>84.961</v>
      </c>
      <c r="N19" s="555">
        <v>85.668</v>
      </c>
      <c r="O19" s="555">
        <v>85.749</v>
      </c>
      <c r="P19" s="555">
        <v>86.954</v>
      </c>
      <c r="Q19" s="555">
        <v>85.876</v>
      </c>
      <c r="R19" s="555">
        <v>87.101</v>
      </c>
      <c r="S19" s="555">
        <v>88.417</v>
      </c>
      <c r="T19" s="555">
        <v>90.055</v>
      </c>
      <c r="U19" s="555">
        <v>92.152</v>
      </c>
      <c r="V19" s="555">
        <v>94.392</v>
      </c>
      <c r="W19" s="555">
        <v>92.874</v>
      </c>
      <c r="X19" s="555">
        <f>95.77</f>
        <v>95.77</v>
      </c>
      <c r="Y19" s="587">
        <f t="shared" si="0"/>
        <v>3.1182031569653645</v>
      </c>
      <c r="Z19" s="110" t="s">
        <v>75</v>
      </c>
    </row>
    <row r="20" spans="1:26" ht="12.75" customHeight="1">
      <c r="A20" s="11"/>
      <c r="B20" s="13" t="s">
        <v>77</v>
      </c>
      <c r="C20" s="640">
        <v>32.899</v>
      </c>
      <c r="D20" s="641">
        <v>58.149</v>
      </c>
      <c r="E20" s="588">
        <v>77.731</v>
      </c>
      <c r="F20" s="556">
        <v>78</v>
      </c>
      <c r="G20" s="556">
        <v>78.179</v>
      </c>
      <c r="H20" s="556">
        <v>76.974</v>
      </c>
      <c r="I20" s="556">
        <v>76.076</v>
      </c>
      <c r="J20" s="556">
        <v>75.023</v>
      </c>
      <c r="K20" s="556">
        <v>78.183</v>
      </c>
      <c r="L20" s="556">
        <v>84.177</v>
      </c>
      <c r="M20" s="556">
        <v>84.822</v>
      </c>
      <c r="N20" s="556">
        <v>85.762</v>
      </c>
      <c r="O20" s="556">
        <v>87.956</v>
      </c>
      <c r="P20" s="556">
        <v>89.858</v>
      </c>
      <c r="Q20" s="556">
        <v>91.716</v>
      </c>
      <c r="R20" s="556">
        <v>92.701</v>
      </c>
      <c r="S20" s="556">
        <v>92.874</v>
      </c>
      <c r="T20" s="556">
        <v>94.437</v>
      </c>
      <c r="U20" s="556">
        <v>96.099</v>
      </c>
      <c r="V20" s="556">
        <v>96.419</v>
      </c>
      <c r="W20" s="556">
        <v>97.597</v>
      </c>
      <c r="X20" s="556">
        <v>98.641</v>
      </c>
      <c r="Y20" s="588">
        <f t="shared" si="0"/>
        <v>1.0697050114245314</v>
      </c>
      <c r="Z20" s="13" t="s">
        <v>77</v>
      </c>
    </row>
    <row r="21" spans="1:26" ht="12.75" customHeight="1">
      <c r="A21" s="11"/>
      <c r="B21" s="110" t="s">
        <v>55</v>
      </c>
      <c r="C21" s="638"/>
      <c r="D21" s="639">
        <v>1.6</v>
      </c>
      <c r="E21" s="587">
        <v>2.308</v>
      </c>
      <c r="F21" s="555">
        <v>2.176</v>
      </c>
      <c r="G21" s="555">
        <v>2.371</v>
      </c>
      <c r="H21" s="555">
        <v>2.438</v>
      </c>
      <c r="I21" s="555">
        <v>2.546</v>
      </c>
      <c r="J21" s="555">
        <v>2.67</v>
      </c>
      <c r="K21" s="555">
        <v>2.801</v>
      </c>
      <c r="L21" s="555">
        <v>2.8</v>
      </c>
      <c r="M21" s="555">
        <v>2.754</v>
      </c>
      <c r="N21" s="555">
        <v>2.835</v>
      </c>
      <c r="O21" s="555">
        <v>2.949</v>
      </c>
      <c r="P21" s="555">
        <v>3.003</v>
      </c>
      <c r="Q21" s="555">
        <v>2.997</v>
      </c>
      <c r="R21" s="555">
        <v>3.275</v>
      </c>
      <c r="S21" s="555">
        <v>3.199</v>
      </c>
      <c r="T21" s="555">
        <v>3.217</v>
      </c>
      <c r="U21" s="555">
        <v>3.221</v>
      </c>
      <c r="V21" s="555">
        <v>3.292</v>
      </c>
      <c r="W21" s="555">
        <v>3.402</v>
      </c>
      <c r="X21" s="555">
        <f>3.449</f>
        <v>3.449</v>
      </c>
      <c r="Y21" s="587">
        <f t="shared" si="0"/>
        <v>1.3815402704291557</v>
      </c>
      <c r="Z21" s="110" t="s">
        <v>55</v>
      </c>
    </row>
    <row r="22" spans="1:26" ht="12.75" customHeight="1">
      <c r="A22" s="11"/>
      <c r="B22" s="13" t="s">
        <v>59</v>
      </c>
      <c r="C22" s="640"/>
      <c r="D22" s="641"/>
      <c r="E22" s="588">
        <v>12.138</v>
      </c>
      <c r="F22" s="556"/>
      <c r="G22" s="556"/>
      <c r="H22" s="556"/>
      <c r="I22" s="556"/>
      <c r="J22" s="556">
        <v>16.465</v>
      </c>
      <c r="K22" s="556">
        <v>17.275</v>
      </c>
      <c r="L22" s="556">
        <v>18.558</v>
      </c>
      <c r="M22" s="556">
        <v>11.505</v>
      </c>
      <c r="N22" s="556">
        <v>11.556</v>
      </c>
      <c r="O22" s="556">
        <v>11.501</v>
      </c>
      <c r="P22" s="556">
        <v>11.294</v>
      </c>
      <c r="Q22" s="556">
        <v>11.164</v>
      </c>
      <c r="R22" s="556">
        <v>10.983</v>
      </c>
      <c r="S22" s="556">
        <v>10.74</v>
      </c>
      <c r="T22" s="556">
        <v>10.644</v>
      </c>
      <c r="U22" s="556">
        <v>10.628</v>
      </c>
      <c r="V22" s="556">
        <v>10.624</v>
      </c>
      <c r="W22" s="556">
        <v>10.543</v>
      </c>
      <c r="X22" s="556">
        <v>9.687</v>
      </c>
      <c r="Y22" s="588">
        <f t="shared" si="0"/>
        <v>-8.119131177084313</v>
      </c>
      <c r="Z22" s="13" t="s">
        <v>59</v>
      </c>
    </row>
    <row r="23" spans="1:26" ht="12.75" customHeight="1">
      <c r="A23" s="11"/>
      <c r="B23" s="110" t="s">
        <v>60</v>
      </c>
      <c r="C23" s="638"/>
      <c r="D23" s="639">
        <v>10.5</v>
      </c>
      <c r="E23" s="587">
        <v>15.2</v>
      </c>
      <c r="F23" s="555"/>
      <c r="G23" s="555"/>
      <c r="H23" s="555"/>
      <c r="I23" s="555"/>
      <c r="J23" s="555">
        <f>17.052+0.532</f>
        <v>17.584</v>
      </c>
      <c r="K23" s="555">
        <f>15.482+0.544</f>
        <v>16.026</v>
      </c>
      <c r="L23" s="555">
        <f>14.888+0.547</f>
        <v>15.435</v>
      </c>
      <c r="M23" s="555">
        <f>15.156+0.523</f>
        <v>15.679</v>
      </c>
      <c r="N23" s="555">
        <f>15.59+0.5</f>
        <v>16.09</v>
      </c>
      <c r="O23" s="555">
        <f>15.069+0.474</f>
        <v>15.543000000000001</v>
      </c>
      <c r="P23" s="555">
        <f>15.171+0.47</f>
        <v>15.641</v>
      </c>
      <c r="Q23" s="555">
        <f>15.376+0.466</f>
        <v>15.841999999999999</v>
      </c>
      <c r="R23" s="555">
        <f>15.543+0.463</f>
        <v>16.006</v>
      </c>
      <c r="S23" s="555">
        <f>14.377+0.476</f>
        <v>14.853000000000002</v>
      </c>
      <c r="T23" s="555">
        <f>14.839+0.472</f>
        <v>15.311</v>
      </c>
      <c r="U23" s="555">
        <f>15.134+0.485</f>
        <v>15.619</v>
      </c>
      <c r="V23" s="555">
        <f>13.997+0.491</f>
        <v>14.488</v>
      </c>
      <c r="W23" s="555">
        <f>13.824+0.488</f>
        <v>14.312</v>
      </c>
      <c r="X23" s="555">
        <f>13.36+0.477</f>
        <v>13.837</v>
      </c>
      <c r="Y23" s="587">
        <f t="shared" si="0"/>
        <v>-3.3188932364449357</v>
      </c>
      <c r="Z23" s="110" t="s">
        <v>60</v>
      </c>
    </row>
    <row r="24" spans="1:26" ht="12.75" customHeight="1">
      <c r="A24" s="11"/>
      <c r="B24" s="13" t="s">
        <v>78</v>
      </c>
      <c r="C24" s="640">
        <v>0.56</v>
      </c>
      <c r="D24" s="641">
        <v>0.647</v>
      </c>
      <c r="E24" s="588">
        <v>0.76</v>
      </c>
      <c r="F24" s="556">
        <v>0.777</v>
      </c>
      <c r="G24" s="556">
        <v>0.814</v>
      </c>
      <c r="H24" s="556">
        <v>0.85</v>
      </c>
      <c r="I24" s="556">
        <v>0.846</v>
      </c>
      <c r="J24" s="556">
        <v>0.871</v>
      </c>
      <c r="K24" s="556">
        <v>0.914</v>
      </c>
      <c r="L24" s="556">
        <v>0.944</v>
      </c>
      <c r="M24" s="556">
        <v>0.945</v>
      </c>
      <c r="N24" s="556">
        <v>0.984</v>
      </c>
      <c r="O24" s="556">
        <v>1.051</v>
      </c>
      <c r="P24" s="556">
        <v>1.123</v>
      </c>
      <c r="Q24" s="556">
        <v>1.176</v>
      </c>
      <c r="R24" s="556">
        <v>1.227</v>
      </c>
      <c r="S24" s="556">
        <v>1.27</v>
      </c>
      <c r="T24" s="556">
        <v>1.34</v>
      </c>
      <c r="U24" s="556">
        <v>1.38</v>
      </c>
      <c r="V24" s="556">
        <v>1.456</v>
      </c>
      <c r="W24" s="556">
        <v>1.546</v>
      </c>
      <c r="X24" s="556">
        <f>1.624</f>
        <v>1.624</v>
      </c>
      <c r="Y24" s="588">
        <f t="shared" si="0"/>
        <v>5.045278137128079</v>
      </c>
      <c r="Z24" s="13" t="s">
        <v>78</v>
      </c>
    </row>
    <row r="25" spans="1:26" ht="12.75" customHeight="1">
      <c r="A25" s="11"/>
      <c r="B25" s="110" t="s">
        <v>58</v>
      </c>
      <c r="C25" s="638"/>
      <c r="D25" s="639">
        <v>22.2</v>
      </c>
      <c r="E25" s="587">
        <v>26.438</v>
      </c>
      <c r="F25" s="555">
        <v>24.497</v>
      </c>
      <c r="G25" s="555">
        <v>23.187</v>
      </c>
      <c r="H25" s="555">
        <v>22.186</v>
      </c>
      <c r="I25" s="555">
        <v>21.785</v>
      </c>
      <c r="J25" s="555">
        <v>20.464</v>
      </c>
      <c r="K25" s="555">
        <v>19.381</v>
      </c>
      <c r="L25" s="555">
        <v>18.89</v>
      </c>
      <c r="M25" s="555">
        <v>18.795</v>
      </c>
      <c r="N25" s="555">
        <v>17.733</v>
      </c>
      <c r="O25" s="555">
        <v>17.855</v>
      </c>
      <c r="P25" s="555">
        <v>17.817</v>
      </c>
      <c r="Q25" s="555">
        <v>17.873</v>
      </c>
      <c r="R25" s="555">
        <v>17.877</v>
      </c>
      <c r="S25" s="555">
        <v>17.428</v>
      </c>
      <c r="T25" s="555">
        <v>17.45</v>
      </c>
      <c r="U25" s="555">
        <v>17.721</v>
      </c>
      <c r="V25" s="555">
        <v>17.899</v>
      </c>
      <c r="W25" s="555">
        <v>17.955</v>
      </c>
      <c r="X25" s="555">
        <v>17.72</v>
      </c>
      <c r="Y25" s="587">
        <f t="shared" si="0"/>
        <v>-1.308827624617095</v>
      </c>
      <c r="Z25" s="110" t="s">
        <v>58</v>
      </c>
    </row>
    <row r="26" spans="1:26" ht="12.75" customHeight="1">
      <c r="A26" s="11"/>
      <c r="B26" s="13" t="s">
        <v>61</v>
      </c>
      <c r="C26" s="640"/>
      <c r="D26" s="641"/>
      <c r="E26" s="588">
        <v>0.978</v>
      </c>
      <c r="F26" s="556"/>
      <c r="G26" s="556"/>
      <c r="H26" s="556">
        <v>0.936</v>
      </c>
      <c r="I26" s="556">
        <v>0.964</v>
      </c>
      <c r="J26" s="556">
        <v>1.014</v>
      </c>
      <c r="K26" s="556">
        <v>0.967</v>
      </c>
      <c r="L26" s="556">
        <v>1.077</v>
      </c>
      <c r="M26" s="556">
        <f>0.162+0.375+0.57</f>
        <v>1.107</v>
      </c>
      <c r="N26" s="556">
        <f>0.157+0.39+0.572</f>
        <v>1.119</v>
      </c>
      <c r="O26" s="556">
        <f>0.156+0.397+0.573</f>
        <v>1.126</v>
      </c>
      <c r="P26" s="556">
        <f>0.156+0.398+0.571</f>
        <v>1.125</v>
      </c>
      <c r="Q26" s="556">
        <v>1.133</v>
      </c>
      <c r="R26" s="556">
        <v>1.15</v>
      </c>
      <c r="S26" s="556">
        <v>1.158</v>
      </c>
      <c r="T26" s="556">
        <f>0.144+0.422+0.577</f>
        <v>1.1429999999999998</v>
      </c>
      <c r="U26" s="556">
        <f>0.144+0.426+0.578</f>
        <v>1.148</v>
      </c>
      <c r="V26" s="556">
        <f>0.15+0.433+0.582</f>
        <v>1.165</v>
      </c>
      <c r="W26" s="556">
        <f>0.161+0.433+0.582</f>
        <v>1.176</v>
      </c>
      <c r="X26" s="556">
        <f>0.159+0.444+0.582</f>
        <v>1.185</v>
      </c>
      <c r="Y26" s="588">
        <f t="shared" si="0"/>
        <v>0.7653061224489761</v>
      </c>
      <c r="Z26" s="13" t="s">
        <v>61</v>
      </c>
    </row>
    <row r="27" spans="1:26" ht="12.75" customHeight="1">
      <c r="A27" s="11"/>
      <c r="B27" s="111" t="s">
        <v>69</v>
      </c>
      <c r="C27" s="638">
        <v>9.5</v>
      </c>
      <c r="D27" s="639">
        <v>11.2</v>
      </c>
      <c r="E27" s="587">
        <v>12.1</v>
      </c>
      <c r="F27" s="555">
        <v>12.427</v>
      </c>
      <c r="G27" s="555">
        <v>12.341</v>
      </c>
      <c r="H27" s="555">
        <v>12.525</v>
      </c>
      <c r="I27" s="555">
        <v>12</v>
      </c>
      <c r="J27" s="555">
        <v>11.636</v>
      </c>
      <c r="K27" s="555">
        <v>11.334</v>
      </c>
      <c r="L27" s="555">
        <v>10.801</v>
      </c>
      <c r="M27" s="555">
        <v>11.006</v>
      </c>
      <c r="N27" s="555">
        <v>11.21</v>
      </c>
      <c r="O27" s="555">
        <v>11.374</v>
      </c>
      <c r="P27" s="555">
        <v>11.326</v>
      </c>
      <c r="Q27" s="555">
        <v>11.382</v>
      </c>
      <c r="R27" s="555">
        <v>11.344</v>
      </c>
      <c r="S27" s="555">
        <v>11.231</v>
      </c>
      <c r="T27" s="555">
        <v>10.995</v>
      </c>
      <c r="U27" s="555">
        <v>10.845</v>
      </c>
      <c r="V27" s="555">
        <v>11.091</v>
      </c>
      <c r="W27" s="555">
        <v>11.332</v>
      </c>
      <c r="X27" s="555">
        <v>11.664</v>
      </c>
      <c r="Y27" s="587">
        <f t="shared" si="0"/>
        <v>2.9297564419343445</v>
      </c>
      <c r="Z27" s="111" t="s">
        <v>69</v>
      </c>
    </row>
    <row r="28" spans="1:26" ht="12.75" customHeight="1">
      <c r="A28" s="11"/>
      <c r="B28" s="13" t="s">
        <v>79</v>
      </c>
      <c r="C28" s="640">
        <v>6.804</v>
      </c>
      <c r="D28" s="642">
        <v>8.89</v>
      </c>
      <c r="E28" s="588">
        <v>9.402</v>
      </c>
      <c r="F28" s="556">
        <v>9.269</v>
      </c>
      <c r="G28" s="556">
        <v>9.375</v>
      </c>
      <c r="H28" s="556">
        <v>9.483</v>
      </c>
      <c r="I28" s="556">
        <v>9.598</v>
      </c>
      <c r="J28" s="556">
        <v>9.752</v>
      </c>
      <c r="K28" s="556">
        <v>9.74</v>
      </c>
      <c r="L28" s="556">
        <v>9.7</v>
      </c>
      <c r="M28" s="556">
        <v>9.675</v>
      </c>
      <c r="N28" s="556">
        <v>9.834</v>
      </c>
      <c r="O28" s="556">
        <v>9.918</v>
      </c>
      <c r="P28" s="805">
        <v>9.902</v>
      </c>
      <c r="Q28" s="556">
        <v>9.179</v>
      </c>
      <c r="R28" s="556">
        <v>9.231</v>
      </c>
      <c r="S28" s="556">
        <v>9.408</v>
      </c>
      <c r="T28" s="556">
        <v>9.301</v>
      </c>
      <c r="U28" s="556">
        <v>9.297</v>
      </c>
      <c r="V28" s="556">
        <v>9.299</v>
      </c>
      <c r="W28" s="556">
        <v>9.368</v>
      </c>
      <c r="X28" s="556">
        <v>9.599</v>
      </c>
      <c r="Y28" s="588">
        <f t="shared" si="0"/>
        <v>2.465841161400519</v>
      </c>
      <c r="Z28" s="13" t="s">
        <v>79</v>
      </c>
    </row>
    <row r="29" spans="1:26" ht="12.75" customHeight="1">
      <c r="A29" s="11"/>
      <c r="B29" s="110" t="s">
        <v>62</v>
      </c>
      <c r="C29" s="638"/>
      <c r="D29" s="639">
        <v>66.4</v>
      </c>
      <c r="E29" s="587">
        <v>92.403</v>
      </c>
      <c r="F29" s="555">
        <v>86.951</v>
      </c>
      <c r="G29" s="555">
        <v>86.578</v>
      </c>
      <c r="H29" s="555">
        <v>86.154</v>
      </c>
      <c r="I29" s="555">
        <v>86.852</v>
      </c>
      <c r="J29" s="555">
        <v>85.413</v>
      </c>
      <c r="K29" s="555">
        <v>85.596</v>
      </c>
      <c r="L29" s="555">
        <v>81.788</v>
      </c>
      <c r="M29" s="555">
        <v>80.827</v>
      </c>
      <c r="N29" s="555">
        <v>78.958</v>
      </c>
      <c r="O29" s="555">
        <v>82.59</v>
      </c>
      <c r="P29" s="555">
        <v>82.5</v>
      </c>
      <c r="Q29" s="555">
        <v>83.389</v>
      </c>
      <c r="R29" s="555">
        <v>82.769</v>
      </c>
      <c r="S29" s="555">
        <v>82.676</v>
      </c>
      <c r="T29" s="555">
        <v>79.567</v>
      </c>
      <c r="U29" s="555">
        <v>83.496</v>
      </c>
      <c r="V29" s="555">
        <v>87.586</v>
      </c>
      <c r="W29" s="555">
        <v>92.401</v>
      </c>
      <c r="X29" s="555">
        <v>95.415</v>
      </c>
      <c r="Y29" s="587">
        <f t="shared" si="0"/>
        <v>3.261869460287244</v>
      </c>
      <c r="Z29" s="110" t="s">
        <v>62</v>
      </c>
    </row>
    <row r="30" spans="1:26" ht="12.75" customHeight="1">
      <c r="A30" s="11"/>
      <c r="B30" s="13" t="s">
        <v>80</v>
      </c>
      <c r="C30" s="640">
        <v>5.873</v>
      </c>
      <c r="D30" s="641">
        <v>8.489</v>
      </c>
      <c r="E30" s="588">
        <v>12.099</v>
      </c>
      <c r="F30" s="556">
        <v>12.348</v>
      </c>
      <c r="G30" s="556">
        <v>12.961</v>
      </c>
      <c r="H30" s="556">
        <v>13.554</v>
      </c>
      <c r="I30" s="556">
        <v>14.353</v>
      </c>
      <c r="J30" s="556">
        <v>15.02</v>
      </c>
      <c r="K30" s="556">
        <v>15.681</v>
      </c>
      <c r="L30" s="556">
        <v>16.431</v>
      </c>
      <c r="M30" s="556">
        <v>17.513</v>
      </c>
      <c r="N30" s="556">
        <v>18.544</v>
      </c>
      <c r="O30" s="556">
        <v>19.78</v>
      </c>
      <c r="P30" s="556">
        <v>20.76</v>
      </c>
      <c r="Q30" s="556">
        <v>21.387</v>
      </c>
      <c r="R30" s="556">
        <v>21.653</v>
      </c>
      <c r="S30" s="804">
        <v>21.8</v>
      </c>
      <c r="T30" s="556">
        <v>14.674</v>
      </c>
      <c r="U30" s="556">
        <v>15</v>
      </c>
      <c r="V30" s="556">
        <v>15.1</v>
      </c>
      <c r="W30" s="556">
        <v>15.4</v>
      </c>
      <c r="X30" s="556">
        <f>15.5</f>
        <v>15.5</v>
      </c>
      <c r="Y30" s="588">
        <f t="shared" si="0"/>
        <v>0.6493506493506516</v>
      </c>
      <c r="Z30" s="13" t="s">
        <v>80</v>
      </c>
    </row>
    <row r="31" spans="1:26" ht="12.75" customHeight="1">
      <c r="A31" s="11"/>
      <c r="B31" s="110" t="s">
        <v>63</v>
      </c>
      <c r="C31" s="638"/>
      <c r="D31" s="639">
        <v>25</v>
      </c>
      <c r="E31" s="587">
        <f>24.297+3.975</f>
        <v>28.272000000000002</v>
      </c>
      <c r="F31" s="555">
        <f>25.199+5.956</f>
        <v>31.155</v>
      </c>
      <c r="G31" s="555">
        <f>26.847+8.232</f>
        <v>35.079</v>
      </c>
      <c r="H31" s="555">
        <f>28.085+9.646</f>
        <v>37.731</v>
      </c>
      <c r="I31" s="555">
        <f>28.862+11.155</f>
        <v>40.016999999999996</v>
      </c>
      <c r="J31" s="555">
        <f>30.365+11.682</f>
        <v>42.047</v>
      </c>
      <c r="K31" s="555">
        <f>27.372+12.143</f>
        <v>39.515</v>
      </c>
      <c r="L31" s="555">
        <f>27.426+12.532</f>
        <v>39.958</v>
      </c>
      <c r="M31" s="555">
        <f>27.399+12.986</f>
        <v>40.385000000000005</v>
      </c>
      <c r="N31" s="555">
        <f>27.317+13.305</f>
        <v>40.622</v>
      </c>
      <c r="O31" s="555">
        <f>27.181+13.535</f>
        <v>40.716</v>
      </c>
      <c r="P31" s="555">
        <f>26.965+13.826</f>
        <v>40.791</v>
      </c>
      <c r="Q31" s="555">
        <f>26.672+14.108</f>
        <v>40.78</v>
      </c>
      <c r="R31" s="555">
        <f>25.829+16.118</f>
        <v>41.947</v>
      </c>
      <c r="S31" s="555">
        <f>25.421+17.771</f>
        <v>43.192</v>
      </c>
      <c r="T31" s="555">
        <f>21.976+17.297</f>
        <v>39.272999999999996</v>
      </c>
      <c r="U31" s="425">
        <f>22.663+17.755</f>
        <v>40.418</v>
      </c>
      <c r="V31" s="555">
        <f>17.151+17.051</f>
        <v>34.202</v>
      </c>
      <c r="W31" s="555">
        <v>41.514</v>
      </c>
      <c r="X31" s="555">
        <f>41.16</f>
        <v>41.16</v>
      </c>
      <c r="Y31" s="587">
        <f t="shared" si="0"/>
        <v>-0.8527243821361594</v>
      </c>
      <c r="Z31" s="110" t="s">
        <v>63</v>
      </c>
    </row>
    <row r="32" spans="1:26" ht="12.75" customHeight="1">
      <c r="A32" s="11"/>
      <c r="B32" s="13" t="s">
        <v>65</v>
      </c>
      <c r="C32" s="640">
        <v>1.664</v>
      </c>
      <c r="D32" s="641">
        <v>2.505</v>
      </c>
      <c r="E32" s="588">
        <v>3.077</v>
      </c>
      <c r="F32" s="556">
        <v>2.855</v>
      </c>
      <c r="G32" s="556">
        <v>2.67</v>
      </c>
      <c r="H32" s="556">
        <v>2.597</v>
      </c>
      <c r="I32" s="556">
        <v>2.512</v>
      </c>
      <c r="J32" s="556">
        <v>2.473</v>
      </c>
      <c r="K32" s="556">
        <v>2.407</v>
      </c>
      <c r="L32" s="556">
        <v>2.369</v>
      </c>
      <c r="M32" s="556">
        <v>2.325</v>
      </c>
      <c r="N32" s="556">
        <v>2.315</v>
      </c>
      <c r="O32" s="556">
        <v>2.255</v>
      </c>
      <c r="P32" s="556">
        <v>2.213</v>
      </c>
      <c r="Q32" s="556">
        <v>2.196</v>
      </c>
      <c r="R32" s="556">
        <v>2.19</v>
      </c>
      <c r="S32" s="556">
        <v>2.269</v>
      </c>
      <c r="T32" s="556">
        <v>2.255</v>
      </c>
      <c r="U32" s="556">
        <v>2.277</v>
      </c>
      <c r="V32" s="556">
        <v>2.33</v>
      </c>
      <c r="W32" s="556">
        <v>2.378</v>
      </c>
      <c r="X32" s="556">
        <v>2.394</v>
      </c>
      <c r="Y32" s="588">
        <f t="shared" si="0"/>
        <v>0.6728343145500588</v>
      </c>
      <c r="Z32" s="13" t="s">
        <v>65</v>
      </c>
    </row>
    <row r="33" spans="1:26" ht="12.75" customHeight="1">
      <c r="A33" s="11"/>
      <c r="B33" s="110" t="s">
        <v>64</v>
      </c>
      <c r="C33" s="638"/>
      <c r="D33" s="639">
        <v>10</v>
      </c>
      <c r="E33" s="587">
        <v>14.301</v>
      </c>
      <c r="F33" s="555">
        <v>13.77</v>
      </c>
      <c r="G33" s="555">
        <v>13.338</v>
      </c>
      <c r="H33" s="555">
        <v>12.655</v>
      </c>
      <c r="I33" s="555">
        <v>12.066</v>
      </c>
      <c r="J33" s="555">
        <v>11.812</v>
      </c>
      <c r="K33" s="555">
        <v>11.321</v>
      </c>
      <c r="L33" s="555">
        <v>11.235</v>
      </c>
      <c r="M33" s="555">
        <v>11.293</v>
      </c>
      <c r="N33" s="555">
        <v>11.101</v>
      </c>
      <c r="O33" s="555">
        <v>10.92</v>
      </c>
      <c r="P33" s="555">
        <v>10.649</v>
      </c>
      <c r="Q33" s="555">
        <v>10.589</v>
      </c>
      <c r="R33" s="555">
        <v>10.568</v>
      </c>
      <c r="S33" s="555">
        <v>8.921</v>
      </c>
      <c r="T33" s="555">
        <v>9.113</v>
      </c>
      <c r="U33" s="555">
        <v>8.782</v>
      </c>
      <c r="V33" s="555">
        <v>10.48</v>
      </c>
      <c r="W33" s="555">
        <v>10.537</v>
      </c>
      <c r="X33" s="555">
        <f>9.4</f>
        <v>9.4</v>
      </c>
      <c r="Y33" s="587">
        <f t="shared" si="0"/>
        <v>-10.790547594191906</v>
      </c>
      <c r="Z33" s="110" t="s">
        <v>64</v>
      </c>
    </row>
    <row r="34" spans="1:26" ht="12.75" customHeight="1">
      <c r="A34" s="11"/>
      <c r="B34" s="13" t="s">
        <v>81</v>
      </c>
      <c r="C34" s="640">
        <v>8.116</v>
      </c>
      <c r="D34" s="641">
        <v>8.963</v>
      </c>
      <c r="E34" s="588">
        <v>9.327</v>
      </c>
      <c r="F34" s="556">
        <v>8.968</v>
      </c>
      <c r="G34" s="556">
        <v>8.665</v>
      </c>
      <c r="H34" s="556">
        <v>8.255</v>
      </c>
      <c r="I34" s="556">
        <v>8.054</v>
      </c>
      <c r="J34" s="556">
        <v>8.083</v>
      </c>
      <c r="K34" s="556">
        <v>8.233</v>
      </c>
      <c r="L34" s="556">
        <v>8.45</v>
      </c>
      <c r="M34" s="556">
        <v>9.04</v>
      </c>
      <c r="N34" s="556">
        <v>9.487</v>
      </c>
      <c r="O34" s="556">
        <v>9.852</v>
      </c>
      <c r="P34" s="556">
        <v>9.769</v>
      </c>
      <c r="Q34" s="556">
        <v>10.005</v>
      </c>
      <c r="R34" s="556">
        <v>10.358</v>
      </c>
      <c r="S34" s="556">
        <v>10.716</v>
      </c>
      <c r="T34" s="556">
        <v>10.921</v>
      </c>
      <c r="U34" s="556">
        <v>11.189</v>
      </c>
      <c r="V34" s="556">
        <v>11.543</v>
      </c>
      <c r="W34" s="556">
        <v>12.276</v>
      </c>
      <c r="X34" s="556">
        <f>13.017</f>
        <v>13.017</v>
      </c>
      <c r="Y34" s="588">
        <f t="shared" si="0"/>
        <v>6.036168132942322</v>
      </c>
      <c r="Z34" s="13" t="s">
        <v>81</v>
      </c>
    </row>
    <row r="35" spans="1:26" ht="12.75" customHeight="1">
      <c r="A35" s="11"/>
      <c r="B35" s="110" t="s">
        <v>82</v>
      </c>
      <c r="C35" s="638">
        <v>14.253</v>
      </c>
      <c r="D35" s="639">
        <v>12.796</v>
      </c>
      <c r="E35" s="587">
        <v>14.595</v>
      </c>
      <c r="F35" s="555">
        <v>14.555</v>
      </c>
      <c r="G35" s="555">
        <v>14.252</v>
      </c>
      <c r="H35" s="555">
        <v>14.127</v>
      </c>
      <c r="I35" s="555">
        <v>14.293</v>
      </c>
      <c r="J35" s="555">
        <v>14.577</v>
      </c>
      <c r="K35" s="555">
        <v>14.753</v>
      </c>
      <c r="L35" s="555">
        <v>14.838</v>
      </c>
      <c r="M35" s="555">
        <v>14.924</v>
      </c>
      <c r="N35" s="555">
        <v>14.869</v>
      </c>
      <c r="O35" s="555">
        <v>14.417</v>
      </c>
      <c r="P35" s="555">
        <v>14.246</v>
      </c>
      <c r="Q35" s="555">
        <v>14.013</v>
      </c>
      <c r="R35" s="555">
        <v>13.742</v>
      </c>
      <c r="S35" s="555">
        <v>13.363</v>
      </c>
      <c r="T35" s="555">
        <v>13.477</v>
      </c>
      <c r="U35" s="555">
        <v>13.643</v>
      </c>
      <c r="V35" s="555">
        <v>13.315</v>
      </c>
      <c r="W35" s="555">
        <v>13.474</v>
      </c>
      <c r="X35" s="555">
        <f>13.407</f>
        <v>13.407</v>
      </c>
      <c r="Y35" s="587">
        <f t="shared" si="0"/>
        <v>-0.4972539706100747</v>
      </c>
      <c r="Z35" s="110" t="s">
        <v>82</v>
      </c>
    </row>
    <row r="36" spans="1:26" ht="12.75" customHeight="1">
      <c r="A36" s="11"/>
      <c r="B36" s="14" t="s">
        <v>70</v>
      </c>
      <c r="C36" s="643">
        <v>84.2</v>
      </c>
      <c r="D36" s="644">
        <v>83.3</v>
      </c>
      <c r="E36" s="589">
        <v>75</v>
      </c>
      <c r="F36" s="557">
        <v>75.5</v>
      </c>
      <c r="G36" s="557">
        <v>76</v>
      </c>
      <c r="H36" s="557">
        <v>76.5</v>
      </c>
      <c r="I36" s="558">
        <f>74.5+2</f>
        <v>76.5</v>
      </c>
      <c r="J36" s="558">
        <f>73.8+2.1</f>
        <v>75.89999999999999</v>
      </c>
      <c r="K36" s="558">
        <f>76.6+2.1</f>
        <v>78.69999999999999</v>
      </c>
      <c r="L36" s="558">
        <f>78.6+2.1</f>
        <v>80.69999999999999</v>
      </c>
      <c r="M36" s="558">
        <f>80.1+2.2</f>
        <v>82.3</v>
      </c>
      <c r="N36" s="558">
        <f>83.6+2.2</f>
        <v>85.8</v>
      </c>
      <c r="O36" s="558">
        <f>86.3+2.3</f>
        <v>88.6</v>
      </c>
      <c r="P36" s="558">
        <f>88.5+2.3</f>
        <v>90.8</v>
      </c>
      <c r="Q36" s="558">
        <f>92.3+2.3</f>
        <v>94.6</v>
      </c>
      <c r="R36" s="558">
        <f>96.1+2.4</f>
        <v>98.5</v>
      </c>
      <c r="S36" s="558">
        <f>99.8+2.4</f>
        <v>102.2</v>
      </c>
      <c r="T36" s="558">
        <f>103+2.6</f>
        <v>105.6</v>
      </c>
      <c r="U36" s="558">
        <f>107+2.7</f>
        <v>109.7</v>
      </c>
      <c r="V36" s="558">
        <f>109+2.9</f>
        <v>111.9</v>
      </c>
      <c r="W36" s="558">
        <f>111+3</f>
        <v>114</v>
      </c>
      <c r="X36" s="558">
        <f>112+2.987</f>
        <v>114.987</v>
      </c>
      <c r="Y36" s="645">
        <f t="shared" si="0"/>
        <v>0.8657894736842024</v>
      </c>
      <c r="Z36" s="14" t="s">
        <v>70</v>
      </c>
    </row>
    <row r="37" spans="1:26" ht="12.75" customHeight="1">
      <c r="A37" s="11"/>
      <c r="B37" s="113" t="s">
        <v>86</v>
      </c>
      <c r="C37" s="638"/>
      <c r="D37" s="639"/>
      <c r="E37" s="587">
        <v>5.836</v>
      </c>
      <c r="F37" s="555">
        <v>4.876</v>
      </c>
      <c r="G37" s="555">
        <v>4.104</v>
      </c>
      <c r="H37" s="555">
        <v>3.895</v>
      </c>
      <c r="I37" s="555">
        <v>4.026</v>
      </c>
      <c r="J37" s="555">
        <v>3.897</v>
      </c>
      <c r="K37" s="555">
        <v>4.596</v>
      </c>
      <c r="L37" s="555">
        <v>4.771</v>
      </c>
      <c r="M37" s="555">
        <v>4.814</v>
      </c>
      <c r="N37" s="555">
        <v>4.743</v>
      </c>
      <c r="O37" s="555">
        <v>4.66</v>
      </c>
      <c r="P37" s="555">
        <v>4.77</v>
      </c>
      <c r="Q37" s="555">
        <v>4.792</v>
      </c>
      <c r="R37" s="555">
        <v>4.833</v>
      </c>
      <c r="S37" s="555">
        <v>4.869</v>
      </c>
      <c r="T37" s="555">
        <v>4.851</v>
      </c>
      <c r="U37" s="555">
        <v>4.914</v>
      </c>
      <c r="V37" s="555">
        <v>5.043</v>
      </c>
      <c r="W37" s="555">
        <v>5.099</v>
      </c>
      <c r="X37" s="555">
        <v>5.071</v>
      </c>
      <c r="Y37" s="587">
        <f t="shared" si="0"/>
        <v>-0.5491272798588085</v>
      </c>
      <c r="Z37" s="110" t="s">
        <v>86</v>
      </c>
    </row>
    <row r="38" spans="1:26" ht="12.75" customHeight="1">
      <c r="A38" s="11"/>
      <c r="B38" s="13" t="s">
        <v>1</v>
      </c>
      <c r="C38" s="640"/>
      <c r="D38" s="641"/>
      <c r="E38" s="588">
        <v>2.32</v>
      </c>
      <c r="F38" s="556">
        <v>2.576</v>
      </c>
      <c r="G38" s="556">
        <v>2.828</v>
      </c>
      <c r="H38" s="556">
        <v>2.921</v>
      </c>
      <c r="I38" s="556">
        <v>2.453</v>
      </c>
      <c r="J38" s="556">
        <v>2.541</v>
      </c>
      <c r="K38" s="556">
        <v>2.442</v>
      </c>
      <c r="L38" s="556">
        <v>2.43</v>
      </c>
      <c r="M38" s="556">
        <v>2.478</v>
      </c>
      <c r="N38" s="556">
        <v>2.479</v>
      </c>
      <c r="O38" s="556">
        <v>2.498</v>
      </c>
      <c r="P38" s="556">
        <v>2.62</v>
      </c>
      <c r="Q38" s="556">
        <v>2.497</v>
      </c>
      <c r="R38" s="556">
        <v>2.478</v>
      </c>
      <c r="S38" s="559">
        <v>2.176</v>
      </c>
      <c r="T38" s="556">
        <v>2.269</v>
      </c>
      <c r="U38" s="559">
        <v>2.22</v>
      </c>
      <c r="V38" s="556">
        <f>2.284</f>
        <v>2.284</v>
      </c>
      <c r="W38" s="556">
        <f>2.27</f>
        <v>2.27</v>
      </c>
      <c r="X38" s="556">
        <f>2.454</f>
        <v>2.454</v>
      </c>
      <c r="Y38" s="588">
        <f t="shared" si="0"/>
        <v>8.105726872246706</v>
      </c>
      <c r="Z38" s="13" t="s">
        <v>1</v>
      </c>
    </row>
    <row r="39" spans="1:26" ht="12.75" customHeight="1">
      <c r="A39" s="11"/>
      <c r="B39" s="112" t="s">
        <v>66</v>
      </c>
      <c r="C39" s="646"/>
      <c r="D39" s="647"/>
      <c r="E39" s="590">
        <v>188.099</v>
      </c>
      <c r="F39" s="560">
        <v>202.605</v>
      </c>
      <c r="G39" s="560">
        <v>220.904</v>
      </c>
      <c r="H39" s="560">
        <v>244.154</v>
      </c>
      <c r="I39" s="560">
        <v>253.969</v>
      </c>
      <c r="J39" s="560">
        <v>263.248</v>
      </c>
      <c r="K39" s="560">
        <v>277.672</v>
      </c>
      <c r="L39" s="560">
        <v>298.953</v>
      </c>
      <c r="M39" s="560">
        <v>319.856</v>
      </c>
      <c r="N39" s="560">
        <v>333.869</v>
      </c>
      <c r="O39" s="560">
        <v>354.339</v>
      </c>
      <c r="P39" s="560">
        <v>358.687</v>
      </c>
      <c r="Q39" s="560">
        <v>361.797</v>
      </c>
      <c r="R39" s="560">
        <f>245.394+123.5</f>
        <v>368.894</v>
      </c>
      <c r="S39" s="560">
        <f>318.954+152.712</f>
        <v>471.666</v>
      </c>
      <c r="T39" s="560">
        <f>338.539+163.39</f>
        <v>501.929</v>
      </c>
      <c r="U39" s="560">
        <f>357.523+175.949</f>
        <v>533.472</v>
      </c>
      <c r="V39" s="560">
        <f>372.601+189.128</f>
        <v>561.729</v>
      </c>
      <c r="W39" s="560">
        <f>383.548+199.934</f>
        <v>583.482</v>
      </c>
      <c r="X39" s="560">
        <f>384.053+201.033</f>
        <v>585.086</v>
      </c>
      <c r="Y39" s="590">
        <f t="shared" si="0"/>
        <v>0.27490136799421805</v>
      </c>
      <c r="Z39" s="112" t="s">
        <v>66</v>
      </c>
    </row>
    <row r="40" spans="1:26" ht="12.75" customHeight="1">
      <c r="A40" s="11"/>
      <c r="B40" s="13" t="s">
        <v>52</v>
      </c>
      <c r="C40" s="648"/>
      <c r="D40" s="649"/>
      <c r="E40" s="591">
        <v>1.328</v>
      </c>
      <c r="F40" s="561">
        <v>1.389</v>
      </c>
      <c r="G40" s="561">
        <v>1.157</v>
      </c>
      <c r="H40" s="561">
        <v>1.193</v>
      </c>
      <c r="I40" s="561">
        <v>1.249</v>
      </c>
      <c r="J40" s="561">
        <v>1.295</v>
      </c>
      <c r="K40" s="561">
        <v>1.363</v>
      </c>
      <c r="L40" s="561">
        <v>1.483</v>
      </c>
      <c r="M40" s="561">
        <v>1.544</v>
      </c>
      <c r="N40" s="561">
        <v>1.621</v>
      </c>
      <c r="O40" s="561">
        <v>1.673</v>
      </c>
      <c r="P40" s="561">
        <v>1.711</v>
      </c>
      <c r="Q40" s="561">
        <v>1.699</v>
      </c>
      <c r="R40" s="561">
        <v>1.709</v>
      </c>
      <c r="S40" s="561">
        <v>1.762</v>
      </c>
      <c r="T40" s="561">
        <v>1.899</v>
      </c>
      <c r="U40" s="561">
        <v>1.929</v>
      </c>
      <c r="V40" s="561">
        <v>1.943</v>
      </c>
      <c r="W40" s="561">
        <v>1.955</v>
      </c>
      <c r="X40" s="561">
        <v>1.888</v>
      </c>
      <c r="Y40" s="591">
        <f t="shared" si="0"/>
        <v>-3.4271099744245532</v>
      </c>
      <c r="Z40" s="12" t="s">
        <v>52</v>
      </c>
    </row>
    <row r="41" spans="1:26" ht="12.75" customHeight="1">
      <c r="A41" s="11"/>
      <c r="B41" s="110" t="s">
        <v>83</v>
      </c>
      <c r="C41" s="650"/>
      <c r="D41" s="651"/>
      <c r="E41" s="592">
        <v>21.222</v>
      </c>
      <c r="F41" s="424">
        <v>23.288</v>
      </c>
      <c r="G41" s="424">
        <v>26.76</v>
      </c>
      <c r="H41" s="424">
        <v>29.134</v>
      </c>
      <c r="I41" s="424">
        <v>30.547</v>
      </c>
      <c r="J41" s="424">
        <v>32.515</v>
      </c>
      <c r="K41" s="424">
        <v>33.959</v>
      </c>
      <c r="L41" s="424">
        <v>35.171</v>
      </c>
      <c r="M41" s="424">
        <v>36.218</v>
      </c>
      <c r="N41" s="424">
        <v>37.039</v>
      </c>
      <c r="O41" s="424">
        <v>36.686</v>
      </c>
      <c r="P41" s="424">
        <v>35.667</v>
      </c>
      <c r="Q41" s="424">
        <v>34.11</v>
      </c>
      <c r="R41" s="424">
        <v>32.374</v>
      </c>
      <c r="S41" s="424">
        <v>30.592</v>
      </c>
      <c r="T41" s="424">
        <v>28.783</v>
      </c>
      <c r="U41" s="424">
        <v>26.954</v>
      </c>
      <c r="V41" s="424">
        <v>25.204</v>
      </c>
      <c r="W41" s="424">
        <v>23.324</v>
      </c>
      <c r="X41" s="424">
        <v>21.474</v>
      </c>
      <c r="Y41" s="592">
        <f t="shared" si="0"/>
        <v>-7.931744126221915</v>
      </c>
      <c r="Z41" s="110" t="s">
        <v>83</v>
      </c>
    </row>
    <row r="42" spans="1:26" ht="12.75" customHeight="1">
      <c r="A42" s="11"/>
      <c r="B42" s="13" t="s">
        <v>53</v>
      </c>
      <c r="C42" s="652"/>
      <c r="D42" s="653"/>
      <c r="E42" s="588">
        <v>31.18</v>
      </c>
      <c r="F42" s="556">
        <v>32.968</v>
      </c>
      <c r="G42" s="556">
        <v>34.136</v>
      </c>
      <c r="H42" s="556">
        <v>34.852</v>
      </c>
      <c r="I42" s="556">
        <v>35.676</v>
      </c>
      <c r="J42" s="556">
        <v>36.517</v>
      </c>
      <c r="K42" s="556">
        <v>37.662</v>
      </c>
      <c r="L42" s="556">
        <v>38.508</v>
      </c>
      <c r="M42" s="556">
        <v>39.012</v>
      </c>
      <c r="N42" s="556">
        <v>39.692</v>
      </c>
      <c r="O42" s="556">
        <v>40.26</v>
      </c>
      <c r="P42" s="556">
        <v>41.342</v>
      </c>
      <c r="Q42" s="556">
        <v>42.401</v>
      </c>
      <c r="R42" s="556">
        <v>43.629</v>
      </c>
      <c r="S42" s="556">
        <v>44.784</v>
      </c>
      <c r="T42" s="556">
        <v>45.785</v>
      </c>
      <c r="U42" s="556">
        <v>46.445</v>
      </c>
      <c r="V42" s="556">
        <v>48.026</v>
      </c>
      <c r="W42" s="556">
        <v>48.536</v>
      </c>
      <c r="X42" s="556">
        <f>50.675</f>
        <v>50.675</v>
      </c>
      <c r="Y42" s="588">
        <f t="shared" si="0"/>
        <v>4.40703807483105</v>
      </c>
      <c r="Z42" s="13" t="s">
        <v>53</v>
      </c>
    </row>
    <row r="43" spans="1:26" ht="12.75" customHeight="1">
      <c r="A43" s="11"/>
      <c r="B43" s="110" t="s">
        <v>94</v>
      </c>
      <c r="C43" s="654"/>
      <c r="D43" s="655"/>
      <c r="E43" s="593"/>
      <c r="F43" s="426"/>
      <c r="G43" s="426"/>
      <c r="H43" s="426"/>
      <c r="I43" s="426"/>
      <c r="J43" s="426"/>
      <c r="K43" s="426"/>
      <c r="L43" s="426"/>
      <c r="M43" s="426"/>
      <c r="N43" s="426"/>
      <c r="O43" s="426">
        <f>0.225-0.122</f>
        <v>0.10300000000000001</v>
      </c>
      <c r="P43" s="426">
        <f>0.224-0.111</f>
        <v>0.113</v>
      </c>
      <c r="Q43" s="426">
        <f>0.224-0.121</f>
        <v>0.10300000000000001</v>
      </c>
      <c r="R43" s="426">
        <f>0.226-0.127</f>
        <v>0.099</v>
      </c>
      <c r="S43" s="426">
        <f>0.237-0.135</f>
        <v>0.10199999999999998</v>
      </c>
      <c r="T43" s="426">
        <f>0.247-0.142</f>
        <v>0.10500000000000001</v>
      </c>
      <c r="U43" s="426">
        <f>0.239-0.133</f>
        <v>0.10599999999999998</v>
      </c>
      <c r="V43" s="426">
        <f>0.246-0.145</f>
        <v>0.101</v>
      </c>
      <c r="W43" s="426">
        <f>0.266-0.167</f>
        <v>0.099</v>
      </c>
      <c r="X43" s="426">
        <f>0.277-0.147-0.025</f>
        <v>0.10500000000000004</v>
      </c>
      <c r="Y43" s="593">
        <f t="shared" si="0"/>
        <v>6.060606060606105</v>
      </c>
      <c r="Z43" s="112" t="s">
        <v>94</v>
      </c>
    </row>
    <row r="44" spans="2:26" ht="31.5" customHeight="1">
      <c r="B44" s="872" t="s">
        <v>142</v>
      </c>
      <c r="C44" s="872"/>
      <c r="D44" s="872"/>
      <c r="E44" s="872"/>
      <c r="F44" s="872"/>
      <c r="G44" s="872"/>
      <c r="H44" s="872"/>
      <c r="I44" s="872"/>
      <c r="J44" s="872"/>
      <c r="K44" s="872"/>
      <c r="L44" s="872"/>
      <c r="M44" s="872"/>
      <c r="N44" s="872"/>
      <c r="O44" s="872"/>
      <c r="P44" s="872"/>
      <c r="Q44" s="872"/>
      <c r="R44" s="872"/>
      <c r="S44" s="872"/>
      <c r="T44" s="872"/>
      <c r="U44" s="872"/>
      <c r="V44" s="872"/>
      <c r="W44" s="872"/>
      <c r="X44" s="872"/>
      <c r="Y44" s="872"/>
      <c r="Z44" s="872"/>
    </row>
    <row r="45" spans="2:26" ht="12.75" customHeight="1">
      <c r="B45" s="874" t="s">
        <v>187</v>
      </c>
      <c r="C45" s="874"/>
      <c r="D45" s="874"/>
      <c r="E45" s="874"/>
      <c r="F45" s="874"/>
      <c r="G45" s="874"/>
      <c r="H45" s="874"/>
      <c r="I45" s="874"/>
      <c r="J45" s="874"/>
      <c r="K45" s="874"/>
      <c r="L45" s="874"/>
      <c r="M45" s="874"/>
      <c r="N45" s="874"/>
      <c r="O45" s="874"/>
      <c r="P45" s="874"/>
      <c r="Q45" s="874"/>
      <c r="R45" s="874"/>
      <c r="S45" s="874"/>
      <c r="T45" s="874"/>
      <c r="U45" s="874"/>
      <c r="V45" s="874"/>
      <c r="W45" s="874"/>
      <c r="X45" s="874"/>
      <c r="Y45" s="874"/>
      <c r="Z45" s="874"/>
    </row>
    <row r="46" spans="2:26" ht="12.75" customHeight="1">
      <c r="B46" s="868" t="s">
        <v>189</v>
      </c>
      <c r="C46" s="868"/>
      <c r="D46" s="868"/>
      <c r="E46" s="868"/>
      <c r="F46" s="868"/>
      <c r="G46" s="868"/>
      <c r="H46" s="868"/>
      <c r="I46" s="868"/>
      <c r="J46" s="868"/>
      <c r="K46" s="868"/>
      <c r="L46" s="868"/>
      <c r="M46" s="868"/>
      <c r="N46" s="868"/>
      <c r="O46" s="868"/>
      <c r="P46" s="868"/>
      <c r="Q46" s="868"/>
      <c r="R46" s="868"/>
      <c r="S46" s="868"/>
      <c r="T46" s="868"/>
      <c r="U46" s="868"/>
      <c r="V46" s="868"/>
      <c r="W46" s="868"/>
      <c r="X46" s="868"/>
      <c r="Y46" s="868"/>
      <c r="Z46" s="868"/>
    </row>
    <row r="47" spans="2:26" ht="11.25" customHeight="1">
      <c r="B47" s="868" t="s">
        <v>188</v>
      </c>
      <c r="C47" s="868"/>
      <c r="D47" s="868"/>
      <c r="E47" s="868"/>
      <c r="F47" s="868"/>
      <c r="G47" s="868"/>
      <c r="H47" s="868"/>
      <c r="I47" s="868"/>
      <c r="J47" s="868"/>
      <c r="K47" s="868"/>
      <c r="L47" s="868"/>
      <c r="M47" s="868"/>
      <c r="N47" s="868"/>
      <c r="O47" s="868"/>
      <c r="P47" s="868"/>
      <c r="Q47" s="868"/>
      <c r="R47" s="868"/>
      <c r="S47" s="868"/>
      <c r="T47" s="868"/>
      <c r="U47" s="868"/>
      <c r="V47" s="868"/>
      <c r="W47" s="868"/>
      <c r="X47" s="868"/>
      <c r="Y47" s="868"/>
      <c r="Z47" s="868"/>
    </row>
  </sheetData>
  <mergeCells count="7">
    <mergeCell ref="B45:Z45"/>
    <mergeCell ref="B46:Z46"/>
    <mergeCell ref="B47:Z47"/>
    <mergeCell ref="B1:C1"/>
    <mergeCell ref="B2:Z2"/>
    <mergeCell ref="B3:Z3"/>
    <mergeCell ref="B44:Z44"/>
  </mergeCells>
  <printOptions horizontalCentered="1"/>
  <pageMargins left="0.6692913385826772" right="0.4724409448818898" top="0.4724409448818898" bottom="0.2755905511811024" header="0.3149606299212598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2"/>
  <dimension ref="A1:Z47"/>
  <sheetViews>
    <sheetView workbookViewId="0" topLeftCell="A1">
      <selection activeCell="U19" sqref="U19"/>
    </sheetView>
  </sheetViews>
  <sheetFormatPr defaultColWidth="9.140625" defaultRowHeight="12.75"/>
  <cols>
    <col min="1" max="1" width="3.7109375" style="4" customWidth="1"/>
    <col min="2" max="2" width="4.00390625" style="4" customWidth="1"/>
    <col min="3" max="4" width="6.7109375" style="2" hidden="1" customWidth="1"/>
    <col min="5" max="5" width="6.7109375" style="2" customWidth="1"/>
    <col min="6" max="9" width="6.7109375" style="4" hidden="1" customWidth="1"/>
    <col min="10" max="10" width="6.7109375" style="4" customWidth="1"/>
    <col min="11" max="14" width="6.7109375" style="4" hidden="1" customWidth="1"/>
    <col min="15" max="18" width="6.7109375" style="4" customWidth="1"/>
    <col min="19" max="19" width="7.00390625" style="4" customWidth="1"/>
    <col min="20" max="20" width="7.421875" style="4" customWidth="1"/>
    <col min="21" max="24" width="7.7109375" style="4" customWidth="1"/>
    <col min="25" max="25" width="7.28125" style="4" customWidth="1"/>
    <col min="26" max="26" width="4.00390625" style="4" customWidth="1"/>
    <col min="27" max="16384" width="9.140625" style="4" customWidth="1"/>
  </cols>
  <sheetData>
    <row r="1" spans="2:26" ht="14.25" customHeight="1">
      <c r="B1" s="875"/>
      <c r="C1" s="875"/>
      <c r="D1" s="262"/>
      <c r="E1" s="656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Z1" s="22" t="s">
        <v>211</v>
      </c>
    </row>
    <row r="2" spans="2:26" s="125" customFormat="1" ht="30" customHeight="1">
      <c r="B2" s="866" t="s">
        <v>17</v>
      </c>
      <c r="C2" s="866"/>
      <c r="D2" s="866"/>
      <c r="E2" s="866"/>
      <c r="F2" s="866"/>
      <c r="G2" s="866"/>
      <c r="H2" s="866"/>
      <c r="I2" s="866"/>
      <c r="J2" s="866"/>
      <c r="K2" s="866"/>
      <c r="L2" s="866"/>
      <c r="M2" s="866"/>
      <c r="N2" s="866"/>
      <c r="O2" s="866"/>
      <c r="P2" s="866"/>
      <c r="Q2" s="866"/>
      <c r="R2" s="866"/>
      <c r="S2" s="866"/>
      <c r="T2" s="866"/>
      <c r="U2" s="866"/>
      <c r="V2" s="866"/>
      <c r="W2" s="866"/>
      <c r="X2" s="866"/>
      <c r="Y2" s="866"/>
      <c r="Z2" s="866"/>
    </row>
    <row r="3" spans="2:26" s="268" customFormat="1" ht="15" customHeight="1">
      <c r="B3" s="878" t="s">
        <v>152</v>
      </c>
      <c r="C3" s="878"/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8"/>
      <c r="Q3" s="878"/>
      <c r="R3" s="878"/>
      <c r="S3" s="878"/>
      <c r="T3" s="878"/>
      <c r="U3" s="878"/>
      <c r="V3" s="878"/>
      <c r="W3" s="878"/>
      <c r="X3" s="878"/>
      <c r="Y3" s="878"/>
      <c r="Z3" s="878"/>
    </row>
    <row r="4" spans="2:26" ht="12.75" customHeight="1">
      <c r="B4" s="5"/>
      <c r="C4" s="5"/>
      <c r="E4" s="30"/>
      <c r="F4" s="30"/>
      <c r="G4" s="30"/>
      <c r="H4" s="30"/>
      <c r="I4" s="30"/>
      <c r="J4" s="33"/>
      <c r="K4" s="33"/>
      <c r="L4" s="33"/>
      <c r="M4" s="33"/>
      <c r="N4" s="33"/>
      <c r="O4" s="33"/>
      <c r="W4" s="52"/>
      <c r="X4" s="52" t="s">
        <v>5</v>
      </c>
      <c r="Z4" s="137"/>
    </row>
    <row r="5" spans="2:26" ht="19.5" customHeight="1">
      <c r="B5" s="359"/>
      <c r="C5" s="282">
        <v>1970</v>
      </c>
      <c r="D5" s="283">
        <v>1980</v>
      </c>
      <c r="E5" s="672">
        <v>1990</v>
      </c>
      <c r="F5" s="283">
        <v>1991</v>
      </c>
      <c r="G5" s="283">
        <v>1992</v>
      </c>
      <c r="H5" s="283">
        <v>1993</v>
      </c>
      <c r="I5" s="283">
        <v>1994</v>
      </c>
      <c r="J5" s="283">
        <v>1995</v>
      </c>
      <c r="K5" s="283">
        <v>1996</v>
      </c>
      <c r="L5" s="283">
        <v>1997</v>
      </c>
      <c r="M5" s="283">
        <v>1998</v>
      </c>
      <c r="N5" s="283">
        <v>1999</v>
      </c>
      <c r="O5" s="283">
        <v>2000</v>
      </c>
      <c r="P5" s="283">
        <v>2001</v>
      </c>
      <c r="Q5" s="283">
        <v>2002</v>
      </c>
      <c r="R5" s="283">
        <v>2003</v>
      </c>
      <c r="S5" s="283">
        <v>2004</v>
      </c>
      <c r="T5" s="283">
        <v>2005</v>
      </c>
      <c r="U5" s="283">
        <v>2006</v>
      </c>
      <c r="V5" s="283">
        <v>2007</v>
      </c>
      <c r="W5" s="283">
        <v>2008</v>
      </c>
      <c r="X5" s="283">
        <v>2009</v>
      </c>
      <c r="Y5" s="394" t="s">
        <v>229</v>
      </c>
      <c r="Z5" s="9"/>
    </row>
    <row r="6" spans="2:26" ht="9.75" customHeight="1">
      <c r="B6" s="360"/>
      <c r="C6" s="626"/>
      <c r="D6" s="281"/>
      <c r="E6" s="673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456" t="s">
        <v>132</v>
      </c>
      <c r="Z6" s="9"/>
    </row>
    <row r="7" spans="2:26" ht="12.75" customHeight="1">
      <c r="B7" s="113" t="s">
        <v>40</v>
      </c>
      <c r="C7" s="657"/>
      <c r="D7" s="658"/>
      <c r="E7" s="674"/>
      <c r="F7" s="131"/>
      <c r="G7" s="131"/>
      <c r="H7" s="131"/>
      <c r="I7" s="131"/>
      <c r="J7" s="131">
        <f>SUM(J10:J36)</f>
        <v>22811.74799999999</v>
      </c>
      <c r="K7" s="131">
        <f aca="true" t="shared" si="0" ref="K7:U7">SUM(K10:K36)</f>
        <v>23561.196</v>
      </c>
      <c r="L7" s="131">
        <f t="shared" si="0"/>
        <v>24139.083000000006</v>
      </c>
      <c r="M7" s="131">
        <f t="shared" si="0"/>
        <v>24896.489999999998</v>
      </c>
      <c r="N7" s="131">
        <f t="shared" si="0"/>
        <v>26000.25</v>
      </c>
      <c r="O7" s="131">
        <f t="shared" si="0"/>
        <v>27098.542999999994</v>
      </c>
      <c r="P7" s="131">
        <f t="shared" si="0"/>
        <v>28056.411000000004</v>
      </c>
      <c r="Q7" s="131">
        <f t="shared" si="0"/>
        <v>28876.466000000004</v>
      </c>
      <c r="R7" s="131">
        <f t="shared" si="0"/>
        <v>29520.952999999998</v>
      </c>
      <c r="S7" s="317">
        <f t="shared" si="0"/>
        <v>30430.238000000005</v>
      </c>
      <c r="T7" s="317">
        <f t="shared" si="0"/>
        <v>31177.065000000002</v>
      </c>
      <c r="U7" s="209">
        <f t="shared" si="0"/>
        <v>32030.073</v>
      </c>
      <c r="V7" s="131">
        <f>SUM(V10:V36)</f>
        <v>33138.335</v>
      </c>
      <c r="W7" s="317">
        <f>SUM(W10:W36)</f>
        <v>33675.320999999996</v>
      </c>
      <c r="X7" s="131">
        <f>SUM(X10:X36)</f>
        <v>33840.40000000001</v>
      </c>
      <c r="Y7" s="627">
        <f aca="true" t="shared" si="1" ref="Y7:Y43">X7/W7*100-100</f>
        <v>0.4902076508788582</v>
      </c>
      <c r="Z7" s="113" t="s">
        <v>40</v>
      </c>
    </row>
    <row r="8" spans="2:26" ht="12.75" customHeight="1">
      <c r="B8" s="110" t="s">
        <v>71</v>
      </c>
      <c r="C8" s="659">
        <f>SUM(C10,C13:C13,C14,C16:C20,C24,C27:C28,C30,C34:C36)</f>
        <v>7500.695</v>
      </c>
      <c r="D8" s="318">
        <f aca="true" t="shared" si="2" ref="D8:U8">SUM(D10,D13:D13,D14,D16:D20,D24,D27:D28,D30,D34:D36)</f>
        <v>10703.328</v>
      </c>
      <c r="E8" s="675">
        <f t="shared" si="2"/>
        <v>17536.456</v>
      </c>
      <c r="F8" s="318">
        <f t="shared" si="2"/>
        <v>17999.735</v>
      </c>
      <c r="G8" s="318">
        <f t="shared" si="2"/>
        <v>18586.055</v>
      </c>
      <c r="H8" s="318">
        <f t="shared" si="2"/>
        <v>19185.827</v>
      </c>
      <c r="I8" s="318">
        <f t="shared" si="2"/>
        <v>19425.011</v>
      </c>
      <c r="J8" s="318">
        <f t="shared" si="2"/>
        <v>19849.319999999996</v>
      </c>
      <c r="K8" s="318">
        <f t="shared" si="2"/>
        <v>20458.488999999998</v>
      </c>
      <c r="L8" s="318">
        <f t="shared" si="2"/>
        <v>20897.550000000003</v>
      </c>
      <c r="M8" s="318">
        <f t="shared" si="2"/>
        <v>21483.328999999998</v>
      </c>
      <c r="N8" s="318">
        <f t="shared" si="2"/>
        <v>22414.01</v>
      </c>
      <c r="O8" s="318">
        <f t="shared" si="2"/>
        <v>23256.014</v>
      </c>
      <c r="P8" s="318">
        <f t="shared" si="2"/>
        <v>24044.138</v>
      </c>
      <c r="Q8" s="318">
        <f t="shared" si="2"/>
        <v>24595.946</v>
      </c>
      <c r="R8" s="318">
        <f t="shared" si="2"/>
        <v>25004.671</v>
      </c>
      <c r="S8" s="319">
        <f t="shared" si="2"/>
        <v>25745.465000000004</v>
      </c>
      <c r="T8" s="319">
        <f t="shared" si="2"/>
        <v>26452.861</v>
      </c>
      <c r="U8" s="381">
        <f t="shared" si="2"/>
        <v>27160.529000000002</v>
      </c>
      <c r="V8" s="318">
        <f>SUM(V10,V13:V13,V14,V16:V20,V24,V27:V28,V30,V34:V36)</f>
        <v>28025.151000000005</v>
      </c>
      <c r="W8" s="319">
        <f>SUM(W10,W13:W13,W14,W16:W20,W24,W27:W28,W30,W34:W36)</f>
        <v>28077.132999999998</v>
      </c>
      <c r="X8" s="318">
        <f>SUM(X10,X13:X13,X14,X16:X20,X24,X27:X28,X30,X34:X36)</f>
        <v>28122.559</v>
      </c>
      <c r="Y8" s="660">
        <f t="shared" si="1"/>
        <v>0.16179002321925395</v>
      </c>
      <c r="Z8" s="110" t="s">
        <v>71</v>
      </c>
    </row>
    <row r="9" spans="2:26" ht="12.75" customHeight="1">
      <c r="B9" s="112" t="s">
        <v>131</v>
      </c>
      <c r="C9" s="661"/>
      <c r="D9" s="662"/>
      <c r="E9" s="675"/>
      <c r="F9" s="318"/>
      <c r="G9" s="318"/>
      <c r="H9" s="318"/>
      <c r="I9" s="318"/>
      <c r="J9" s="318">
        <f>SUM(J11,J12,J15,J21,J22,J23,J25,J26,J29,J31,J32,J33)</f>
        <v>2962.4280000000003</v>
      </c>
      <c r="K9" s="318">
        <f>SUM(K11,K12,K15,K21,K22,K23,K25,K26,K29,K31,K32,K33)</f>
        <v>3102.707</v>
      </c>
      <c r="L9" s="318">
        <f>SUM(L11,L12,L15,L21,L22,L23,L25,L26,L29,L31,L32,L33)</f>
        <v>3241.5329999999994</v>
      </c>
      <c r="M9" s="318">
        <f>SUM(M11,M12,M15,M21,M22,M23,M25,M26,M29,M31,M32,M33)</f>
        <v>3413.161</v>
      </c>
      <c r="N9" s="318">
        <f>SUM(N11,N12,N15,N21,N22,N23,N25,N26,N29,N31,N32,N33)</f>
        <v>3586.2399999999993</v>
      </c>
      <c r="O9" s="318">
        <f aca="true" t="shared" si="3" ref="O9:U9">SUM(O11,O12,O15,O21,O22,O23,O25,O26,O29,O31,O32,O33)</f>
        <v>3842.5289999999995</v>
      </c>
      <c r="P9" s="318">
        <f t="shared" si="3"/>
        <v>4012.2729999999992</v>
      </c>
      <c r="Q9" s="318">
        <f t="shared" si="3"/>
        <v>4280.52</v>
      </c>
      <c r="R9" s="318">
        <f t="shared" si="3"/>
        <v>4516.282000000001</v>
      </c>
      <c r="S9" s="318">
        <f t="shared" si="3"/>
        <v>4684.773</v>
      </c>
      <c r="T9" s="318">
        <f t="shared" si="3"/>
        <v>4724.204000000001</v>
      </c>
      <c r="U9" s="381">
        <f t="shared" si="3"/>
        <v>4869.544</v>
      </c>
      <c r="V9" s="318">
        <f>SUM(V11,V12,V15,V21,V22,V23,V25,V26,V29,V31,V32,V33)</f>
        <v>5113.184000000001</v>
      </c>
      <c r="W9" s="318">
        <f>SUM(W11,W12,W15,W21,W22,W23,W25,W26,W29,W31,W32,W33)</f>
        <v>5598.188</v>
      </c>
      <c r="X9" s="318">
        <f>SUM(X11,X12,X15,X21,X22,X23,X25,X26,X29,X31,X32,X33)</f>
        <v>5717.841</v>
      </c>
      <c r="Y9" s="660">
        <f t="shared" si="1"/>
        <v>2.1373523004229327</v>
      </c>
      <c r="Z9" s="112" t="s">
        <v>131</v>
      </c>
    </row>
    <row r="10" spans="1:26" ht="12.75" customHeight="1">
      <c r="A10" s="11"/>
      <c r="B10" s="12" t="s">
        <v>72</v>
      </c>
      <c r="C10" s="663">
        <v>251.405</v>
      </c>
      <c r="D10" s="664">
        <v>299.084</v>
      </c>
      <c r="E10" s="676">
        <v>380.37899999999996</v>
      </c>
      <c r="F10" s="138">
        <v>401.452</v>
      </c>
      <c r="G10" s="138">
        <v>404.325</v>
      </c>
      <c r="H10" s="138">
        <v>426.915</v>
      </c>
      <c r="I10" s="138">
        <v>442.055</v>
      </c>
      <c r="J10" s="138">
        <v>442.463</v>
      </c>
      <c r="K10" s="138">
        <v>457.16</v>
      </c>
      <c r="L10" s="138">
        <v>476.583</v>
      </c>
      <c r="M10" s="138">
        <v>495.464</v>
      </c>
      <c r="N10" s="138">
        <v>524.088</v>
      </c>
      <c r="O10" s="138">
        <v>548.431</v>
      </c>
      <c r="P10" s="138">
        <v>572.636</v>
      </c>
      <c r="Q10" s="138">
        <v>587.4259999999999</v>
      </c>
      <c r="R10" s="138">
        <v>603.499</v>
      </c>
      <c r="S10" s="138">
        <v>625.518</v>
      </c>
      <c r="T10" s="138">
        <v>652.083</v>
      </c>
      <c r="U10" s="138">
        <f>623.25+47.164</f>
        <v>670.414</v>
      </c>
      <c r="V10" s="138">
        <f>642.687+48.06</f>
        <v>690.7470000000001</v>
      </c>
      <c r="W10" s="138">
        <f>662.78+49.109</f>
        <v>711.889</v>
      </c>
      <c r="X10" s="138">
        <f>676.644+47.418</f>
        <v>724.062</v>
      </c>
      <c r="Y10" s="628">
        <f t="shared" si="1"/>
        <v>1.7099575917032013</v>
      </c>
      <c r="Z10" s="12" t="s">
        <v>72</v>
      </c>
    </row>
    <row r="11" spans="1:26" ht="12.75" customHeight="1">
      <c r="A11" s="11"/>
      <c r="B11" s="110" t="s">
        <v>54</v>
      </c>
      <c r="C11" s="613"/>
      <c r="D11" s="266" t="s">
        <v>93</v>
      </c>
      <c r="E11" s="545">
        <v>161.6</v>
      </c>
      <c r="F11" s="266">
        <v>174.2</v>
      </c>
      <c r="G11" s="266">
        <v>187.4</v>
      </c>
      <c r="H11" s="266">
        <v>203.942</v>
      </c>
      <c r="I11" s="266">
        <v>214.756</v>
      </c>
      <c r="J11" s="266">
        <v>223.17700000000002</v>
      </c>
      <c r="K11" s="266">
        <v>229.84</v>
      </c>
      <c r="L11" s="266">
        <v>232.76600000000002</v>
      </c>
      <c r="M11" s="266">
        <v>242.268</v>
      </c>
      <c r="N11" s="266">
        <v>251.5</v>
      </c>
      <c r="O11" s="266">
        <v>259.39</v>
      </c>
      <c r="P11" s="266">
        <v>269.586</v>
      </c>
      <c r="Q11" s="266">
        <v>279.858</v>
      </c>
      <c r="R11" s="266">
        <v>293.487</v>
      </c>
      <c r="S11" s="266">
        <v>317.681</v>
      </c>
      <c r="T11" s="417">
        <v>333.866</v>
      </c>
      <c r="U11" s="266">
        <f>208.295+17.797</f>
        <v>226.09199999999998</v>
      </c>
      <c r="V11" s="266">
        <f>239.769+21.547</f>
        <v>261.31600000000003</v>
      </c>
      <c r="W11" s="266">
        <f>273.57+25.591</f>
        <v>299.161</v>
      </c>
      <c r="X11" s="266">
        <f>290.784+27.024</f>
        <v>317.808</v>
      </c>
      <c r="Y11" s="592">
        <f t="shared" si="1"/>
        <v>6.233098565655283</v>
      </c>
      <c r="Z11" s="110" t="s">
        <v>54</v>
      </c>
    </row>
    <row r="12" spans="1:26" ht="12.75" customHeight="1">
      <c r="A12" s="11"/>
      <c r="B12" s="13" t="s">
        <v>56</v>
      </c>
      <c r="C12" s="665"/>
      <c r="D12" s="666"/>
      <c r="E12" s="677"/>
      <c r="F12" s="76"/>
      <c r="G12" s="76"/>
      <c r="H12" s="76">
        <v>183.964</v>
      </c>
      <c r="I12" s="414">
        <f>184.278+15.357</f>
        <v>199.635</v>
      </c>
      <c r="J12" s="414">
        <f>202.929+16.382</f>
        <v>219.311</v>
      </c>
      <c r="K12" s="414">
        <f>225.477+17.482</f>
        <v>242.959</v>
      </c>
      <c r="L12" s="414">
        <f>246.621+18.751</f>
        <v>265.372</v>
      </c>
      <c r="M12" s="414">
        <f>260.276+20.035</f>
        <v>280.31100000000004</v>
      </c>
      <c r="N12" s="414">
        <f>268.259+21.151</f>
        <v>289.41</v>
      </c>
      <c r="O12" s="414">
        <f>275.617+22.669</f>
        <v>298.286</v>
      </c>
      <c r="P12" s="414">
        <f>296.412+24.823</f>
        <v>321.23499999999996</v>
      </c>
      <c r="Q12" s="414">
        <f>323.434+26.061</f>
        <v>349.495</v>
      </c>
      <c r="R12" s="414">
        <f>340.094+25.652</f>
        <v>365.746</v>
      </c>
      <c r="S12" s="414">
        <f>371.437+24.769</f>
        <v>396.206</v>
      </c>
      <c r="T12" s="414">
        <f>415.101+24.06</f>
        <v>439.161</v>
      </c>
      <c r="U12" s="414">
        <f>468.282+22.622</f>
        <v>490.904</v>
      </c>
      <c r="V12" s="414">
        <f>533.916+20.915</f>
        <v>554.831</v>
      </c>
      <c r="W12" s="414">
        <f>589.598+17.814</f>
        <v>607.4119999999999</v>
      </c>
      <c r="X12" s="414">
        <f>587.032+14.735</f>
        <v>601.767</v>
      </c>
      <c r="Y12" s="667">
        <f t="shared" si="1"/>
        <v>-0.9293527292842185</v>
      </c>
      <c r="Z12" s="13" t="s">
        <v>56</v>
      </c>
    </row>
    <row r="13" spans="1:26" ht="12.75" customHeight="1">
      <c r="A13" s="11"/>
      <c r="B13" s="110" t="s">
        <v>67</v>
      </c>
      <c r="C13" s="613">
        <v>245</v>
      </c>
      <c r="D13" s="266">
        <v>249</v>
      </c>
      <c r="E13" s="545">
        <v>286.613</v>
      </c>
      <c r="F13" s="266">
        <f>252.775+38.314+7.223</f>
        <v>298.312</v>
      </c>
      <c r="G13" s="266">
        <v>304.205</v>
      </c>
      <c r="H13" s="266">
        <v>312.274</v>
      </c>
      <c r="I13" s="266">
        <v>322.032</v>
      </c>
      <c r="J13" s="266">
        <v>333.758</v>
      </c>
      <c r="K13" s="266">
        <v>339.897</v>
      </c>
      <c r="L13" s="266">
        <v>345.972</v>
      </c>
      <c r="M13" s="266">
        <v>357.633</v>
      </c>
      <c r="N13" s="266">
        <v>373.258</v>
      </c>
      <c r="O13" s="266">
        <v>384.85</v>
      </c>
      <c r="P13" s="266">
        <v>392.26</v>
      </c>
      <c r="Q13" s="266">
        <v>401.762</v>
      </c>
      <c r="R13" s="266">
        <v>412.813</v>
      </c>
      <c r="S13" s="266">
        <v>436.147</v>
      </c>
      <c r="T13" s="266">
        <f>421.203+34.546+13.774</f>
        <v>469.52299999999997</v>
      </c>
      <c r="U13" s="266">
        <f>459.082+35.154+14.538</f>
        <v>508.774</v>
      </c>
      <c r="V13" s="266">
        <f>485.786+35.442+15.322</f>
        <v>536.55</v>
      </c>
      <c r="W13" s="266">
        <f>481.887+34.629+14.887</f>
        <v>531.403</v>
      </c>
      <c r="X13" s="266">
        <f>462.359+32.3+13.202</f>
        <v>507.861</v>
      </c>
      <c r="Y13" s="592">
        <f t="shared" si="1"/>
        <v>-4.430159408208084</v>
      </c>
      <c r="Z13" s="110" t="s">
        <v>67</v>
      </c>
    </row>
    <row r="14" spans="1:26" ht="12.75" customHeight="1">
      <c r="A14" s="11"/>
      <c r="B14" s="13" t="s">
        <v>73</v>
      </c>
      <c r="C14" s="614">
        <v>1188</v>
      </c>
      <c r="D14" s="76">
        <v>1511</v>
      </c>
      <c r="E14" s="546">
        <v>1653</v>
      </c>
      <c r="F14" s="76">
        <v>1660</v>
      </c>
      <c r="G14" s="415">
        <v>1849</v>
      </c>
      <c r="H14" s="76">
        <f>2068.554+120.429</f>
        <v>2188.983</v>
      </c>
      <c r="I14" s="76">
        <f>2167.898+121.512</f>
        <v>2289.4100000000003</v>
      </c>
      <c r="J14" s="76">
        <f>2251.326+127.386</f>
        <v>2378.712</v>
      </c>
      <c r="K14" s="415">
        <f>2296.799+132.16</f>
        <v>2428.959</v>
      </c>
      <c r="L14" s="76">
        <f>2045.428+136.569</f>
        <v>2181.9970000000003</v>
      </c>
      <c r="M14" s="76">
        <f>2121.753+145.269</f>
        <v>2267.022</v>
      </c>
      <c r="N14" s="76">
        <f>2205.13+156.592</f>
        <v>2361.722</v>
      </c>
      <c r="O14" s="76">
        <f>2247.983+171.124</f>
        <v>2419.107</v>
      </c>
      <c r="P14" s="76">
        <f>2249.802+177.884</f>
        <v>2427.686</v>
      </c>
      <c r="Q14" s="76">
        <f>2219.508+178.114</f>
        <v>2397.622</v>
      </c>
      <c r="R14" s="76">
        <f>2205.856+179.219</f>
        <v>2385.0750000000003</v>
      </c>
      <c r="S14" s="76">
        <f>2199.922+185.364</f>
        <v>2385.286</v>
      </c>
      <c r="T14" s="415">
        <f>2212.781+192.124</f>
        <v>2404.9049999999997</v>
      </c>
      <c r="U14" s="415">
        <f>2270.949+200.272</f>
        <v>2471.221</v>
      </c>
      <c r="V14" s="619">
        <f>2323.064+179.935</f>
        <v>2502.999</v>
      </c>
      <c r="W14" s="76">
        <f>2346.678+176.883</f>
        <v>2523.5609999999997</v>
      </c>
      <c r="X14" s="546">
        <f>2385.099+170.911</f>
        <v>2556.01</v>
      </c>
      <c r="Y14" s="597">
        <f t="shared" si="1"/>
        <v>1.2858417133566604</v>
      </c>
      <c r="Z14" s="13" t="s">
        <v>73</v>
      </c>
    </row>
    <row r="15" spans="1:26" ht="12.75" customHeight="1">
      <c r="A15" s="11"/>
      <c r="B15" s="110" t="s">
        <v>57</v>
      </c>
      <c r="C15" s="613"/>
      <c r="D15" s="266">
        <v>51.1</v>
      </c>
      <c r="E15" s="545">
        <v>67.7</v>
      </c>
      <c r="F15" s="266">
        <v>77.1</v>
      </c>
      <c r="G15" s="266">
        <v>74.6</v>
      </c>
      <c r="H15" s="266">
        <v>74.1</v>
      </c>
      <c r="I15" s="266">
        <v>53.7</v>
      </c>
      <c r="J15" s="266">
        <v>65.598</v>
      </c>
      <c r="K15" s="266">
        <v>71.304</v>
      </c>
      <c r="L15" s="266">
        <v>76.605</v>
      </c>
      <c r="M15" s="266">
        <v>80.617</v>
      </c>
      <c r="N15" s="266">
        <v>81.03</v>
      </c>
      <c r="O15" s="266">
        <v>82.119</v>
      </c>
      <c r="P15" s="266">
        <v>80.535</v>
      </c>
      <c r="Q15" s="266">
        <v>80.179</v>
      </c>
      <c r="R15" s="266">
        <v>83.43</v>
      </c>
      <c r="S15" s="266">
        <v>85.732</v>
      </c>
      <c r="T15" s="417">
        <v>86.201</v>
      </c>
      <c r="U15" s="417">
        <v>92.86</v>
      </c>
      <c r="V15" s="266">
        <v>80.28</v>
      </c>
      <c r="W15" s="266">
        <v>83.35</v>
      </c>
      <c r="X15" s="266">
        <f>81.1</f>
        <v>81.1</v>
      </c>
      <c r="Y15" s="592">
        <f t="shared" si="1"/>
        <v>-2.699460107978396</v>
      </c>
      <c r="Z15" s="110" t="s">
        <v>57</v>
      </c>
    </row>
    <row r="16" spans="1:26" ht="12.75" customHeight="1">
      <c r="A16" s="11"/>
      <c r="B16" s="13" t="s">
        <v>76</v>
      </c>
      <c r="C16" s="614">
        <v>49</v>
      </c>
      <c r="D16" s="76">
        <v>65</v>
      </c>
      <c r="E16" s="546">
        <v>143.166</v>
      </c>
      <c r="F16" s="76">
        <v>148.331</v>
      </c>
      <c r="G16" s="76">
        <v>144.798</v>
      </c>
      <c r="H16" s="76">
        <v>135.225</v>
      </c>
      <c r="I16" s="76">
        <v>135.809</v>
      </c>
      <c r="J16" s="76">
        <v>141.785</v>
      </c>
      <c r="K16" s="76">
        <v>146.601</v>
      </c>
      <c r="L16" s="76">
        <v>158.158</v>
      </c>
      <c r="M16" s="76">
        <v>170.866</v>
      </c>
      <c r="N16" s="76">
        <v>188.814</v>
      </c>
      <c r="O16" s="76">
        <v>205.575</v>
      </c>
      <c r="P16" s="76">
        <v>219.51</v>
      </c>
      <c r="Q16" s="76">
        <v>233.069</v>
      </c>
      <c r="R16" s="76">
        <v>251.13</v>
      </c>
      <c r="S16" s="76">
        <v>268.082</v>
      </c>
      <c r="T16" s="76">
        <v>286.548</v>
      </c>
      <c r="U16" s="76">
        <v>318.604</v>
      </c>
      <c r="V16" s="76">
        <v>345.874</v>
      </c>
      <c r="W16" s="76">
        <v>351.307</v>
      </c>
      <c r="X16" s="76">
        <v>343.94</v>
      </c>
      <c r="Y16" s="597">
        <f t="shared" si="1"/>
        <v>-2.097026247697883</v>
      </c>
      <c r="Z16" s="13" t="s">
        <v>76</v>
      </c>
    </row>
    <row r="17" spans="1:26" ht="12.75" customHeight="1">
      <c r="A17" s="11"/>
      <c r="B17" s="110" t="s">
        <v>68</v>
      </c>
      <c r="C17" s="613">
        <v>105</v>
      </c>
      <c r="D17" s="266">
        <v>401</v>
      </c>
      <c r="E17" s="545">
        <v>766.429</v>
      </c>
      <c r="F17" s="266">
        <v>792.77</v>
      </c>
      <c r="G17" s="266">
        <v>797.788</v>
      </c>
      <c r="H17" s="266">
        <v>825.697</v>
      </c>
      <c r="I17" s="266">
        <v>849.033</v>
      </c>
      <c r="J17" s="266">
        <v>883.823</v>
      </c>
      <c r="K17" s="266">
        <v>914.827</v>
      </c>
      <c r="L17" s="266">
        <v>951.785</v>
      </c>
      <c r="M17" s="266">
        <v>987.357</v>
      </c>
      <c r="N17" s="266">
        <v>1023.987</v>
      </c>
      <c r="O17" s="266">
        <v>1057.422</v>
      </c>
      <c r="P17" s="266">
        <v>1085.811</v>
      </c>
      <c r="Q17" s="266">
        <v>1109.137</v>
      </c>
      <c r="R17" s="266">
        <v>1131.027</v>
      </c>
      <c r="S17" s="266">
        <v>1159.137</v>
      </c>
      <c r="T17" s="266">
        <v>1186.483</v>
      </c>
      <c r="U17" s="266">
        <v>1219.889</v>
      </c>
      <c r="V17" s="266">
        <v>1255.945</v>
      </c>
      <c r="W17" s="266">
        <v>1289.525</v>
      </c>
      <c r="X17" s="266">
        <v>1302.43</v>
      </c>
      <c r="Y17" s="592">
        <f t="shared" si="1"/>
        <v>1.0007560923595946</v>
      </c>
      <c r="Z17" s="110" t="s">
        <v>68</v>
      </c>
    </row>
    <row r="18" spans="1:26" ht="12.75" customHeight="1">
      <c r="A18" s="11"/>
      <c r="B18" s="13" t="s">
        <v>74</v>
      </c>
      <c r="C18" s="614">
        <v>710</v>
      </c>
      <c r="D18" s="76">
        <f>1338.258+24.166</f>
        <v>1362.424</v>
      </c>
      <c r="E18" s="546">
        <f>2332.928+68.157</f>
        <v>2401.085</v>
      </c>
      <c r="F18" s="76">
        <f>2495.226+73.203</f>
        <v>2568.429</v>
      </c>
      <c r="G18" s="76">
        <f>2649.596+76.595</f>
        <v>2726.191</v>
      </c>
      <c r="H18" s="76">
        <f>2735.144+77.466</f>
        <v>2812.6099999999997</v>
      </c>
      <c r="I18" s="76">
        <f>2825.747+80.003</f>
        <v>2905.75</v>
      </c>
      <c r="J18" s="76">
        <f>2936.765+87.481</f>
        <v>3024.246</v>
      </c>
      <c r="K18" s="76">
        <f>3057.347+94.557</f>
        <v>3151.904</v>
      </c>
      <c r="L18" s="76">
        <f>3205.974+104.121</f>
        <v>3310.0950000000003</v>
      </c>
      <c r="M18" s="76">
        <f>3393.446+116.305</f>
        <v>3509.7509999999997</v>
      </c>
      <c r="N18" s="76">
        <f>3604.972+130.216</f>
        <v>3735.188</v>
      </c>
      <c r="O18" s="76">
        <f>3780.221+142.955</f>
        <v>3923.176</v>
      </c>
      <c r="P18" s="76">
        <f>3949.001+155.957</f>
        <v>4104.9580000000005</v>
      </c>
      <c r="Q18" s="415">
        <f>4091.875+167.014</f>
        <v>4258.889</v>
      </c>
      <c r="R18" s="76">
        <f>4188.91+174.507</f>
        <v>4363.4169999999995</v>
      </c>
      <c r="S18" s="76">
        <f>4418.039+185.379</f>
        <v>4603.418</v>
      </c>
      <c r="T18" s="76">
        <f>4655.413+194.206</f>
        <v>4849.619</v>
      </c>
      <c r="U18" s="76">
        <f>4886.013+201.298</f>
        <v>5087.311</v>
      </c>
      <c r="V18" s="76">
        <f>5140.586+212.697</f>
        <v>5353.283</v>
      </c>
      <c r="W18" s="76">
        <f>5192.219+213.366</f>
        <v>5405.585</v>
      </c>
      <c r="X18" s="76">
        <f>5136.214+206.73</f>
        <v>5342.9439999999995</v>
      </c>
      <c r="Y18" s="597">
        <f t="shared" si="1"/>
        <v>-1.1588199982055727</v>
      </c>
      <c r="Z18" s="13" t="s">
        <v>74</v>
      </c>
    </row>
    <row r="19" spans="1:26" ht="12.75" customHeight="1">
      <c r="A19" s="11"/>
      <c r="B19" s="110" t="s">
        <v>75</v>
      </c>
      <c r="C19" s="613">
        <v>1504</v>
      </c>
      <c r="D19" s="266">
        <v>2457</v>
      </c>
      <c r="E19" s="545">
        <v>4670</v>
      </c>
      <c r="F19" s="266">
        <v>4763</v>
      </c>
      <c r="G19" s="266">
        <v>4781</v>
      </c>
      <c r="H19" s="266">
        <v>4814</v>
      </c>
      <c r="I19" s="266">
        <v>4881</v>
      </c>
      <c r="J19" s="266">
        <v>4926</v>
      </c>
      <c r="K19" s="266">
        <v>4976</v>
      </c>
      <c r="L19" s="417">
        <v>5100</v>
      </c>
      <c r="M19" s="266">
        <f>4766.806+184.359</f>
        <v>4951.165</v>
      </c>
      <c r="N19" s="266">
        <f>4847.308+190.916</f>
        <v>5038.224</v>
      </c>
      <c r="O19" s="266">
        <f>4954.018+197.668</f>
        <v>5151.686</v>
      </c>
      <c r="P19" s="266">
        <f>5050.329+201.961</f>
        <v>5252.29</v>
      </c>
      <c r="Q19" s="266">
        <f>5084.042+208.511</f>
        <v>5292.553000000001</v>
      </c>
      <c r="R19" s="266">
        <f>5079.526+218.921</f>
        <v>5298.447</v>
      </c>
      <c r="S19" s="266">
        <f>5085.422+229.42</f>
        <v>5314.842</v>
      </c>
      <c r="T19" s="266">
        <f>5107.013+239.68</f>
        <v>5346.693</v>
      </c>
      <c r="U19" s="266">
        <f>5099.124+245.668</f>
        <v>5344.7919999999995</v>
      </c>
      <c r="V19" s="266">
        <f>5221.075+254.97</f>
        <v>5476.045</v>
      </c>
      <c r="W19" s="266">
        <f>4989.951+222.059</f>
        <v>5212.01</v>
      </c>
      <c r="X19" s="266">
        <f>5026.724+211.918</f>
        <v>5238.642</v>
      </c>
      <c r="Y19" s="592">
        <f t="shared" si="1"/>
        <v>0.5109736934503246</v>
      </c>
      <c r="Z19" s="110" t="s">
        <v>75</v>
      </c>
    </row>
    <row r="20" spans="1:26" ht="12.75" customHeight="1">
      <c r="A20" s="11"/>
      <c r="B20" s="13" t="s">
        <v>77</v>
      </c>
      <c r="C20" s="614">
        <v>877</v>
      </c>
      <c r="D20" s="76">
        <v>1338</v>
      </c>
      <c r="E20" s="678">
        <f>2140.123+208.869</f>
        <v>2348.992</v>
      </c>
      <c r="F20" s="416">
        <f>2220.859+226.693</f>
        <v>2447.552</v>
      </c>
      <c r="G20" s="416">
        <f>2285.712+246.101</f>
        <v>2531.813</v>
      </c>
      <c r="H20" s="416">
        <f>2314.142+254.866</f>
        <v>2569.008</v>
      </c>
      <c r="I20" s="416">
        <f>2370.759+267.125</f>
        <v>2637.884</v>
      </c>
      <c r="J20" s="416">
        <f>2430.262+278.539</f>
        <v>2708.8010000000004</v>
      </c>
      <c r="K20" s="416">
        <f>2550.344+325.353</f>
        <v>2875.697</v>
      </c>
      <c r="L20" s="416">
        <f>2626.507+341.207</f>
        <v>2967.714</v>
      </c>
      <c r="M20" s="416">
        <f>2730.26+359.81</f>
        <v>3090.07</v>
      </c>
      <c r="N20" s="416">
        <f>2840.08+381.255</f>
        <v>3221.335</v>
      </c>
      <c r="O20" s="416">
        <f>2971.05+406.523</f>
        <v>3377.5730000000003</v>
      </c>
      <c r="P20" s="416">
        <f>3110.317+431.228</f>
        <v>3541.545</v>
      </c>
      <c r="Q20" s="416">
        <f>3297.26+454.34</f>
        <v>3751.6000000000004</v>
      </c>
      <c r="R20" s="416">
        <f>3450.903+483.027</f>
        <v>3933.93</v>
      </c>
      <c r="S20" s="416">
        <f>3502.633+512.979</f>
        <v>4015.612</v>
      </c>
      <c r="T20" s="382">
        <f>3637.74+541.919</f>
        <v>4179.659</v>
      </c>
      <c r="U20" s="382">
        <f>3763.093+568.654</f>
        <v>4331.746999999999</v>
      </c>
      <c r="V20" s="416">
        <f>3842.995+594.643</f>
        <v>4437.638</v>
      </c>
      <c r="W20" s="416">
        <f>3914.998+619.706</f>
        <v>4534.704</v>
      </c>
      <c r="X20" s="416">
        <f>3950.123+638.997</f>
        <v>4589.12</v>
      </c>
      <c r="Y20" s="597">
        <f t="shared" si="1"/>
        <v>1.1999901206341264</v>
      </c>
      <c r="Z20" s="13" t="s">
        <v>77</v>
      </c>
    </row>
    <row r="21" spans="1:26" ht="12.75" customHeight="1">
      <c r="A21" s="11"/>
      <c r="B21" s="110" t="s">
        <v>55</v>
      </c>
      <c r="C21" s="613"/>
      <c r="D21" s="266">
        <v>23.6</v>
      </c>
      <c r="E21" s="545">
        <v>74.325</v>
      </c>
      <c r="F21" s="266"/>
      <c r="G21" s="266"/>
      <c r="H21" s="266"/>
      <c r="I21" s="266"/>
      <c r="J21" s="266">
        <v>101.184</v>
      </c>
      <c r="K21" s="266">
        <v>104.04</v>
      </c>
      <c r="L21" s="266">
        <v>105.657</v>
      </c>
      <c r="M21" s="266">
        <v>109.294</v>
      </c>
      <c r="N21" s="266">
        <v>111.135</v>
      </c>
      <c r="O21" s="266">
        <v>114.666</v>
      </c>
      <c r="P21" s="266">
        <v>117.947</v>
      </c>
      <c r="Q21" s="266">
        <v>117.792</v>
      </c>
      <c r="R21" s="266">
        <v>119.646</v>
      </c>
      <c r="S21" s="266">
        <v>117.825</v>
      </c>
      <c r="T21" s="266">
        <v>118.355</v>
      </c>
      <c r="U21" s="266">
        <v>115.723</v>
      </c>
      <c r="V21" s="266">
        <v>117.498</v>
      </c>
      <c r="W21" s="266">
        <v>121.779</v>
      </c>
      <c r="X21" s="266">
        <v>124.097</v>
      </c>
      <c r="Y21" s="592">
        <f t="shared" si="1"/>
        <v>1.9034480493352675</v>
      </c>
      <c r="Z21" s="110" t="s">
        <v>55</v>
      </c>
    </row>
    <row r="22" spans="1:26" ht="12.75" customHeight="1">
      <c r="A22" s="11"/>
      <c r="B22" s="13" t="s">
        <v>59</v>
      </c>
      <c r="C22" s="614"/>
      <c r="D22" s="76"/>
      <c r="E22" s="546"/>
      <c r="F22" s="76"/>
      <c r="G22" s="76"/>
      <c r="H22" s="76"/>
      <c r="I22" s="76">
        <v>66.436</v>
      </c>
      <c r="J22" s="76">
        <v>68.668</v>
      </c>
      <c r="K22" s="76">
        <v>72.909</v>
      </c>
      <c r="L22" s="76">
        <v>76.771</v>
      </c>
      <c r="M22" s="76">
        <v>84.942</v>
      </c>
      <c r="N22" s="76">
        <v>90.22</v>
      </c>
      <c r="O22" s="76">
        <v>97.081</v>
      </c>
      <c r="P22" s="76">
        <v>99.708</v>
      </c>
      <c r="Q22" s="76">
        <v>102.734</v>
      </c>
      <c r="R22" s="76">
        <v>104.626</v>
      </c>
      <c r="S22" s="76">
        <v>107.553</v>
      </c>
      <c r="T22" s="76">
        <v>113.113</v>
      </c>
      <c r="U22" s="76">
        <v>121.12</v>
      </c>
      <c r="V22" s="76">
        <v>129.614</v>
      </c>
      <c r="W22" s="76">
        <v>129.805</v>
      </c>
      <c r="X22" s="76">
        <v>120.571</v>
      </c>
      <c r="Y22" s="597">
        <f t="shared" si="1"/>
        <v>-7.113747544393519</v>
      </c>
      <c r="Z22" s="13" t="s">
        <v>59</v>
      </c>
    </row>
    <row r="23" spans="1:26" ht="12.75" customHeight="1">
      <c r="A23" s="11"/>
      <c r="B23" s="110" t="s">
        <v>60</v>
      </c>
      <c r="C23" s="613"/>
      <c r="D23" s="266">
        <v>65.7</v>
      </c>
      <c r="E23" s="545">
        <v>83</v>
      </c>
      <c r="F23" s="266"/>
      <c r="G23" s="266"/>
      <c r="H23" s="266">
        <v>98.771</v>
      </c>
      <c r="I23" s="266">
        <v>101.06</v>
      </c>
      <c r="J23" s="266">
        <f>101.422+7.469</f>
        <v>108.89099999999999</v>
      </c>
      <c r="K23" s="266">
        <f>81.291+7.992</f>
        <v>89.283</v>
      </c>
      <c r="L23" s="266">
        <f>84.731+8.939</f>
        <v>93.66999999999999</v>
      </c>
      <c r="M23" s="266">
        <f>89.866+9.588</f>
        <v>99.454</v>
      </c>
      <c r="N23" s="266">
        <f>86.824+9.752</f>
        <v>96.576</v>
      </c>
      <c r="O23" s="266">
        <f>88.346+10.267</f>
        <v>98.613</v>
      </c>
      <c r="P23" s="266">
        <f>89.373+11.016</f>
        <v>100.38900000000001</v>
      </c>
      <c r="Q23" s="266">
        <f>93.508+12.037</f>
        <v>105.545</v>
      </c>
      <c r="R23" s="266">
        <f>97.454+13.063</f>
        <v>110.517</v>
      </c>
      <c r="S23" s="266">
        <f>101.284+14.393</f>
        <v>115.677</v>
      </c>
      <c r="T23" s="266">
        <f>106.247+16.239</f>
        <v>122.486</v>
      </c>
      <c r="U23" s="266">
        <f>117.427+18.119</f>
        <v>135.546</v>
      </c>
      <c r="V23" s="266">
        <f>126.507+21.076</f>
        <v>147.583</v>
      </c>
      <c r="W23" s="266">
        <f>128.733+21.375</f>
        <v>150.108</v>
      </c>
      <c r="X23" s="266">
        <f>126.519+19.806</f>
        <v>146.32500000000002</v>
      </c>
      <c r="Y23" s="592">
        <f t="shared" si="1"/>
        <v>-2.5201854664641417</v>
      </c>
      <c r="Z23" s="110" t="s">
        <v>60</v>
      </c>
    </row>
    <row r="24" spans="1:26" ht="12.75" customHeight="1">
      <c r="A24" s="11"/>
      <c r="B24" s="13" t="s">
        <v>78</v>
      </c>
      <c r="C24" s="614">
        <v>9</v>
      </c>
      <c r="D24" s="76">
        <v>9</v>
      </c>
      <c r="E24" s="546">
        <v>11.275</v>
      </c>
      <c r="F24" s="76">
        <v>12</v>
      </c>
      <c r="G24" s="76">
        <v>13</v>
      </c>
      <c r="H24" s="76">
        <v>14.641</v>
      </c>
      <c r="I24" s="76">
        <v>15.398</v>
      </c>
      <c r="J24" s="76">
        <v>15.794</v>
      </c>
      <c r="K24" s="76">
        <f>11.899+4.378+2.103</f>
        <v>18.380000000000003</v>
      </c>
      <c r="L24" s="76">
        <f>12.645+4.379+2.354</f>
        <v>19.378</v>
      </c>
      <c r="M24" s="76">
        <f>13.468+4.565+2.763</f>
        <v>20.796</v>
      </c>
      <c r="N24" s="76">
        <f>14.457+4.787+3.319</f>
        <v>22.563</v>
      </c>
      <c r="O24" s="76">
        <f>15.391+5.048+4.228</f>
        <v>24.667</v>
      </c>
      <c r="P24" s="76">
        <f>16.55+5.232+4.522</f>
        <v>26.304000000000002</v>
      </c>
      <c r="Q24" s="76">
        <f>17.459+5.232+4.262</f>
        <v>26.953</v>
      </c>
      <c r="R24" s="76">
        <f>18.07+5.26+4.599</f>
        <v>27.929</v>
      </c>
      <c r="S24" s="76">
        <f>18.803+5.173+4.45</f>
        <v>28.426</v>
      </c>
      <c r="T24" s="76">
        <f>19.712+5.151+4.725</f>
        <v>29.588</v>
      </c>
      <c r="U24" s="76">
        <f>20.576+5.179+4.98</f>
        <v>30.735000000000003</v>
      </c>
      <c r="V24" s="76">
        <f>21.752+5.278+5.49</f>
        <v>32.519999999999996</v>
      </c>
      <c r="W24" s="76">
        <f>23.196+5.363+5.849</f>
        <v>34.408</v>
      </c>
      <c r="X24" s="76">
        <f>23.831+5.354+5.551</f>
        <v>34.736</v>
      </c>
      <c r="Y24" s="597">
        <f t="shared" si="1"/>
        <v>0.9532666821669267</v>
      </c>
      <c r="Z24" s="13" t="s">
        <v>78</v>
      </c>
    </row>
    <row r="25" spans="1:26" ht="12.75" customHeight="1">
      <c r="A25" s="11"/>
      <c r="B25" s="110" t="s">
        <v>58</v>
      </c>
      <c r="C25" s="613"/>
      <c r="D25" s="266">
        <v>197</v>
      </c>
      <c r="E25" s="545">
        <v>262</v>
      </c>
      <c r="F25" s="266"/>
      <c r="G25" s="266"/>
      <c r="H25" s="266"/>
      <c r="I25" s="266"/>
      <c r="J25" s="266">
        <v>292.1</v>
      </c>
      <c r="K25" s="266">
        <v>303.1</v>
      </c>
      <c r="L25" s="266">
        <v>315.2</v>
      </c>
      <c r="M25" s="266">
        <v>337</v>
      </c>
      <c r="N25" s="266">
        <v>345.627</v>
      </c>
      <c r="O25" s="266">
        <v>366.433</v>
      </c>
      <c r="P25" s="266">
        <v>380.44100000000003</v>
      </c>
      <c r="Q25" s="266">
        <f>369.295+26.786</f>
        <v>396.081</v>
      </c>
      <c r="R25" s="266">
        <f>377.111+29.752</f>
        <v>406.863</v>
      </c>
      <c r="S25" s="266">
        <f>378.088+32.398</f>
        <v>410.48600000000005</v>
      </c>
      <c r="T25" s="266">
        <f>391.731+35.917</f>
        <v>427.648</v>
      </c>
      <c r="U25" s="266">
        <f>404.888+39.56</f>
        <v>444.448</v>
      </c>
      <c r="V25" s="266">
        <f>416.045+43.394</f>
        <v>459.439</v>
      </c>
      <c r="W25" s="266">
        <f>424.452+46.303</f>
        <v>470.755</v>
      </c>
      <c r="X25" s="266">
        <f>419.416+47.304</f>
        <v>466.72</v>
      </c>
      <c r="Y25" s="592">
        <f t="shared" si="1"/>
        <v>-0.8571337532261936</v>
      </c>
      <c r="Z25" s="110" t="s">
        <v>58</v>
      </c>
    </row>
    <row r="26" spans="1:26" ht="12.75" customHeight="1">
      <c r="A26" s="11"/>
      <c r="B26" s="13" t="s">
        <v>61</v>
      </c>
      <c r="C26" s="614"/>
      <c r="D26" s="76" t="s">
        <v>93</v>
      </c>
      <c r="E26" s="546" t="s">
        <v>93</v>
      </c>
      <c r="F26" s="76"/>
      <c r="G26" s="76"/>
      <c r="H26" s="76">
        <v>34.024</v>
      </c>
      <c r="I26" s="76">
        <v>37.601</v>
      </c>
      <c r="J26" s="76">
        <v>40.835</v>
      </c>
      <c r="K26" s="76">
        <v>38.431</v>
      </c>
      <c r="L26" s="76">
        <v>46.312</v>
      </c>
      <c r="M26" s="76">
        <v>48.403</v>
      </c>
      <c r="N26" s="76">
        <v>50.047</v>
      </c>
      <c r="O26" s="76">
        <v>51.463</v>
      </c>
      <c r="P26" s="76">
        <f>38.861+4.802</f>
        <v>43.663</v>
      </c>
      <c r="Q26" s="76">
        <f>38.149+5.703</f>
        <v>43.852000000000004</v>
      </c>
      <c r="R26" s="76">
        <f>39.675+4.982</f>
        <v>44.657</v>
      </c>
      <c r="S26" s="76">
        <v>44.575</v>
      </c>
      <c r="T26" s="76">
        <v>44.371</v>
      </c>
      <c r="U26" s="76">
        <v>45.505</v>
      </c>
      <c r="V26" s="76">
        <v>46.853</v>
      </c>
      <c r="W26" s="76">
        <v>48.21</v>
      </c>
      <c r="X26" s="76">
        <v>47.831</v>
      </c>
      <c r="Y26" s="597">
        <f t="shared" si="1"/>
        <v>-0.7861439535366088</v>
      </c>
      <c r="Z26" s="13" t="s">
        <v>61</v>
      </c>
    </row>
    <row r="27" spans="1:26" ht="12.75" customHeight="1">
      <c r="A27" s="11"/>
      <c r="B27" s="111" t="s">
        <v>69</v>
      </c>
      <c r="C27" s="613">
        <v>286</v>
      </c>
      <c r="D27" s="266">
        <v>314</v>
      </c>
      <c r="E27" s="545">
        <v>553</v>
      </c>
      <c r="F27" s="266">
        <v>578</v>
      </c>
      <c r="G27" s="266">
        <v>619</v>
      </c>
      <c r="H27" s="266">
        <v>641</v>
      </c>
      <c r="I27" s="266">
        <v>644</v>
      </c>
      <c r="J27" s="266">
        <v>654</v>
      </c>
      <c r="K27" s="266">
        <v>684</v>
      </c>
      <c r="L27" s="266">
        <v>727</v>
      </c>
      <c r="M27" s="266">
        <v>795</v>
      </c>
      <c r="N27" s="266">
        <f>696.135+83.153+56.759</f>
        <v>836.047</v>
      </c>
      <c r="O27" s="266">
        <f>755.776+83.418+59.804</f>
        <v>898.9979999999999</v>
      </c>
      <c r="P27" s="266">
        <f>797.594+82.706+62.013</f>
        <v>942.3130000000001</v>
      </c>
      <c r="Q27" s="266">
        <f>835.71+81.668+62.889</f>
        <v>980.267</v>
      </c>
      <c r="R27" s="266">
        <f>866.753+79.444+63.445</f>
        <v>1009.642</v>
      </c>
      <c r="S27" s="266">
        <f>893.455+77.619+64.519</f>
        <v>1035.593</v>
      </c>
      <c r="T27" s="266">
        <f>862.974+75.924+65.608</f>
        <v>1004.5060000000001</v>
      </c>
      <c r="U27" s="266">
        <f>849.348+75.841+70.544</f>
        <v>995.733</v>
      </c>
      <c r="V27" s="266">
        <f>862.303+75.313+72.786</f>
        <v>1010.402</v>
      </c>
      <c r="W27" s="266">
        <f>876.17+75.112+74.624</f>
        <v>1025.906</v>
      </c>
      <c r="X27" s="266">
        <f>945.723+71.56</f>
        <v>1017.2829999999999</v>
      </c>
      <c r="Y27" s="592">
        <f t="shared" si="1"/>
        <v>-0.8405253502757546</v>
      </c>
      <c r="Z27" s="111" t="s">
        <v>69</v>
      </c>
    </row>
    <row r="28" spans="1:26" ht="12.75" customHeight="1">
      <c r="A28" s="11"/>
      <c r="B28" s="13" t="s">
        <v>79</v>
      </c>
      <c r="C28" s="614">
        <f>121.048+1.242</f>
        <v>122.29</v>
      </c>
      <c r="D28" s="76">
        <f>183.724+5.526</f>
        <v>189.25</v>
      </c>
      <c r="E28" s="546">
        <f>252.504+9.336</f>
        <v>261.84</v>
      </c>
      <c r="F28" s="76">
        <f>259.308+9.971</f>
        <v>269.279</v>
      </c>
      <c r="G28" s="76">
        <f>269.268+10.677</f>
        <v>279.945</v>
      </c>
      <c r="H28" s="76">
        <f>275.543+11.136</f>
        <v>286.67900000000003</v>
      </c>
      <c r="I28" s="76">
        <f>283.157+11.768</f>
        <v>294.92499999999995</v>
      </c>
      <c r="J28" s="76">
        <f>290.29+12.617</f>
        <v>302.90700000000004</v>
      </c>
      <c r="K28" s="76">
        <f>293.614+13.303</f>
        <v>306.917</v>
      </c>
      <c r="L28" s="76">
        <f>300.726+14.332</f>
        <v>315.058</v>
      </c>
      <c r="M28" s="76">
        <f>309.63+15.705</f>
        <v>325.335</v>
      </c>
      <c r="N28" s="76">
        <f>318.757+17.015</f>
        <v>335.772</v>
      </c>
      <c r="O28" s="76">
        <f>326.784+17.682</f>
        <v>344.466</v>
      </c>
      <c r="P28" s="415">
        <f>331.394+18.276</f>
        <v>349.67</v>
      </c>
      <c r="Q28" s="76">
        <f>319.981+18.813</f>
        <v>338.794</v>
      </c>
      <c r="R28" s="76">
        <f>326.087+19.534</f>
        <v>345.621</v>
      </c>
      <c r="S28" s="76">
        <f>332.976+20.079</f>
        <v>353.055</v>
      </c>
      <c r="T28" s="76">
        <f>338.888+19.161</f>
        <v>358.049</v>
      </c>
      <c r="U28" s="76">
        <f>345.48+18.843</f>
        <v>364.32300000000004</v>
      </c>
      <c r="V28" s="76">
        <f>353.744+18.901</f>
        <v>372.64500000000004</v>
      </c>
      <c r="W28" s="76">
        <f>362.99+18.348</f>
        <v>381.338</v>
      </c>
      <c r="X28" s="76">
        <f>370.907+17.065</f>
        <v>387.972</v>
      </c>
      <c r="Y28" s="597">
        <f t="shared" si="1"/>
        <v>1.7396640250905762</v>
      </c>
      <c r="Z28" s="13" t="s">
        <v>79</v>
      </c>
    </row>
    <row r="29" spans="1:26" ht="12.75" customHeight="1">
      <c r="A29" s="11"/>
      <c r="B29" s="110" t="s">
        <v>62</v>
      </c>
      <c r="C29" s="613"/>
      <c r="D29" s="266" t="s">
        <v>93</v>
      </c>
      <c r="E29" s="545" t="s">
        <v>93</v>
      </c>
      <c r="F29" s="266"/>
      <c r="G29" s="266"/>
      <c r="H29" s="266">
        <v>999.845</v>
      </c>
      <c r="I29" s="266">
        <v>1053.979</v>
      </c>
      <c r="J29" s="266">
        <v>1354.099</v>
      </c>
      <c r="K29" s="266">
        <v>1431.357</v>
      </c>
      <c r="L29" s="266">
        <v>1487.4389999999999</v>
      </c>
      <c r="M29" s="266">
        <v>1562.814</v>
      </c>
      <c r="N29" s="266">
        <v>1682.887</v>
      </c>
      <c r="O29" s="266">
        <v>1879.068</v>
      </c>
      <c r="P29" s="266">
        <v>1979.293</v>
      </c>
      <c r="Q29" s="266">
        <v>2162.614</v>
      </c>
      <c r="R29" s="266">
        <v>2313.4190000000003</v>
      </c>
      <c r="S29" s="266">
        <v>2391.605</v>
      </c>
      <c r="T29" s="266">
        <v>2304.505</v>
      </c>
      <c r="U29" s="266">
        <f>2246.294+146.364</f>
        <v>2392.658</v>
      </c>
      <c r="V29" s="266">
        <f>2345.068+175.48</f>
        <v>2520.5480000000002</v>
      </c>
      <c r="W29" s="266">
        <f>2511.677+198.02</f>
        <v>2709.697</v>
      </c>
      <c r="X29" s="266">
        <f>2595.485+201.282</f>
        <v>2796.7670000000003</v>
      </c>
      <c r="Y29" s="592">
        <f t="shared" si="1"/>
        <v>3.2132743993147557</v>
      </c>
      <c r="Z29" s="110" t="s">
        <v>62</v>
      </c>
    </row>
    <row r="30" spans="1:26" ht="12.75" customHeight="1">
      <c r="A30" s="11"/>
      <c r="B30" s="13" t="s">
        <v>80</v>
      </c>
      <c r="C30" s="614">
        <v>157</v>
      </c>
      <c r="D30" s="76">
        <v>350</v>
      </c>
      <c r="E30" s="546">
        <v>781</v>
      </c>
      <c r="F30" s="76">
        <v>847</v>
      </c>
      <c r="G30" s="76">
        <v>928</v>
      </c>
      <c r="H30" s="415">
        <v>1011</v>
      </c>
      <c r="I30" s="76">
        <v>868.246</v>
      </c>
      <c r="J30" s="76">
        <v>912.29</v>
      </c>
      <c r="K30" s="76">
        <v>969.699</v>
      </c>
      <c r="L30" s="76">
        <v>1076.556</v>
      </c>
      <c r="M30" s="76">
        <v>1105.287</v>
      </c>
      <c r="N30" s="76">
        <v>1232.312</v>
      </c>
      <c r="O30" s="76">
        <v>1313.223</v>
      </c>
      <c r="P30" s="76">
        <v>1401.305</v>
      </c>
      <c r="Q30" s="76">
        <v>1377.335</v>
      </c>
      <c r="R30" s="76">
        <v>1256.858</v>
      </c>
      <c r="S30" s="265">
        <v>1300</v>
      </c>
      <c r="T30" s="265">
        <v>1308</v>
      </c>
      <c r="U30" s="76">
        <f>1184+136</f>
        <v>1320</v>
      </c>
      <c r="V30" s="76">
        <f>1198+135</f>
        <v>1333</v>
      </c>
      <c r="W30" s="265">
        <v>1335</v>
      </c>
      <c r="X30" s="76">
        <f>1204+133</f>
        <v>1337</v>
      </c>
      <c r="Y30" s="630">
        <f t="shared" si="1"/>
        <v>0.1498127340823885</v>
      </c>
      <c r="Z30" s="13" t="s">
        <v>80</v>
      </c>
    </row>
    <row r="31" spans="1:26" ht="12.75" customHeight="1">
      <c r="A31" s="11"/>
      <c r="B31" s="110" t="s">
        <v>63</v>
      </c>
      <c r="C31" s="613"/>
      <c r="D31" s="266">
        <v>250</v>
      </c>
      <c r="E31" s="545">
        <v>258.701</v>
      </c>
      <c r="F31" s="266">
        <v>259.566</v>
      </c>
      <c r="G31" s="266">
        <v>275.487</v>
      </c>
      <c r="H31" s="266">
        <v>298.318</v>
      </c>
      <c r="I31" s="266">
        <v>322.417</v>
      </c>
      <c r="J31" s="266">
        <v>343.064</v>
      </c>
      <c r="K31" s="266">
        <v>376.817</v>
      </c>
      <c r="L31" s="266">
        <v>390.181</v>
      </c>
      <c r="M31" s="266">
        <v>405.743</v>
      </c>
      <c r="N31" s="266">
        <v>417.78</v>
      </c>
      <c r="O31" s="266">
        <v>427.152</v>
      </c>
      <c r="P31" s="266">
        <v>437.968</v>
      </c>
      <c r="Q31" s="266">
        <v>447.299</v>
      </c>
      <c r="R31" s="266">
        <v>463.099</v>
      </c>
      <c r="S31" s="266">
        <v>482.425</v>
      </c>
      <c r="T31" s="266">
        <v>493.821</v>
      </c>
      <c r="U31" s="417">
        <v>545.3</v>
      </c>
      <c r="V31" s="266">
        <v>501.957</v>
      </c>
      <c r="W31" s="266">
        <v>645.34</v>
      </c>
      <c r="X31" s="266">
        <f>661.9</f>
        <v>661.9</v>
      </c>
      <c r="Y31" s="592">
        <f t="shared" si="1"/>
        <v>2.566089193293436</v>
      </c>
      <c r="Z31" s="110" t="s">
        <v>63</v>
      </c>
    </row>
    <row r="32" spans="1:26" ht="12.75" customHeight="1">
      <c r="A32" s="11"/>
      <c r="B32" s="13" t="s">
        <v>65</v>
      </c>
      <c r="C32" s="614">
        <v>15.946</v>
      </c>
      <c r="D32" s="76">
        <v>28.455</v>
      </c>
      <c r="E32" s="546">
        <v>30.767</v>
      </c>
      <c r="F32" s="415">
        <v>30.772</v>
      </c>
      <c r="G32" s="76">
        <f>27.985+2.414+4.136</f>
        <v>34.535000000000004</v>
      </c>
      <c r="H32" s="76">
        <f>29.861+2.744+4.371</f>
        <v>36.976000000000006</v>
      </c>
      <c r="I32" s="76">
        <f>31.372+2.892+4.588</f>
        <v>38.852000000000004</v>
      </c>
      <c r="J32" s="76">
        <f>34.553+3.333+4.981</f>
        <v>42.867</v>
      </c>
      <c r="K32" s="76">
        <f>36.735+3.616+5.238</f>
        <v>45.589</v>
      </c>
      <c r="L32" s="76">
        <f>38.651+3.759+5.47</f>
        <v>47.88</v>
      </c>
      <c r="M32" s="76">
        <f>40.01+3.898+5.605</f>
        <v>49.513000000000005</v>
      </c>
      <c r="N32" s="76">
        <f>41.904+4.056+5.781</f>
        <v>51.741</v>
      </c>
      <c r="O32" s="76">
        <f>44.027+4.281+5.955</f>
        <v>54.263</v>
      </c>
      <c r="P32" s="76">
        <f>45.552+4.583+5.98</f>
        <v>56.114999999999995</v>
      </c>
      <c r="Q32" s="76">
        <f>47.11+4.768+6.022</f>
        <v>57.9</v>
      </c>
      <c r="R32" s="76">
        <f>48.673+4.969+6.159</f>
        <v>59.801</v>
      </c>
      <c r="S32" s="76">
        <f>51.241+5.577+6.36</f>
        <v>63.178</v>
      </c>
      <c r="T32" s="76">
        <f>53.646+6.213+6.588</f>
        <v>66.447</v>
      </c>
      <c r="U32" s="76">
        <f>57.051+7.168+5.913</f>
        <v>70.132</v>
      </c>
      <c r="V32" s="76">
        <f>62.635+8.677+6.256</f>
        <v>77.568</v>
      </c>
      <c r="W32" s="76">
        <f>67.585+9.671+6.653</f>
        <v>83.909</v>
      </c>
      <c r="X32" s="76">
        <f>68.122+8.884+6.627</f>
        <v>83.633</v>
      </c>
      <c r="Y32" s="597">
        <f t="shared" si="1"/>
        <v>-0.3289277669856716</v>
      </c>
      <c r="Z32" s="13" t="s">
        <v>65</v>
      </c>
    </row>
    <row r="33" spans="1:26" ht="12.75" customHeight="1">
      <c r="A33" s="11"/>
      <c r="B33" s="110" t="s">
        <v>64</v>
      </c>
      <c r="C33" s="668"/>
      <c r="D33" s="669"/>
      <c r="E33" s="679">
        <v>91.994</v>
      </c>
      <c r="F33" s="266">
        <v>95.336</v>
      </c>
      <c r="G33" s="266">
        <v>102.295</v>
      </c>
      <c r="H33" s="266">
        <v>101.552</v>
      </c>
      <c r="I33" s="266">
        <v>102.47</v>
      </c>
      <c r="J33" s="266">
        <v>102.634</v>
      </c>
      <c r="K33" s="266">
        <v>97.078</v>
      </c>
      <c r="L33" s="266">
        <v>103.68</v>
      </c>
      <c r="M33" s="266">
        <v>112.802</v>
      </c>
      <c r="N33" s="266">
        <v>118.28699999999999</v>
      </c>
      <c r="O33" s="266">
        <v>113.995</v>
      </c>
      <c r="P33" s="266">
        <v>125.393</v>
      </c>
      <c r="Q33" s="266">
        <v>137.171</v>
      </c>
      <c r="R33" s="266">
        <v>150.99099999999999</v>
      </c>
      <c r="S33" s="266">
        <v>151.83</v>
      </c>
      <c r="T33" s="266">
        <f>160.089+14.141</f>
        <v>174.23</v>
      </c>
      <c r="U33" s="266">
        <f>172.781+16.475</f>
        <v>189.256</v>
      </c>
      <c r="V33" s="266">
        <f>196.141+19.556</f>
        <v>215.697</v>
      </c>
      <c r="W33" s="266">
        <f>227.218+21.444</f>
        <v>248.66199999999998</v>
      </c>
      <c r="X33" s="266">
        <f>22.655+246.667</f>
        <v>269.322</v>
      </c>
      <c r="Y33" s="592">
        <f t="shared" si="1"/>
        <v>8.308466914928701</v>
      </c>
      <c r="Z33" s="110" t="s">
        <v>64</v>
      </c>
    </row>
    <row r="34" spans="1:26" ht="12.75" customHeight="1">
      <c r="A34" s="11"/>
      <c r="B34" s="13" t="s">
        <v>81</v>
      </c>
      <c r="C34" s="614">
        <v>103</v>
      </c>
      <c r="D34" s="76">
        <v>149</v>
      </c>
      <c r="E34" s="546">
        <v>264.157</v>
      </c>
      <c r="F34" s="76">
        <v>263.8</v>
      </c>
      <c r="G34" s="76">
        <v>263</v>
      </c>
      <c r="H34" s="76">
        <v>253.109</v>
      </c>
      <c r="I34" s="76">
        <v>246.553</v>
      </c>
      <c r="J34" s="76">
        <v>252.032</v>
      </c>
      <c r="K34" s="76">
        <v>258.697</v>
      </c>
      <c r="L34" s="76">
        <v>266.944</v>
      </c>
      <c r="M34" s="76">
        <v>280.61</v>
      </c>
      <c r="N34" s="76">
        <v>293.707</v>
      </c>
      <c r="O34" s="76">
        <v>304.318</v>
      </c>
      <c r="P34" s="76">
        <v>312.557</v>
      </c>
      <c r="Q34" s="76">
        <v>319.699</v>
      </c>
      <c r="R34" s="76">
        <v>327.122</v>
      </c>
      <c r="S34" s="76">
        <f>272.672+82.492</f>
        <v>355.16400000000004</v>
      </c>
      <c r="T34" s="76">
        <f>276.453+87.191</f>
        <v>363.644</v>
      </c>
      <c r="U34" s="76">
        <f>284.627+91.465</f>
        <v>376.092</v>
      </c>
      <c r="V34" s="76">
        <f>297.531+97.187</f>
        <v>394.718</v>
      </c>
      <c r="W34" s="76">
        <f>318.797+105.701</f>
        <v>424.49800000000005</v>
      </c>
      <c r="X34" s="76">
        <f>111.268+332.645</f>
        <v>443.913</v>
      </c>
      <c r="Y34" s="597">
        <f t="shared" si="1"/>
        <v>4.573637567197025</v>
      </c>
      <c r="Z34" s="13" t="s">
        <v>81</v>
      </c>
    </row>
    <row r="35" spans="1:26" ht="12.75" customHeight="1">
      <c r="A35" s="11"/>
      <c r="B35" s="110" t="s">
        <v>82</v>
      </c>
      <c r="C35" s="613">
        <v>145</v>
      </c>
      <c r="D35" s="266">
        <v>181.57</v>
      </c>
      <c r="E35" s="545">
        <v>309.52</v>
      </c>
      <c r="F35" s="266">
        <v>309.81</v>
      </c>
      <c r="G35" s="266">
        <v>304.99</v>
      </c>
      <c r="H35" s="266">
        <v>305.68600000000004</v>
      </c>
      <c r="I35" s="266">
        <v>307.916</v>
      </c>
      <c r="J35" s="266">
        <v>307.709</v>
      </c>
      <c r="K35" s="266">
        <v>311.751</v>
      </c>
      <c r="L35" s="266">
        <v>321.31</v>
      </c>
      <c r="M35" s="266">
        <v>337.973</v>
      </c>
      <c r="N35" s="266">
        <v>354.293</v>
      </c>
      <c r="O35" s="266">
        <v>374.222</v>
      </c>
      <c r="P35" s="266">
        <v>395.693</v>
      </c>
      <c r="Q35" s="266">
        <v>408.94</v>
      </c>
      <c r="R35" s="266">
        <v>421.561</v>
      </c>
      <c r="S35" s="266">
        <v>439.985</v>
      </c>
      <c r="T35" s="266">
        <v>461.161</v>
      </c>
      <c r="U35" s="266">
        <v>479.794</v>
      </c>
      <c r="V35" s="266">
        <v>504.085</v>
      </c>
      <c r="W35" s="266">
        <v>510.199</v>
      </c>
      <c r="X35" s="266">
        <f>514.576</f>
        <v>514.576</v>
      </c>
      <c r="Y35" s="592">
        <f t="shared" si="1"/>
        <v>0.8579005446894143</v>
      </c>
      <c r="Z35" s="110" t="s">
        <v>82</v>
      </c>
    </row>
    <row r="36" spans="1:26" ht="12.75" customHeight="1">
      <c r="A36" s="11"/>
      <c r="B36" s="14" t="s">
        <v>70</v>
      </c>
      <c r="C36" s="616">
        <v>1749</v>
      </c>
      <c r="D36" s="139">
        <v>1828</v>
      </c>
      <c r="E36" s="547">
        <v>2706</v>
      </c>
      <c r="F36" s="139">
        <v>2640</v>
      </c>
      <c r="G36" s="139">
        <v>2639</v>
      </c>
      <c r="H36" s="139">
        <v>2589</v>
      </c>
      <c r="I36" s="139">
        <v>2585</v>
      </c>
      <c r="J36" s="139">
        <v>2565</v>
      </c>
      <c r="K36" s="139">
        <v>2618</v>
      </c>
      <c r="L36" s="419">
        <v>2679</v>
      </c>
      <c r="M36" s="139">
        <f>2278+441+45.2+24.8</f>
        <v>2789</v>
      </c>
      <c r="N36" s="139">
        <f>2342+459+42.1+29.6</f>
        <v>2872.7</v>
      </c>
      <c r="O36" s="139">
        <f>2383+471+42.3+32</f>
        <v>2928.3</v>
      </c>
      <c r="P36" s="139">
        <f>2461+477+61.6+20</f>
        <v>3019.6</v>
      </c>
      <c r="Q36" s="139">
        <f>2542+485+64+20.9</f>
        <v>3111.9</v>
      </c>
      <c r="R36" s="139">
        <f>2653+491+57.4+35.2</f>
        <v>3236.6</v>
      </c>
      <c r="S36" s="139">
        <f>2822+506+59.6+37.6</f>
        <v>3425.2</v>
      </c>
      <c r="T36" s="139">
        <f>2943+508+77.4+24</f>
        <v>3552.4</v>
      </c>
      <c r="U36" s="139">
        <f>3023.1+508.3+84.5+25.2</f>
        <v>3641.1</v>
      </c>
      <c r="V36" s="139">
        <f>3148.9+510.8+92.6+26.4</f>
        <v>3778.7000000000003</v>
      </c>
      <c r="W36" s="139">
        <f>3191.4+495.9+93.2+25.3</f>
        <v>3805.8</v>
      </c>
      <c r="X36" s="139">
        <f>3184.5+477.8+24.925+94.845</f>
        <v>3782.07</v>
      </c>
      <c r="Y36" s="629">
        <f t="shared" si="1"/>
        <v>-0.6235219927479108</v>
      </c>
      <c r="Z36" s="14" t="s">
        <v>70</v>
      </c>
    </row>
    <row r="37" spans="1:26" ht="12.75" customHeight="1">
      <c r="A37" s="11"/>
      <c r="B37" s="113" t="s">
        <v>86</v>
      </c>
      <c r="C37" s="670"/>
      <c r="D37" s="548"/>
      <c r="E37" s="545"/>
      <c r="F37" s="266"/>
      <c r="G37" s="266"/>
      <c r="H37" s="266">
        <v>51.117000000000004</v>
      </c>
      <c r="I37" s="266">
        <v>64.438</v>
      </c>
      <c r="J37" s="266">
        <v>73.497</v>
      </c>
      <c r="K37" s="266">
        <v>94.921</v>
      </c>
      <c r="L37" s="266">
        <f>101.051+8.683</f>
        <v>109.73400000000001</v>
      </c>
      <c r="M37" s="266">
        <f>106.634+9.134</f>
        <v>115.768</v>
      </c>
      <c r="N37" s="266">
        <f>109.387+9.317</f>
        <v>118.70400000000001</v>
      </c>
      <c r="O37" s="266">
        <f>113.134+9.382</f>
        <v>122.516</v>
      </c>
      <c r="P37" s="266">
        <f>119.899+9.598</f>
        <v>129.497</v>
      </c>
      <c r="Q37" s="266">
        <f>128.955+9.788</f>
        <v>138.74300000000002</v>
      </c>
      <c r="R37" s="266">
        <f>138.29+9.985</f>
        <v>148.27499999999998</v>
      </c>
      <c r="S37" s="266">
        <f>144.635+10.155</f>
        <v>154.79</v>
      </c>
      <c r="T37" s="266">
        <f>152.633+10.244</f>
        <v>162.877</v>
      </c>
      <c r="U37" s="266">
        <f>159.147+10.551</f>
        <v>169.69799999999998</v>
      </c>
      <c r="V37" s="266">
        <f>165.742+10.961</f>
        <v>176.703</v>
      </c>
      <c r="W37" s="266">
        <f>170.704+9.597</f>
        <v>180.30100000000002</v>
      </c>
      <c r="X37" s="266">
        <f>164.761</f>
        <v>164.761</v>
      </c>
      <c r="Y37" s="592">
        <f t="shared" si="1"/>
        <v>-8.618920582803213</v>
      </c>
      <c r="Z37" s="110" t="s">
        <v>86</v>
      </c>
    </row>
    <row r="38" spans="1:26" ht="12.75" customHeight="1">
      <c r="A38" s="11"/>
      <c r="B38" s="13" t="s">
        <v>1</v>
      </c>
      <c r="C38" s="614"/>
      <c r="D38" s="76"/>
      <c r="E38" s="546"/>
      <c r="F38" s="76"/>
      <c r="G38" s="76"/>
      <c r="H38" s="76">
        <v>20.104</v>
      </c>
      <c r="I38" s="76">
        <v>20.026</v>
      </c>
      <c r="J38" s="76">
        <v>22.558</v>
      </c>
      <c r="K38" s="76">
        <v>21.937</v>
      </c>
      <c r="L38" s="76">
        <v>23.286</v>
      </c>
      <c r="M38" s="76">
        <v>23.44</v>
      </c>
      <c r="N38" s="76">
        <v>23.47</v>
      </c>
      <c r="O38" s="76">
        <v>24.628</v>
      </c>
      <c r="P38" s="76">
        <v>25.896</v>
      </c>
      <c r="Q38" s="76">
        <v>24.318</v>
      </c>
      <c r="R38" s="76">
        <f>19.042+3.952</f>
        <v>22.994</v>
      </c>
      <c r="S38" s="76">
        <f>15.196+3.194</f>
        <v>18.39</v>
      </c>
      <c r="T38" s="76">
        <f>14.702+3.339</f>
        <v>18.041</v>
      </c>
      <c r="U38" s="76">
        <f>13.545+3.411</f>
        <v>16.956</v>
      </c>
      <c r="V38" s="76">
        <f>12.981+3.575</f>
        <v>16.556</v>
      </c>
      <c r="W38" s="76">
        <f>13.325+3.94</f>
        <v>17.265</v>
      </c>
      <c r="X38" s="76">
        <f>14.16+4.263</f>
        <v>18.423000000000002</v>
      </c>
      <c r="Y38" s="597">
        <f t="shared" si="1"/>
        <v>6.707211120764555</v>
      </c>
      <c r="Z38" s="13" t="s">
        <v>1</v>
      </c>
    </row>
    <row r="39" spans="1:26" ht="12.75" customHeight="1">
      <c r="A39" s="11"/>
      <c r="B39" s="112" t="s">
        <v>66</v>
      </c>
      <c r="C39" s="671"/>
      <c r="D39" s="315" t="s">
        <v>93</v>
      </c>
      <c r="E39" s="550" t="s">
        <v>93</v>
      </c>
      <c r="F39" s="315"/>
      <c r="G39" s="315">
        <f>308.18+379.41</f>
        <v>687.59</v>
      </c>
      <c r="H39" s="315">
        <f>354.29+406.398</f>
        <v>760.6880000000001</v>
      </c>
      <c r="I39" s="315">
        <f>374.473+419.374</f>
        <v>793.847</v>
      </c>
      <c r="J39" s="315">
        <f>397.743+432.216</f>
        <v>829.9590000000001</v>
      </c>
      <c r="K39" s="315">
        <f>442.788+453.796</f>
        <v>896.5840000000001</v>
      </c>
      <c r="L39" s="315">
        <f>529.838+489.071</f>
        <v>1018.909</v>
      </c>
      <c r="M39" s="315">
        <f>626.004+519.749</f>
        <v>1145.7530000000002</v>
      </c>
      <c r="N39" s="315">
        <f>692.935+531.69</f>
        <v>1224.625</v>
      </c>
      <c r="O39" s="315">
        <f>794.459+557.295</f>
        <v>1351.754</v>
      </c>
      <c r="P39" s="315">
        <f>833.175+562.063</f>
        <v>1395.2379999999998</v>
      </c>
      <c r="Q39" s="315">
        <f>875.381+567.152</f>
        <v>1442.533</v>
      </c>
      <c r="R39" s="315">
        <f>973.457+579.01</f>
        <v>1552.467</v>
      </c>
      <c r="S39" s="315">
        <f>1259.867+647.42</f>
        <v>1907.2869999999998</v>
      </c>
      <c r="T39" s="315">
        <f>1475.057+676.929</f>
        <v>2151.986</v>
      </c>
      <c r="U39" s="315">
        <f>1695.624+709.535</f>
        <v>2405.159</v>
      </c>
      <c r="V39" s="315">
        <f>1890.459+729.202</f>
        <v>2619.661</v>
      </c>
      <c r="W39" s="315">
        <f>2066.007+744.217</f>
        <v>2810.224</v>
      </c>
      <c r="X39" s="315">
        <f>2204.951+727.302</f>
        <v>2932.253</v>
      </c>
      <c r="Y39" s="593">
        <f t="shared" si="1"/>
        <v>4.342322889563249</v>
      </c>
      <c r="Z39" s="112" t="s">
        <v>66</v>
      </c>
    </row>
    <row r="40" spans="1:26" ht="12.75" customHeight="1">
      <c r="A40" s="11"/>
      <c r="B40" s="12" t="s">
        <v>52</v>
      </c>
      <c r="C40" s="612"/>
      <c r="D40" s="138" t="s">
        <v>93</v>
      </c>
      <c r="E40" s="544">
        <f>7.707+5.415</f>
        <v>13.122</v>
      </c>
      <c r="F40" s="138">
        <f>7.615+7.008</f>
        <v>14.623000000000001</v>
      </c>
      <c r="G40" s="138">
        <f>6.777+8.068</f>
        <v>14.844999999999999</v>
      </c>
      <c r="H40" s="138">
        <f>6.506+7.945</f>
        <v>14.451</v>
      </c>
      <c r="I40" s="138">
        <f>6.392+7.956</f>
        <v>14.348</v>
      </c>
      <c r="J40" s="138">
        <f>6.445+8.312</f>
        <v>14.757</v>
      </c>
      <c r="K40" s="138">
        <f>6.594+8.666</f>
        <v>15.260000000000002</v>
      </c>
      <c r="L40" s="138">
        <f>6.812+9.216</f>
        <v>16.028</v>
      </c>
      <c r="M40" s="138">
        <f>6.76+9.79</f>
        <v>16.549999999999997</v>
      </c>
      <c r="N40" s="138">
        <f>7.028+10.779</f>
        <v>17.807</v>
      </c>
      <c r="O40" s="138">
        <f>7.466+11.966</f>
        <v>19.432</v>
      </c>
      <c r="P40" s="138">
        <f>7.618+12.372</f>
        <v>19.990000000000002</v>
      </c>
      <c r="Q40" s="138">
        <f>7.664+12.614</f>
        <v>20.278</v>
      </c>
      <c r="R40" s="138">
        <f>8.04+13.195</f>
        <v>21.235</v>
      </c>
      <c r="S40" s="138">
        <v>23.035</v>
      </c>
      <c r="T40" s="138">
        <f>9.508+16.036</f>
        <v>25.544</v>
      </c>
      <c r="U40" s="138">
        <v>28.087</v>
      </c>
      <c r="V40" s="138">
        <v>31.095</v>
      </c>
      <c r="W40" s="138">
        <v>31.819</v>
      </c>
      <c r="X40" s="138">
        <f>10.458+20.465</f>
        <v>30.923000000000002</v>
      </c>
      <c r="Y40" s="628">
        <f t="shared" si="1"/>
        <v>-2.8159275904333754</v>
      </c>
      <c r="Z40" s="12" t="s">
        <v>52</v>
      </c>
    </row>
    <row r="41" spans="1:26" ht="12.75" customHeight="1">
      <c r="A41" s="11"/>
      <c r="B41" s="110" t="s">
        <v>83</v>
      </c>
      <c r="C41" s="613"/>
      <c r="D41" s="266" t="s">
        <v>93</v>
      </c>
      <c r="E41" s="545">
        <v>308.299</v>
      </c>
      <c r="F41" s="266">
        <v>311.063</v>
      </c>
      <c r="G41" s="266">
        <v>314.882</v>
      </c>
      <c r="H41" s="266">
        <v>323.387</v>
      </c>
      <c r="I41" s="266">
        <v>335.779</v>
      </c>
      <c r="J41" s="266">
        <v>349.504</v>
      </c>
      <c r="K41" s="266">
        <v>358.128</v>
      </c>
      <c r="L41" s="266">
        <v>377.01200000000006</v>
      </c>
      <c r="M41" s="266">
        <v>390.829</v>
      </c>
      <c r="N41" s="266">
        <v>403.039</v>
      </c>
      <c r="O41" s="266">
        <v>414.34</v>
      </c>
      <c r="P41" s="266">
        <v>426.977</v>
      </c>
      <c r="Q41" s="266">
        <v>431.028</v>
      </c>
      <c r="R41" s="266">
        <v>438.28200000000004</v>
      </c>
      <c r="S41" s="266">
        <v>449.801</v>
      </c>
      <c r="T41" s="266">
        <f>302.956+82.778+79.705</f>
        <v>465.439</v>
      </c>
      <c r="U41" s="266">
        <f>331.052+73.904+83.609</f>
        <v>488.565</v>
      </c>
      <c r="V41" s="266">
        <f>361.911+84.742+67.02</f>
        <v>513.673</v>
      </c>
      <c r="W41" s="266">
        <f>379.343+84.35+59.657</f>
        <v>523.35</v>
      </c>
      <c r="X41" s="266">
        <f>387.546+53.911+82.694</f>
        <v>524.151</v>
      </c>
      <c r="Y41" s="592">
        <f t="shared" si="1"/>
        <v>0.1530524505588744</v>
      </c>
      <c r="Z41" s="110" t="s">
        <v>83</v>
      </c>
    </row>
    <row r="42" spans="1:26" ht="12.75" customHeight="1">
      <c r="A42" s="11"/>
      <c r="B42" s="13" t="s">
        <v>53</v>
      </c>
      <c r="C42" s="614">
        <v>106.997</v>
      </c>
      <c r="D42" s="76">
        <v>169.402</v>
      </c>
      <c r="E42" s="546">
        <v>252.136</v>
      </c>
      <c r="F42" s="76">
        <v>257.646</v>
      </c>
      <c r="G42" s="76">
        <v>256.611</v>
      </c>
      <c r="H42" s="76">
        <v>253.461</v>
      </c>
      <c r="I42" s="76">
        <v>256.285</v>
      </c>
      <c r="J42" s="76">
        <v>262.352</v>
      </c>
      <c r="K42" s="76">
        <v>263.02</v>
      </c>
      <c r="L42" s="76">
        <v>264.2</v>
      </c>
      <c r="M42" s="76">
        <v>267.38</v>
      </c>
      <c r="N42" s="76">
        <v>273.954</v>
      </c>
      <c r="O42" s="76">
        <v>278.518</v>
      </c>
      <c r="P42" s="76">
        <v>285.246</v>
      </c>
      <c r="Q42" s="76">
        <v>290.142</v>
      </c>
      <c r="R42" s="76">
        <v>292.329</v>
      </c>
      <c r="S42" s="76">
        <v>298.193</v>
      </c>
      <c r="T42" s="76">
        <v>307.161</v>
      </c>
      <c r="U42" s="76">
        <v>314.04</v>
      </c>
      <c r="V42" s="76">
        <v>324.153</v>
      </c>
      <c r="W42" s="76">
        <v>326.232</v>
      </c>
      <c r="X42" s="76">
        <f>327.808</f>
        <v>327.808</v>
      </c>
      <c r="Y42" s="597">
        <f t="shared" si="1"/>
        <v>0.4830917874395908</v>
      </c>
      <c r="Z42" s="13" t="s">
        <v>53</v>
      </c>
    </row>
    <row r="43" spans="1:26" ht="12.75" customHeight="1">
      <c r="A43" s="11"/>
      <c r="B43" s="112" t="s">
        <v>94</v>
      </c>
      <c r="C43" s="671"/>
      <c r="D43" s="315"/>
      <c r="E43" s="550"/>
      <c r="F43" s="315"/>
      <c r="G43" s="315"/>
      <c r="H43" s="315"/>
      <c r="I43" s="315"/>
      <c r="J43" s="315"/>
      <c r="K43" s="315"/>
      <c r="L43" s="315"/>
      <c r="M43" s="315"/>
      <c r="N43" s="315">
        <v>2.884</v>
      </c>
      <c r="O43" s="315">
        <v>2.46</v>
      </c>
      <c r="P43" s="315">
        <v>2.6</v>
      </c>
      <c r="Q43" s="315">
        <v>2.665</v>
      </c>
      <c r="R43" s="315">
        <v>2.56</v>
      </c>
      <c r="S43" s="315">
        <v>2.591</v>
      </c>
      <c r="T43" s="315">
        <v>2.579</v>
      </c>
      <c r="U43" s="315">
        <v>2.525</v>
      </c>
      <c r="V43" s="315">
        <v>2.566</v>
      </c>
      <c r="W43" s="315">
        <v>2.696</v>
      </c>
      <c r="X43" s="315">
        <f>2.712</f>
        <v>2.712</v>
      </c>
      <c r="Y43" s="593">
        <f t="shared" si="1"/>
        <v>0.5934718100890137</v>
      </c>
      <c r="Z43" s="112" t="s">
        <v>94</v>
      </c>
    </row>
    <row r="44" spans="2:26" ht="30" customHeight="1">
      <c r="B44" s="879" t="s">
        <v>143</v>
      </c>
      <c r="C44" s="879"/>
      <c r="D44" s="879"/>
      <c r="E44" s="879"/>
      <c r="F44" s="879"/>
      <c r="G44" s="879"/>
      <c r="H44" s="879"/>
      <c r="I44" s="879"/>
      <c r="J44" s="879"/>
      <c r="K44" s="879"/>
      <c r="L44" s="879"/>
      <c r="M44" s="879"/>
      <c r="N44" s="879"/>
      <c r="O44" s="879"/>
      <c r="P44" s="879"/>
      <c r="Q44" s="879"/>
      <c r="R44" s="879"/>
      <c r="S44" s="879"/>
      <c r="T44" s="879"/>
      <c r="U44" s="880"/>
      <c r="V44" s="880"/>
      <c r="W44" s="880"/>
      <c r="X44" s="880"/>
      <c r="Y44" s="880"/>
      <c r="Z44" s="880"/>
    </row>
    <row r="45" spans="2:26" ht="12.75" customHeight="1">
      <c r="B45" s="874" t="s">
        <v>192</v>
      </c>
      <c r="C45" s="868"/>
      <c r="D45" s="868"/>
      <c r="E45" s="868"/>
      <c r="F45" s="868"/>
      <c r="G45" s="868"/>
      <c r="H45" s="868"/>
      <c r="I45" s="868"/>
      <c r="J45" s="868"/>
      <c r="K45" s="868"/>
      <c r="L45" s="868"/>
      <c r="M45" s="868"/>
      <c r="N45" s="868"/>
      <c r="O45" s="868"/>
      <c r="P45" s="868"/>
      <c r="Q45" s="868"/>
      <c r="R45" s="868"/>
      <c r="S45" s="868"/>
      <c r="T45" s="868"/>
      <c r="U45" s="868"/>
      <c r="V45" s="868"/>
      <c r="W45" s="868"/>
      <c r="X45" s="868"/>
      <c r="Y45" s="868"/>
      <c r="Z45" s="868"/>
    </row>
    <row r="46" spans="2:26" ht="12.75" customHeight="1">
      <c r="B46" s="877" t="s">
        <v>189</v>
      </c>
      <c r="C46" s="877"/>
      <c r="D46" s="877"/>
      <c r="E46" s="877"/>
      <c r="F46" s="877"/>
      <c r="G46" s="877"/>
      <c r="H46" s="877"/>
      <c r="I46" s="877"/>
      <c r="J46" s="877"/>
      <c r="K46" s="877"/>
      <c r="L46" s="877"/>
      <c r="M46" s="877"/>
      <c r="N46" s="877"/>
      <c r="O46" s="877"/>
      <c r="P46" s="877"/>
      <c r="Q46" s="877"/>
      <c r="R46" s="877"/>
      <c r="S46" s="877"/>
      <c r="T46" s="877"/>
      <c r="U46" s="877"/>
      <c r="V46" s="877"/>
      <c r="W46" s="877"/>
      <c r="X46" s="877"/>
      <c r="Y46" s="877"/>
      <c r="Z46" s="877"/>
    </row>
    <row r="47" spans="2:26" ht="24" customHeight="1">
      <c r="B47" s="877" t="s">
        <v>193</v>
      </c>
      <c r="C47" s="877"/>
      <c r="D47" s="877"/>
      <c r="E47" s="877"/>
      <c r="F47" s="877"/>
      <c r="G47" s="877"/>
      <c r="H47" s="877"/>
      <c r="I47" s="877"/>
      <c r="J47" s="877"/>
      <c r="K47" s="877"/>
      <c r="L47" s="877"/>
      <c r="M47" s="877"/>
      <c r="N47" s="877"/>
      <c r="O47" s="877"/>
      <c r="P47" s="877"/>
      <c r="Q47" s="877"/>
      <c r="R47" s="877"/>
      <c r="S47" s="877"/>
      <c r="T47" s="877"/>
      <c r="U47" s="877"/>
      <c r="V47" s="877"/>
      <c r="W47" s="877"/>
      <c r="X47" s="877"/>
      <c r="Y47" s="877"/>
      <c r="Z47" s="877"/>
    </row>
  </sheetData>
  <mergeCells count="7">
    <mergeCell ref="B45:Z45"/>
    <mergeCell ref="B46:Z46"/>
    <mergeCell ref="B47:Z47"/>
    <mergeCell ref="B1:C1"/>
    <mergeCell ref="B2:Z2"/>
    <mergeCell ref="B3:Z3"/>
    <mergeCell ref="B44:Z44"/>
  </mergeCells>
  <printOptions horizontalCentered="1"/>
  <pageMargins left="0.6692913385826772" right="0.4724409448818898" top="0.4724409448818898" bottom="0.2755905511811024" header="0.31496062992125984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011"/>
  <dimension ref="A1:S49"/>
  <sheetViews>
    <sheetView workbookViewId="0" topLeftCell="A1">
      <selection activeCell="B49" sqref="B49:S49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3" width="7.28125" style="1" customWidth="1"/>
    <col min="4" max="7" width="7.28125" style="1" hidden="1" customWidth="1"/>
    <col min="8" max="13" width="7.28125" style="0" customWidth="1"/>
    <col min="14" max="17" width="7.7109375" style="0" customWidth="1"/>
    <col min="18" max="18" width="6.7109375" style="0" customWidth="1"/>
    <col min="19" max="19" width="4.00390625" style="0" customWidth="1"/>
  </cols>
  <sheetData>
    <row r="1" spans="2:19" ht="14.25" customHeight="1">
      <c r="B1" s="47"/>
      <c r="C1" s="262"/>
      <c r="D1" s="262"/>
      <c r="E1" s="262"/>
      <c r="F1" s="262"/>
      <c r="G1" s="262"/>
      <c r="H1" s="35"/>
      <c r="I1" s="35"/>
      <c r="S1" s="22" t="s">
        <v>212</v>
      </c>
    </row>
    <row r="2" spans="2:19" s="80" customFormat="1" ht="30" customHeight="1">
      <c r="B2" s="881" t="s">
        <v>18</v>
      </c>
      <c r="C2" s="881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</row>
    <row r="3" spans="2:19" ht="15" customHeight="1">
      <c r="B3" s="882" t="s">
        <v>152</v>
      </c>
      <c r="C3" s="882"/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82"/>
      <c r="Q3" s="882"/>
      <c r="R3" s="882"/>
      <c r="S3" s="882"/>
    </row>
    <row r="4" spans="2:19" ht="12.75" customHeight="1">
      <c r="B4" s="5"/>
      <c r="C4" s="5"/>
      <c r="D4" s="5"/>
      <c r="E4" s="5"/>
      <c r="F4" s="5"/>
      <c r="G4" s="5"/>
      <c r="H4" s="33"/>
      <c r="P4" s="52"/>
      <c r="Q4" s="52" t="s">
        <v>5</v>
      </c>
      <c r="S4" s="137"/>
    </row>
    <row r="5" spans="2:19" ht="19.5" customHeight="1">
      <c r="B5" s="5"/>
      <c r="C5" s="282">
        <v>1995</v>
      </c>
      <c r="D5" s="283">
        <v>1996</v>
      </c>
      <c r="E5" s="283">
        <v>1997</v>
      </c>
      <c r="F5" s="283">
        <v>1998</v>
      </c>
      <c r="G5" s="283">
        <v>1999</v>
      </c>
      <c r="H5" s="283">
        <v>2000</v>
      </c>
      <c r="I5" s="283">
        <v>2001</v>
      </c>
      <c r="J5" s="283">
        <v>2002</v>
      </c>
      <c r="K5" s="283">
        <v>2003</v>
      </c>
      <c r="L5" s="283">
        <v>2004</v>
      </c>
      <c r="M5" s="283">
        <v>2005</v>
      </c>
      <c r="N5" s="283">
        <v>2006</v>
      </c>
      <c r="O5" s="283">
        <v>2007</v>
      </c>
      <c r="P5" s="283">
        <v>2008</v>
      </c>
      <c r="Q5" s="283">
        <v>2009</v>
      </c>
      <c r="R5" s="394" t="s">
        <v>229</v>
      </c>
      <c r="S5" s="9"/>
    </row>
    <row r="6" spans="2:19" ht="9.75" customHeight="1">
      <c r="B6" s="5"/>
      <c r="C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395" t="s">
        <v>132</v>
      </c>
      <c r="S6" s="9"/>
    </row>
    <row r="7" spans="2:19" ht="12.75" customHeight="1">
      <c r="B7" s="113" t="s">
        <v>40</v>
      </c>
      <c r="C7" s="420"/>
      <c r="D7" s="261"/>
      <c r="E7" s="261"/>
      <c r="F7" s="261"/>
      <c r="G7" s="261"/>
      <c r="H7" s="131"/>
      <c r="I7" s="131"/>
      <c r="J7" s="131">
        <f aca="true" t="shared" si="0" ref="J7:O7">SUM(J10:J36)</f>
        <v>27062.322000000007</v>
      </c>
      <c r="K7" s="131">
        <f t="shared" si="0"/>
        <v>27944.93999999999</v>
      </c>
      <c r="L7" s="131">
        <f t="shared" si="0"/>
        <v>28450.276000000005</v>
      </c>
      <c r="M7" s="131">
        <f t="shared" si="0"/>
        <v>29703.468</v>
      </c>
      <c r="N7" s="209">
        <f t="shared" si="0"/>
        <v>30760.71799999999</v>
      </c>
      <c r="O7" s="131">
        <f t="shared" si="0"/>
        <v>32797.565</v>
      </c>
      <c r="P7" s="131">
        <f>SUM(P10:P36)</f>
        <v>34422.88799999999</v>
      </c>
      <c r="Q7" s="131">
        <f>SUM(Q10:Q36)</f>
        <v>35104.568999999996</v>
      </c>
      <c r="R7" s="627">
        <f aca="true" t="shared" si="1" ref="R7:R43">Q7/P7*100-100</f>
        <v>1.9803132148586826</v>
      </c>
      <c r="S7" s="202" t="s">
        <v>40</v>
      </c>
    </row>
    <row r="8" spans="1:19" ht="12.75" customHeight="1">
      <c r="A8" s="4"/>
      <c r="B8" s="110" t="s">
        <v>71</v>
      </c>
      <c r="C8" s="421"/>
      <c r="D8" s="132">
        <f>SUM(D10,D13,D14,D16:D20,D24,D27,D28,D30,D34:D36)</f>
        <v>17330.559</v>
      </c>
      <c r="E8" s="132">
        <f>SUM(E10,E13,E14,E16:E20,E24,E27,E28,E30,E34:E36)</f>
        <v>17133.356</v>
      </c>
      <c r="F8" s="132">
        <f>SUM(F10,F13,F14,F16:F20,F24,F27,F28,F30,F34:F36)</f>
        <v>18274.485999999997</v>
      </c>
      <c r="G8" s="132">
        <f>SUM(G10,G13,G14,G16:G20,G24,G27,G28,G30,G34:G36)</f>
        <v>19288.130999999994</v>
      </c>
      <c r="H8" s="132">
        <f aca="true" t="shared" si="2" ref="H8:N8">SUM(H10,H13,H14,H16:H20,H24,H27,H28,H30,H34:H36)</f>
        <v>20805.456999999995</v>
      </c>
      <c r="I8" s="132">
        <f t="shared" si="2"/>
        <v>23530.213</v>
      </c>
      <c r="J8" s="132">
        <f t="shared" si="2"/>
        <v>24366.145000000004</v>
      </c>
      <c r="K8" s="132">
        <f t="shared" si="2"/>
        <v>25275.67</v>
      </c>
      <c r="L8" s="132">
        <f t="shared" si="2"/>
        <v>26163.246000000003</v>
      </c>
      <c r="M8" s="132">
        <f t="shared" si="2"/>
        <v>27127.554</v>
      </c>
      <c r="N8" s="210">
        <f t="shared" si="2"/>
        <v>28108.613999999994</v>
      </c>
      <c r="O8" s="132">
        <f>SUM(O10,O13,O14,O16:O20,O24,O27,O28,O30,O34:O36)</f>
        <v>30020.129</v>
      </c>
      <c r="P8" s="132">
        <f>SUM(P10,P13,P14,P16:P20,P24,P27,P28,P30,P34:P36)</f>
        <v>31278.029</v>
      </c>
      <c r="Q8" s="132">
        <f>SUM(Q10,Q13,Q14,Q16:Q20,Q24,Q27,Q28,Q30,Q34:Q36)</f>
        <v>31729.946</v>
      </c>
      <c r="R8" s="585">
        <f t="shared" si="1"/>
        <v>1.4448384839083133</v>
      </c>
      <c r="S8" s="203" t="s">
        <v>71</v>
      </c>
    </row>
    <row r="9" spans="1:19" ht="12.75" customHeight="1">
      <c r="A9" s="4"/>
      <c r="B9" s="112" t="s">
        <v>131</v>
      </c>
      <c r="C9" s="422"/>
      <c r="D9" s="423"/>
      <c r="E9" s="423"/>
      <c r="F9" s="423"/>
      <c r="G9" s="423"/>
      <c r="H9" s="423"/>
      <c r="I9" s="423"/>
      <c r="J9" s="423">
        <f aca="true" t="shared" si="3" ref="J9:O9">SUM(J11,J12,J15,J21,J22,J23,J25,J26,J29,J31,J32,J33)</f>
        <v>2696.1770000000006</v>
      </c>
      <c r="K9" s="423">
        <f t="shared" si="3"/>
        <v>2669.2699999999995</v>
      </c>
      <c r="L9" s="423">
        <f t="shared" si="3"/>
        <v>2287.0299999999997</v>
      </c>
      <c r="M9" s="423">
        <f t="shared" si="3"/>
        <v>2575.9139999999993</v>
      </c>
      <c r="N9" s="423">
        <f t="shared" si="3"/>
        <v>2652.1040000000007</v>
      </c>
      <c r="O9" s="423">
        <f t="shared" si="3"/>
        <v>2777.4359999999997</v>
      </c>
      <c r="P9" s="423">
        <f>SUM(P11,P12,P15,P21,P22,P23,P25,P26,P29,P31,P32,P33)</f>
        <v>3144.8590000000004</v>
      </c>
      <c r="Q9" s="423">
        <f>SUM(Q11,Q12,Q15,Q21,Q22,Q23,Q25,Q26,Q29,Q31,Q32,Q33)</f>
        <v>3374.6229999999996</v>
      </c>
      <c r="R9" s="685">
        <f t="shared" si="1"/>
        <v>7.306019125181734</v>
      </c>
      <c r="S9" s="204" t="s">
        <v>131</v>
      </c>
    </row>
    <row r="10" spans="1:19" ht="12.75" customHeight="1">
      <c r="A10" s="11"/>
      <c r="B10" s="12" t="s">
        <v>72</v>
      </c>
      <c r="C10" s="612"/>
      <c r="D10" s="138">
        <v>212.432</v>
      </c>
      <c r="E10" s="138">
        <v>225.317</v>
      </c>
      <c r="F10" s="138">
        <v>241.11</v>
      </c>
      <c r="G10" s="138">
        <v>260.567</v>
      </c>
      <c r="H10" s="138">
        <v>277.838</v>
      </c>
      <c r="I10" s="138">
        <v>293.63</v>
      </c>
      <c r="J10" s="138">
        <v>305.51</v>
      </c>
      <c r="K10" s="138">
        <v>319.48</v>
      </c>
      <c r="L10" s="138">
        <v>322.762</v>
      </c>
      <c r="M10" s="138">
        <v>346.293</v>
      </c>
      <c r="N10" s="138">
        <v>359.764</v>
      </c>
      <c r="O10" s="138">
        <v>374.743</v>
      </c>
      <c r="P10" s="138">
        <v>388.28</v>
      </c>
      <c r="Q10" s="138">
        <v>403.94</v>
      </c>
      <c r="R10" s="628">
        <f t="shared" si="1"/>
        <v>4.0331719377768565</v>
      </c>
      <c r="S10" s="205" t="s">
        <v>72</v>
      </c>
    </row>
    <row r="11" spans="1:19" ht="12.75" customHeight="1">
      <c r="A11" s="11"/>
      <c r="B11" s="110" t="s">
        <v>54</v>
      </c>
      <c r="C11" s="613">
        <v>519.3</v>
      </c>
      <c r="D11" s="266">
        <v>521.7</v>
      </c>
      <c r="E11" s="266">
        <v>525</v>
      </c>
      <c r="F11" s="266">
        <v>515.7</v>
      </c>
      <c r="G11" s="266">
        <v>519.2</v>
      </c>
      <c r="H11" s="266">
        <v>520.5</v>
      </c>
      <c r="I11" s="266">
        <v>524.1</v>
      </c>
      <c r="J11" s="266">
        <v>528.3</v>
      </c>
      <c r="K11" s="417">
        <v>533.7</v>
      </c>
      <c r="L11" s="266">
        <v>137.7</v>
      </c>
      <c r="M11" s="417">
        <v>146.5</v>
      </c>
      <c r="N11" s="266">
        <v>76.254</v>
      </c>
      <c r="O11" s="266">
        <v>90.318</v>
      </c>
      <c r="P11" s="266">
        <v>106.911</v>
      </c>
      <c r="Q11" s="266">
        <f>117.595</f>
        <v>117.595</v>
      </c>
      <c r="R11" s="592">
        <f t="shared" si="1"/>
        <v>9.993358962127388</v>
      </c>
      <c r="S11" s="203" t="s">
        <v>54</v>
      </c>
    </row>
    <row r="12" spans="1:19" ht="12.75" customHeight="1">
      <c r="A12" s="11"/>
      <c r="B12" s="13" t="s">
        <v>56</v>
      </c>
      <c r="C12" s="614">
        <v>915.229</v>
      </c>
      <c r="D12" s="76">
        <v>918.159</v>
      </c>
      <c r="E12" s="76">
        <v>929.627</v>
      </c>
      <c r="F12" s="415">
        <v>927.08</v>
      </c>
      <c r="G12" s="76">
        <v>799.647</v>
      </c>
      <c r="H12" s="76">
        <v>748.14</v>
      </c>
      <c r="I12" s="76">
        <v>755.482</v>
      </c>
      <c r="J12" s="76">
        <v>760.219</v>
      </c>
      <c r="K12" s="76">
        <v>751.634</v>
      </c>
      <c r="L12" s="76">
        <v>756.559</v>
      </c>
      <c r="M12" s="76">
        <v>794</v>
      </c>
      <c r="N12" s="76">
        <v>822.703</v>
      </c>
      <c r="O12" s="76">
        <v>860.131</v>
      </c>
      <c r="P12" s="76">
        <v>892.796</v>
      </c>
      <c r="Q12" s="76">
        <v>903.346</v>
      </c>
      <c r="R12" s="597">
        <f t="shared" si="1"/>
        <v>1.1816809215094963</v>
      </c>
      <c r="S12" s="206" t="s">
        <v>56</v>
      </c>
    </row>
    <row r="13" spans="1:19" ht="12.75" customHeight="1">
      <c r="A13" s="11"/>
      <c r="B13" s="110" t="s">
        <v>67</v>
      </c>
      <c r="C13" s="613">
        <v>58.014</v>
      </c>
      <c r="D13" s="266">
        <v>73.85</v>
      </c>
      <c r="E13" s="266">
        <v>93.875</v>
      </c>
      <c r="F13" s="266">
        <v>112.12</v>
      </c>
      <c r="G13" s="266">
        <v>126.938</v>
      </c>
      <c r="H13" s="266">
        <v>138.31</v>
      </c>
      <c r="I13" s="266">
        <v>146.365</v>
      </c>
      <c r="J13" s="266">
        <v>151.322</v>
      </c>
      <c r="K13" s="266">
        <v>155.74</v>
      </c>
      <c r="L13" s="266">
        <v>162.128</v>
      </c>
      <c r="M13" s="266">
        <f>105.264+66.653</f>
        <v>171.917</v>
      </c>
      <c r="N13" s="266">
        <f>118.752+65.284</f>
        <v>184.036</v>
      </c>
      <c r="O13" s="266">
        <f>133.914+63.263</f>
        <v>197.177</v>
      </c>
      <c r="P13" s="266">
        <f>143.546+61.224</f>
        <v>204.76999999999998</v>
      </c>
      <c r="Q13" s="266">
        <f>147.373+57.866</f>
        <v>205.23899999999998</v>
      </c>
      <c r="R13" s="592">
        <f t="shared" si="1"/>
        <v>0.2290374566587019</v>
      </c>
      <c r="S13" s="203" t="s">
        <v>67</v>
      </c>
    </row>
    <row r="14" spans="1:19" ht="12.75" customHeight="1">
      <c r="A14" s="11"/>
      <c r="B14" s="13" t="s">
        <v>73</v>
      </c>
      <c r="C14" s="614">
        <f>1728.057+2267.428</f>
        <v>3995.4849999999997</v>
      </c>
      <c r="D14" s="415">
        <f>1666.995+2470.451</f>
        <v>4137.446</v>
      </c>
      <c r="E14" s="76">
        <f>1634.083+2096.673</f>
        <v>3730.756</v>
      </c>
      <c r="F14" s="76">
        <f>1747.139+2427.207</f>
        <v>4174.346</v>
      </c>
      <c r="G14" s="76">
        <f>1742.704+2646.497</f>
        <v>4389.201</v>
      </c>
      <c r="H14" s="76">
        <f>1594.749+2843.333</f>
        <v>4438.082</v>
      </c>
      <c r="I14" s="76">
        <f>1682.523+2984.626</f>
        <v>4667.149</v>
      </c>
      <c r="J14" s="76">
        <f>1583.917+3093.968</f>
        <v>4677.885</v>
      </c>
      <c r="K14" s="76">
        <f>1662.765+3201.042</f>
        <v>4863.807</v>
      </c>
      <c r="L14" s="76">
        <f>1785.62+3292.362</f>
        <v>5077.982</v>
      </c>
      <c r="M14" s="76">
        <f>1818.629+3384.272</f>
        <v>5202.901</v>
      </c>
      <c r="N14" s="76">
        <f>1930.185+3475.715</f>
        <v>5405.9</v>
      </c>
      <c r="O14" s="76">
        <f>1983.845+3566.122</f>
        <v>5549.967</v>
      </c>
      <c r="P14" s="76">
        <f>2193.693+3658.59</f>
        <v>5852.283</v>
      </c>
      <c r="Q14" s="76">
        <f>3762.561+2104.204</f>
        <v>5866.765</v>
      </c>
      <c r="R14" s="597">
        <f t="shared" si="1"/>
        <v>0.2474589831011258</v>
      </c>
      <c r="S14" s="206" t="s">
        <v>73</v>
      </c>
    </row>
    <row r="15" spans="1:19" ht="12.75" customHeight="1">
      <c r="A15" s="11"/>
      <c r="B15" s="110" t="s">
        <v>57</v>
      </c>
      <c r="C15" s="613">
        <v>3.3</v>
      </c>
      <c r="D15" s="266">
        <v>4.7</v>
      </c>
      <c r="E15" s="266">
        <v>5.3</v>
      </c>
      <c r="F15" s="266">
        <v>6.1</v>
      </c>
      <c r="G15" s="266">
        <v>6.7</v>
      </c>
      <c r="H15" s="266">
        <v>6.7</v>
      </c>
      <c r="I15" s="266">
        <v>6.8</v>
      </c>
      <c r="J15" s="266">
        <v>7.3</v>
      </c>
      <c r="K15" s="266">
        <v>8.1</v>
      </c>
      <c r="L15" s="266">
        <v>9.1</v>
      </c>
      <c r="M15" s="266">
        <v>10.234</v>
      </c>
      <c r="N15" s="266">
        <v>12.594</v>
      </c>
      <c r="O15" s="266">
        <v>14.78</v>
      </c>
      <c r="P15" s="266">
        <v>17.622</v>
      </c>
      <c r="Q15" s="266">
        <f>18.6</f>
        <v>18.6</v>
      </c>
      <c r="R15" s="592">
        <f t="shared" si="1"/>
        <v>5.549880830779713</v>
      </c>
      <c r="S15" s="203" t="s">
        <v>57</v>
      </c>
    </row>
    <row r="16" spans="1:19" ht="12.75" customHeight="1">
      <c r="A16" s="11"/>
      <c r="B16" s="13" t="s">
        <v>76</v>
      </c>
      <c r="C16" s="614">
        <v>23.452</v>
      </c>
      <c r="D16" s="76">
        <v>23.847</v>
      </c>
      <c r="E16" s="76">
        <v>24.424</v>
      </c>
      <c r="F16" s="76">
        <v>24.398</v>
      </c>
      <c r="G16" s="76">
        <v>26.677</v>
      </c>
      <c r="H16" s="76">
        <v>30.638</v>
      </c>
      <c r="I16" s="76">
        <v>32.913</v>
      </c>
      <c r="J16" s="76">
        <v>33.147</v>
      </c>
      <c r="K16" s="76">
        <v>35.094</v>
      </c>
      <c r="L16" s="76">
        <v>34.854</v>
      </c>
      <c r="M16" s="76">
        <v>34.3</v>
      </c>
      <c r="N16" s="76">
        <v>34.927</v>
      </c>
      <c r="O16" s="76">
        <v>37.178</v>
      </c>
      <c r="P16" s="76">
        <v>39.409</v>
      </c>
      <c r="Q16" s="76">
        <v>39.552</v>
      </c>
      <c r="R16" s="597">
        <f t="shared" si="1"/>
        <v>0.36286127534319235</v>
      </c>
      <c r="S16" s="206" t="s">
        <v>76</v>
      </c>
    </row>
    <row r="17" spans="1:19" ht="12.75" customHeight="1">
      <c r="A17" s="11"/>
      <c r="B17" s="110" t="s">
        <v>68</v>
      </c>
      <c r="C17" s="613"/>
      <c r="D17" s="266"/>
      <c r="E17" s="266"/>
      <c r="F17" s="266"/>
      <c r="G17" s="266"/>
      <c r="H17" s="266">
        <v>781.361</v>
      </c>
      <c r="I17" s="266">
        <v>853.366</v>
      </c>
      <c r="J17" s="266">
        <v>910.555</v>
      </c>
      <c r="K17" s="266">
        <v>969.895</v>
      </c>
      <c r="L17" s="266">
        <v>1042.605</v>
      </c>
      <c r="M17" s="266">
        <v>1124.172</v>
      </c>
      <c r="N17" s="266">
        <v>1205.816</v>
      </c>
      <c r="O17" s="266">
        <v>1298.688</v>
      </c>
      <c r="P17" s="266">
        <v>1388.607</v>
      </c>
      <c r="Q17" s="266">
        <v>1448.851</v>
      </c>
      <c r="R17" s="592">
        <f t="shared" si="1"/>
        <v>4.338448531513976</v>
      </c>
      <c r="S17" s="203" t="s">
        <v>68</v>
      </c>
    </row>
    <row r="18" spans="1:19" ht="12.75" customHeight="1">
      <c r="A18" s="11"/>
      <c r="B18" s="13" t="s">
        <v>74</v>
      </c>
      <c r="C18" s="614">
        <v>1301.18</v>
      </c>
      <c r="D18" s="76">
        <v>1308.208</v>
      </c>
      <c r="E18" s="76">
        <v>1326.333</v>
      </c>
      <c r="F18" s="76">
        <v>1361.155</v>
      </c>
      <c r="G18" s="76">
        <v>1403.771</v>
      </c>
      <c r="H18" s="415">
        <v>1445.644</v>
      </c>
      <c r="I18" s="76">
        <f>1483.442+1806.758</f>
        <v>3290.2</v>
      </c>
      <c r="J18" s="76">
        <f>1517.208+2044.242</f>
        <v>3561.45</v>
      </c>
      <c r="K18" s="76">
        <f>1513.526+2143.593</f>
        <v>3657.1189999999997</v>
      </c>
      <c r="L18" s="76">
        <f>1612.082+2242.046</f>
        <v>3854.1279999999997</v>
      </c>
      <c r="M18" s="76">
        <f>1805.827+2311.773</f>
        <v>4117.6</v>
      </c>
      <c r="N18" s="76">
        <f>2050.531+2387.1</f>
        <v>4437.630999999999</v>
      </c>
      <c r="O18" s="76">
        <f>2311.346+2430.5</f>
        <v>4741.846</v>
      </c>
      <c r="P18" s="76">
        <f>2500.819+2410.69</f>
        <v>4911.509</v>
      </c>
      <c r="Q18" s="76">
        <f>2352.205+2606.674</f>
        <v>4958.879</v>
      </c>
      <c r="R18" s="597">
        <f t="shared" si="1"/>
        <v>0.9644693718366284</v>
      </c>
      <c r="S18" s="206" t="s">
        <v>74</v>
      </c>
    </row>
    <row r="19" spans="1:19" ht="12.75" customHeight="1">
      <c r="A19" s="11"/>
      <c r="B19" s="110" t="s">
        <v>75</v>
      </c>
      <c r="C19" s="613">
        <f>1562+727</f>
        <v>2289</v>
      </c>
      <c r="D19" s="266">
        <f>1540+738</f>
        <v>2278</v>
      </c>
      <c r="E19" s="266">
        <f>1518+780</f>
        <v>2298</v>
      </c>
      <c r="F19" s="266">
        <f>1482+839</f>
        <v>2321</v>
      </c>
      <c r="G19" s="266">
        <f>1461+912</f>
        <v>2373</v>
      </c>
      <c r="H19" s="266">
        <f>1442+968</f>
        <v>2410</v>
      </c>
      <c r="I19" s="266">
        <f>1421+1019</f>
        <v>2440</v>
      </c>
      <c r="J19" s="266">
        <f>1387+1054</f>
        <v>2441</v>
      </c>
      <c r="K19" s="266">
        <f>1357+1091</f>
        <v>2448</v>
      </c>
      <c r="L19" s="266">
        <f>1331+1131</f>
        <v>2462</v>
      </c>
      <c r="M19" s="266">
        <f>1297.698+1177.608</f>
        <v>2475.306</v>
      </c>
      <c r="N19" s="266">
        <f>1295.316+1248.245</f>
        <v>2543.5609999999997</v>
      </c>
      <c r="O19" s="686">
        <f>1939+1801</f>
        <v>3740</v>
      </c>
      <c r="P19" s="266">
        <f>1959+1898</f>
        <v>3857</v>
      </c>
      <c r="Q19" s="266">
        <f>1748+1784</f>
        <v>3532</v>
      </c>
      <c r="R19" s="592">
        <f t="shared" si="1"/>
        <v>-8.426238008815147</v>
      </c>
      <c r="S19" s="203" t="s">
        <v>75</v>
      </c>
    </row>
    <row r="20" spans="1:19" ht="12.75" customHeight="1">
      <c r="A20" s="11"/>
      <c r="B20" s="13" t="s">
        <v>77</v>
      </c>
      <c r="C20" s="614">
        <f>2530.75+3697.545</f>
        <v>6228.295</v>
      </c>
      <c r="D20" s="76">
        <f>2572.926+3818.309</f>
        <v>6391.235000000001</v>
      </c>
      <c r="E20" s="76">
        <f>2597.857+3831.657</f>
        <v>6429.514</v>
      </c>
      <c r="F20" s="76">
        <f>2723.002+4100.321</f>
        <v>6823.323</v>
      </c>
      <c r="G20" s="76">
        <f>2975.651+4431.146</f>
        <v>7406.797</v>
      </c>
      <c r="H20" s="76">
        <f>3375.782+4451.124</f>
        <v>7826.906</v>
      </c>
      <c r="I20" s="76">
        <f>3732.306+4495.813</f>
        <v>8228.119</v>
      </c>
      <c r="J20" s="76">
        <f>4037.48+4540.906</f>
        <v>8578.386</v>
      </c>
      <c r="K20" s="76">
        <f>4375.947+4586.452</f>
        <v>8962.399000000001</v>
      </c>
      <c r="L20" s="76">
        <f>4632.399+4574.644</f>
        <v>9207.043000000001</v>
      </c>
      <c r="M20" s="76">
        <f>4360+4938.359</f>
        <v>9298.359</v>
      </c>
      <c r="N20" s="76">
        <f>4050+5288.818</f>
        <v>9338.818</v>
      </c>
      <c r="O20" s="76">
        <f>3690+5590.259</f>
        <v>9280.259</v>
      </c>
      <c r="P20" s="76">
        <f>3750+5859.094</f>
        <v>9609.094000000001</v>
      </c>
      <c r="Q20" s="76">
        <f>6124.121+3950</f>
        <v>10074.121</v>
      </c>
      <c r="R20" s="597">
        <f t="shared" si="1"/>
        <v>4.839446882297111</v>
      </c>
      <c r="S20" s="206" t="s">
        <v>77</v>
      </c>
    </row>
    <row r="21" spans="1:19" ht="12.75" customHeight="1">
      <c r="A21" s="11"/>
      <c r="B21" s="110" t="s">
        <v>55</v>
      </c>
      <c r="C21" s="613">
        <v>50.393</v>
      </c>
      <c r="D21" s="266"/>
      <c r="E21" s="266"/>
      <c r="F21" s="266">
        <v>44.337</v>
      </c>
      <c r="G21" s="266">
        <v>44.756</v>
      </c>
      <c r="H21" s="266">
        <v>43.315</v>
      </c>
      <c r="I21" s="266">
        <v>41.985</v>
      </c>
      <c r="J21" s="266">
        <v>40.276</v>
      </c>
      <c r="K21" s="266">
        <v>41.516</v>
      </c>
      <c r="L21" s="266">
        <v>41.396</v>
      </c>
      <c r="M21" s="266">
        <v>40.381</v>
      </c>
      <c r="N21" s="266">
        <v>40.359</v>
      </c>
      <c r="O21" s="266">
        <v>41.211</v>
      </c>
      <c r="P21" s="266">
        <f>20.86+22.359</f>
        <v>43.219</v>
      </c>
      <c r="Q21" s="266">
        <f>23.473+19.217</f>
        <v>42.69</v>
      </c>
      <c r="R21" s="592">
        <f t="shared" si="1"/>
        <v>-1.2239987042735834</v>
      </c>
      <c r="S21" s="203" t="s">
        <v>55</v>
      </c>
    </row>
    <row r="22" spans="1:19" ht="12.75" customHeight="1">
      <c r="A22" s="11"/>
      <c r="B22" s="13" t="s">
        <v>59</v>
      </c>
      <c r="C22" s="614">
        <v>15.792</v>
      </c>
      <c r="D22" s="76">
        <v>18.444</v>
      </c>
      <c r="E22" s="76">
        <v>19.267</v>
      </c>
      <c r="F22" s="76">
        <v>19.409</v>
      </c>
      <c r="G22" s="76">
        <v>20.057</v>
      </c>
      <c r="H22" s="415">
        <v>20.732</v>
      </c>
      <c r="I22" s="76">
        <v>21.37</v>
      </c>
      <c r="J22" s="76">
        <v>22.16</v>
      </c>
      <c r="K22" s="415">
        <v>22.88</v>
      </c>
      <c r="L22" s="76">
        <f>23.982+5.943</f>
        <v>29.924999999999997</v>
      </c>
      <c r="M22" s="76">
        <f>25.193+7.284</f>
        <v>32.477000000000004</v>
      </c>
      <c r="N22" s="76">
        <f>27.21+9.664</f>
        <v>36.874</v>
      </c>
      <c r="O22" s="76">
        <f>30.87+13.542</f>
        <v>44.412</v>
      </c>
      <c r="P22" s="76">
        <f>34.154+17.13</f>
        <v>51.284000000000006</v>
      </c>
      <c r="Q22" s="76">
        <f>18.373+33.59</f>
        <v>51.96300000000001</v>
      </c>
      <c r="R22" s="597">
        <f t="shared" si="1"/>
        <v>1.3239996880118667</v>
      </c>
      <c r="S22" s="206" t="s">
        <v>59</v>
      </c>
    </row>
    <row r="23" spans="1:19" ht="12.75" customHeight="1">
      <c r="A23" s="11"/>
      <c r="B23" s="110" t="s">
        <v>60</v>
      </c>
      <c r="C23" s="613">
        <v>20.033</v>
      </c>
      <c r="D23" s="266">
        <v>19.402</v>
      </c>
      <c r="E23" s="266">
        <v>19.128</v>
      </c>
      <c r="F23" s="266">
        <v>19.266</v>
      </c>
      <c r="G23" s="266">
        <v>19.515</v>
      </c>
      <c r="H23" s="266">
        <v>19.842</v>
      </c>
      <c r="I23" s="266">
        <v>20.244</v>
      </c>
      <c r="J23" s="266">
        <v>21.017</v>
      </c>
      <c r="K23" s="266">
        <v>21.873</v>
      </c>
      <c r="L23" s="266">
        <v>22.861</v>
      </c>
      <c r="M23" s="266">
        <v>24.027</v>
      </c>
      <c r="N23" s="417">
        <v>25.478</v>
      </c>
      <c r="O23" s="686">
        <f>28.826+6.444</f>
        <v>35.27</v>
      </c>
      <c r="P23" s="266">
        <f>34.029+11.588</f>
        <v>45.617000000000004</v>
      </c>
      <c r="Q23" s="266">
        <f>14.81+36.562</f>
        <v>51.372</v>
      </c>
      <c r="R23" s="592">
        <f t="shared" si="1"/>
        <v>12.615910735032983</v>
      </c>
      <c r="S23" s="203" t="s">
        <v>60</v>
      </c>
    </row>
    <row r="24" spans="1:19" ht="12.75" customHeight="1">
      <c r="A24" s="11"/>
      <c r="B24" s="13" t="s">
        <v>78</v>
      </c>
      <c r="C24" s="615">
        <f>8.405+20</f>
        <v>28.405</v>
      </c>
      <c r="D24" s="76">
        <f>8.716+20.185</f>
        <v>28.900999999999996</v>
      </c>
      <c r="E24" s="76">
        <f>9.297+20.377</f>
        <v>29.674</v>
      </c>
      <c r="F24" s="76">
        <f>9.947+20.641</f>
        <v>30.587999999999997</v>
      </c>
      <c r="G24" s="76">
        <f>10.819+20.943</f>
        <v>31.762</v>
      </c>
      <c r="H24" s="76">
        <f>11.488+21.286</f>
        <v>32.774</v>
      </c>
      <c r="I24" s="76">
        <f>11.961+21.615</f>
        <v>33.576</v>
      </c>
      <c r="J24" s="76">
        <f>12.671+22.03</f>
        <v>34.701</v>
      </c>
      <c r="K24" s="76">
        <f>13.38+22.579</f>
        <v>35.959</v>
      </c>
      <c r="L24" s="76">
        <f>13.901+23.008</f>
        <v>36.909</v>
      </c>
      <c r="M24" s="76">
        <f>23.471+14.268</f>
        <v>37.739000000000004</v>
      </c>
      <c r="N24" s="76">
        <f>24.029+14.609</f>
        <v>38.638</v>
      </c>
      <c r="O24" s="76">
        <f>24.532+14.947</f>
        <v>39.479</v>
      </c>
      <c r="P24" s="76">
        <f>25.108+15.177</f>
        <v>40.285</v>
      </c>
      <c r="Q24" s="76">
        <f>25.7+15.551</f>
        <v>41.251</v>
      </c>
      <c r="R24" s="597">
        <f t="shared" si="1"/>
        <v>2.397914856646395</v>
      </c>
      <c r="S24" s="206" t="s">
        <v>78</v>
      </c>
    </row>
    <row r="25" spans="1:19" ht="12.75" customHeight="1">
      <c r="A25" s="11"/>
      <c r="B25" s="110" t="s">
        <v>58</v>
      </c>
      <c r="C25" s="613"/>
      <c r="D25" s="266"/>
      <c r="E25" s="266"/>
      <c r="F25" s="266"/>
      <c r="G25" s="266">
        <v>87.573</v>
      </c>
      <c r="H25" s="266">
        <v>91.193</v>
      </c>
      <c r="I25" s="266">
        <v>93.088</v>
      </c>
      <c r="J25" s="266">
        <v>97.593</v>
      </c>
      <c r="K25" s="266">
        <v>103.493</v>
      </c>
      <c r="L25" s="266">
        <v>114.038</v>
      </c>
      <c r="M25" s="266">
        <v>122.705</v>
      </c>
      <c r="N25" s="266">
        <v>130.188</v>
      </c>
      <c r="O25" s="266">
        <v>135.865</v>
      </c>
      <c r="P25" s="266">
        <v>141.54</v>
      </c>
      <c r="Q25" s="266">
        <f>141.956</f>
        <v>141.956</v>
      </c>
      <c r="R25" s="592">
        <f t="shared" si="1"/>
        <v>0.29390984880599547</v>
      </c>
      <c r="S25" s="203" t="s">
        <v>58</v>
      </c>
    </row>
    <row r="26" spans="1:19" ht="12.75" customHeight="1">
      <c r="A26" s="11"/>
      <c r="B26" s="13" t="s">
        <v>61</v>
      </c>
      <c r="C26" s="614">
        <v>17.411</v>
      </c>
      <c r="D26" s="76">
        <v>11.663</v>
      </c>
      <c r="E26" s="76">
        <v>13.881</v>
      </c>
      <c r="F26" s="76">
        <v>14.847</v>
      </c>
      <c r="G26" s="76">
        <v>11.87</v>
      </c>
      <c r="H26" s="76">
        <v>12.402</v>
      </c>
      <c r="I26" s="76">
        <v>12.83</v>
      </c>
      <c r="J26" s="76">
        <v>13.324</v>
      </c>
      <c r="K26" s="76">
        <v>13.667</v>
      </c>
      <c r="L26" s="76">
        <f>12.639+0.143</f>
        <v>12.782</v>
      </c>
      <c r="M26" s="76">
        <f>11.905+0.088</f>
        <v>11.992999999999999</v>
      </c>
      <c r="N26" s="76">
        <f>12.192+0.094</f>
        <v>12.286</v>
      </c>
      <c r="O26" s="76">
        <v>12.791</v>
      </c>
      <c r="P26" s="76">
        <f>14.31+0.101+0.002</f>
        <v>14.413000000000002</v>
      </c>
      <c r="Q26" s="76">
        <f>14.402+0.11+0.005</f>
        <v>14.517</v>
      </c>
      <c r="R26" s="597">
        <f t="shared" si="1"/>
        <v>0.7215708041351263</v>
      </c>
      <c r="S26" s="206" t="s">
        <v>61</v>
      </c>
    </row>
    <row r="27" spans="1:19" ht="12.75" customHeight="1">
      <c r="A27" s="11"/>
      <c r="B27" s="111" t="s">
        <v>69</v>
      </c>
      <c r="C27" s="613">
        <f>307.993+547</f>
        <v>854.9929999999999</v>
      </c>
      <c r="D27" s="266">
        <f>335+553</f>
        <v>888</v>
      </c>
      <c r="E27" s="266">
        <f>373+543</f>
        <v>916</v>
      </c>
      <c r="F27" s="266">
        <f>451.425+546</f>
        <v>997.425</v>
      </c>
      <c r="G27" s="266">
        <f>413.989+520</f>
        <v>933.989</v>
      </c>
      <c r="H27" s="266">
        <f>437.798+533</f>
        <v>970.798</v>
      </c>
      <c r="I27" s="266">
        <f>460.822+504</f>
        <v>964.822</v>
      </c>
      <c r="J27" s="266">
        <f>494.45+508</f>
        <v>1002.45</v>
      </c>
      <c r="K27" s="266">
        <f>516.567+499</f>
        <v>1015.567</v>
      </c>
      <c r="L27" s="266">
        <f>536.934+502</f>
        <v>1038.934</v>
      </c>
      <c r="M27" s="266">
        <f>552.949+560</f>
        <v>1112.949</v>
      </c>
      <c r="N27" s="266">
        <f>567.911+711.792</f>
        <v>1279.703</v>
      </c>
      <c r="O27" s="266">
        <f>585.204+786.409</f>
        <v>1371.6129999999998</v>
      </c>
      <c r="P27" s="266">
        <f>605.604+873.872</f>
        <v>1479.476</v>
      </c>
      <c r="Q27" s="266">
        <f>623.442+955.701</f>
        <v>1579.143</v>
      </c>
      <c r="R27" s="592">
        <f t="shared" si="1"/>
        <v>6.73664189212937</v>
      </c>
      <c r="S27" s="207" t="s">
        <v>69</v>
      </c>
    </row>
    <row r="28" spans="1:19" ht="12.75" customHeight="1">
      <c r="A28" s="11"/>
      <c r="B28" s="13" t="s">
        <v>79</v>
      </c>
      <c r="C28" s="614">
        <f>371.505+174.907</f>
        <v>546.412</v>
      </c>
      <c r="D28" s="76">
        <f>366.506+193.685</f>
        <v>560.191</v>
      </c>
      <c r="E28" s="76">
        <f>362.953+212.767</f>
        <v>575.72</v>
      </c>
      <c r="F28" s="76">
        <f>362.964+237.767</f>
        <v>600.731</v>
      </c>
      <c r="G28" s="76">
        <f>359.63+263.297</f>
        <v>622.927</v>
      </c>
      <c r="H28" s="76">
        <f>352.984+279.728</f>
        <v>632.712</v>
      </c>
      <c r="I28" s="415">
        <f>346.591+294.843</f>
        <v>641.434</v>
      </c>
      <c r="J28" s="76">
        <f>304.255+292.569</f>
        <v>596.8240000000001</v>
      </c>
      <c r="K28" s="76">
        <f>301.387+305.481</f>
        <v>606.8679999999999</v>
      </c>
      <c r="L28" s="76">
        <f>296.522+315.638</f>
        <v>612.16</v>
      </c>
      <c r="M28" s="76">
        <f>301.425+326.286</f>
        <v>627.711</v>
      </c>
      <c r="N28" s="76">
        <f>306.592+338.721</f>
        <v>645.313</v>
      </c>
      <c r="O28" s="76">
        <f>312.658+354.919</f>
        <v>667.577</v>
      </c>
      <c r="P28" s="76">
        <f>319.131+372.112</f>
        <v>691.2429999999999</v>
      </c>
      <c r="Q28" s="76">
        <f>218.135+158.745+305.042+1.234+12.694+16.242</f>
        <v>712.092</v>
      </c>
      <c r="R28" s="597">
        <f t="shared" si="1"/>
        <v>3.0161607423149377</v>
      </c>
      <c r="S28" s="206" t="s">
        <v>79</v>
      </c>
    </row>
    <row r="29" spans="1:19" ht="12.75" customHeight="1">
      <c r="A29" s="11"/>
      <c r="B29" s="110" t="s">
        <v>62</v>
      </c>
      <c r="C29" s="613">
        <v>929</v>
      </c>
      <c r="D29" s="266"/>
      <c r="E29" s="266"/>
      <c r="F29" s="266">
        <v>820</v>
      </c>
      <c r="G29" s="266">
        <v>804</v>
      </c>
      <c r="H29" s="417">
        <v>803</v>
      </c>
      <c r="I29" s="266">
        <v>803</v>
      </c>
      <c r="J29" s="266">
        <v>869</v>
      </c>
      <c r="K29" s="266">
        <v>845.456</v>
      </c>
      <c r="L29" s="417">
        <v>835.79</v>
      </c>
      <c r="M29" s="266">
        <f>753.648+337.511</f>
        <v>1091.159</v>
      </c>
      <c r="N29" s="266">
        <f>784.176+405.917</f>
        <v>1190.093</v>
      </c>
      <c r="O29" s="266">
        <f>825.305+525.484</f>
        <v>1350.789</v>
      </c>
      <c r="P29" s="266">
        <f>909.144+698.172</f>
        <v>1607.316</v>
      </c>
      <c r="Q29" s="266">
        <f>974.906+833.817</f>
        <v>1808.723</v>
      </c>
      <c r="R29" s="592">
        <f t="shared" si="1"/>
        <v>12.530641143371923</v>
      </c>
      <c r="S29" s="203" t="s">
        <v>62</v>
      </c>
    </row>
    <row r="30" spans="1:19" ht="12.75" customHeight="1">
      <c r="A30" s="11"/>
      <c r="B30" s="13" t="s">
        <v>80</v>
      </c>
      <c r="C30" s="614">
        <v>216.296</v>
      </c>
      <c r="D30" s="76">
        <v>240.946</v>
      </c>
      <c r="E30" s="76">
        <v>271.708</v>
      </c>
      <c r="F30" s="76">
        <v>301.045</v>
      </c>
      <c r="G30" s="76">
        <v>323.854</v>
      </c>
      <c r="H30" s="76">
        <v>345.903</v>
      </c>
      <c r="I30" s="76">
        <v>368.063</v>
      </c>
      <c r="J30" s="76">
        <v>386.969</v>
      </c>
      <c r="K30" s="76">
        <v>402.759</v>
      </c>
      <c r="L30" s="415">
        <v>418.704</v>
      </c>
      <c r="M30" s="76">
        <v>588.42</v>
      </c>
      <c r="N30" s="76">
        <f>401+157.72</f>
        <v>558.72</v>
      </c>
      <c r="O30" s="76">
        <f>377+159.645</f>
        <v>536.645</v>
      </c>
      <c r="P30" s="76">
        <v>535</v>
      </c>
      <c r="Q30" s="76">
        <f>199.27+334</f>
        <v>533.27</v>
      </c>
      <c r="R30" s="597">
        <f t="shared" si="1"/>
        <v>-0.3233644859813154</v>
      </c>
      <c r="S30" s="206" t="s">
        <v>80</v>
      </c>
    </row>
    <row r="31" spans="1:19" ht="12.75" customHeight="1">
      <c r="A31" s="11"/>
      <c r="B31" s="110" t="s">
        <v>63</v>
      </c>
      <c r="C31" s="613">
        <f>205.032+122.692</f>
        <v>327.724</v>
      </c>
      <c r="D31" s="266">
        <f>160.073+94.923</f>
        <v>254.996</v>
      </c>
      <c r="E31" s="266">
        <f>153.768+96.742</f>
        <v>250.51</v>
      </c>
      <c r="F31" s="266">
        <f>146.725+98.994</f>
        <v>245.719</v>
      </c>
      <c r="G31" s="266">
        <f>141.49+101.093</f>
        <v>242.58300000000003</v>
      </c>
      <c r="H31" s="266">
        <f>137.103+102.105</f>
        <v>239.20800000000003</v>
      </c>
      <c r="I31" s="266">
        <f>134.152+103.749</f>
        <v>237.90099999999998</v>
      </c>
      <c r="J31" s="266">
        <f>132.955+105.525</f>
        <v>238.48000000000002</v>
      </c>
      <c r="K31" s="266">
        <f>132.88+102.97</f>
        <v>235.85</v>
      </c>
      <c r="L31" s="266">
        <f>130.193+104.509</f>
        <v>234.702</v>
      </c>
      <c r="M31" s="266">
        <f>103.556+93.845</f>
        <v>197.401</v>
      </c>
      <c r="N31" s="417">
        <f>101.474+92.507</f>
        <v>193.981</v>
      </c>
      <c r="O31" s="686">
        <f>29.403+27.076</f>
        <v>56.479</v>
      </c>
      <c r="P31" s="266">
        <v>71.827</v>
      </c>
      <c r="Q31" s="266">
        <f>79.99</f>
        <v>79.99</v>
      </c>
      <c r="R31" s="592">
        <f t="shared" si="1"/>
        <v>11.364807105962925</v>
      </c>
      <c r="S31" s="203" t="s">
        <v>63</v>
      </c>
    </row>
    <row r="32" spans="1:19" ht="12.75" customHeight="1">
      <c r="A32" s="11"/>
      <c r="B32" s="13" t="s">
        <v>65</v>
      </c>
      <c r="C32" s="614">
        <v>8.546</v>
      </c>
      <c r="D32" s="76">
        <v>8.173</v>
      </c>
      <c r="E32" s="76">
        <v>8.283</v>
      </c>
      <c r="F32" s="76">
        <v>9.14</v>
      </c>
      <c r="G32" s="76">
        <v>9.906</v>
      </c>
      <c r="H32" s="76">
        <v>11.217</v>
      </c>
      <c r="I32" s="415">
        <v>11.622</v>
      </c>
      <c r="J32" s="76">
        <f>11.93+38.678</f>
        <v>50.608</v>
      </c>
      <c r="K32" s="76">
        <f>12.048+30.344</f>
        <v>42.392</v>
      </c>
      <c r="L32" s="76">
        <f>11.574+28.626</f>
        <v>40.2</v>
      </c>
      <c r="M32" s="76">
        <f>14.473+34.198</f>
        <v>48.671</v>
      </c>
      <c r="N32" s="76">
        <f>18.801+34.392</f>
        <v>53.193</v>
      </c>
      <c r="O32" s="76">
        <f>34.162+37.331</f>
        <v>71.493</v>
      </c>
      <c r="P32" s="76">
        <f>41.612+40.384</f>
        <v>81.99600000000001</v>
      </c>
      <c r="Q32" s="76">
        <f>46.185+42.243</f>
        <v>88.428</v>
      </c>
      <c r="R32" s="597">
        <f t="shared" si="1"/>
        <v>7.844285087077395</v>
      </c>
      <c r="S32" s="206" t="s">
        <v>65</v>
      </c>
    </row>
    <row r="33" spans="1:19" ht="12.75" customHeight="1">
      <c r="A33" s="11"/>
      <c r="B33" s="110" t="s">
        <v>64</v>
      </c>
      <c r="C33" s="613">
        <v>81.847</v>
      </c>
      <c r="D33" s="266">
        <v>79.479</v>
      </c>
      <c r="E33" s="266">
        <v>81.062</v>
      </c>
      <c r="F33" s="417">
        <v>100.891</v>
      </c>
      <c r="G33" s="266">
        <v>44.215</v>
      </c>
      <c r="H33" s="266">
        <v>45.647</v>
      </c>
      <c r="I33" s="266">
        <v>46.676</v>
      </c>
      <c r="J33" s="266">
        <v>47.9</v>
      </c>
      <c r="K33" s="266">
        <v>48.709</v>
      </c>
      <c r="L33" s="266">
        <v>51.977</v>
      </c>
      <c r="M33" s="266">
        <v>56.366</v>
      </c>
      <c r="N33" s="266">
        <v>58.101</v>
      </c>
      <c r="O33" s="266">
        <v>63.897</v>
      </c>
      <c r="P33" s="266">
        <v>70.318</v>
      </c>
      <c r="Q33" s="266">
        <v>55.443</v>
      </c>
      <c r="R33" s="592">
        <f t="shared" si="1"/>
        <v>-21.153900850422374</v>
      </c>
      <c r="S33" s="203" t="s">
        <v>64</v>
      </c>
    </row>
    <row r="34" spans="1:19" ht="12.75" customHeight="1">
      <c r="A34" s="11"/>
      <c r="B34" s="13" t="s">
        <v>81</v>
      </c>
      <c r="C34" s="614">
        <f>65.095+94.43</f>
        <v>159.525</v>
      </c>
      <c r="D34" s="76">
        <f>66.468+96.32</f>
        <v>162.788</v>
      </c>
      <c r="E34" s="76">
        <f>68.552+98.062</f>
        <v>166.614</v>
      </c>
      <c r="F34" s="76">
        <f>72.704+100.621</f>
        <v>173.325</v>
      </c>
      <c r="G34" s="76">
        <f>80.178+103.01</f>
        <v>183.188</v>
      </c>
      <c r="H34" s="76">
        <f>90.877+102.545</f>
        <v>193.422</v>
      </c>
      <c r="I34" s="76">
        <f>102.811+103.424</f>
        <v>206.235</v>
      </c>
      <c r="J34" s="76">
        <f>116.021+107.556</f>
        <v>223.577</v>
      </c>
      <c r="K34" s="76">
        <f>129.67+115.712</f>
        <v>245.382</v>
      </c>
      <c r="L34" s="76">
        <f>142.703+129.017</f>
        <v>271.72</v>
      </c>
      <c r="M34" s="76">
        <f>156.487+145.318</f>
        <v>301.805</v>
      </c>
      <c r="N34" s="76">
        <f>172.283+166.16</f>
        <v>338.443</v>
      </c>
      <c r="O34" s="76">
        <f>188.144+188.388</f>
        <v>376.53200000000004</v>
      </c>
      <c r="P34" s="76">
        <f>204.859+216.685</f>
        <v>421.544</v>
      </c>
      <c r="Q34" s="76">
        <f>216.443+239.754</f>
        <v>456.197</v>
      </c>
      <c r="R34" s="597">
        <f t="shared" si="1"/>
        <v>8.220494183288125</v>
      </c>
      <c r="S34" s="206" t="s">
        <v>81</v>
      </c>
    </row>
    <row r="35" spans="1:19" ht="12.75" customHeight="1">
      <c r="A35" s="11"/>
      <c r="B35" s="110" t="s">
        <v>82</v>
      </c>
      <c r="C35" s="613">
        <f>117.387+146.793</f>
        <v>264.18</v>
      </c>
      <c r="D35" s="266">
        <f>121.95+150.765</f>
        <v>272.715</v>
      </c>
      <c r="E35" s="266">
        <f>130.041+149.38</f>
        <v>279.421</v>
      </c>
      <c r="F35" s="266">
        <f>137.466+148.454</f>
        <v>285.92</v>
      </c>
      <c r="G35" s="266">
        <f>149.97+150.49</f>
        <v>300.46000000000004</v>
      </c>
      <c r="H35" s="266">
        <f>167.346+142.723</f>
        <v>310.069</v>
      </c>
      <c r="I35" s="266">
        <f>190.607+145.734</f>
        <v>336.341</v>
      </c>
      <c r="J35" s="266">
        <f>220.75+151.619</f>
        <v>372.369</v>
      </c>
      <c r="K35" s="266">
        <f>247.129+148.472</f>
        <v>395.601</v>
      </c>
      <c r="L35" s="266">
        <f>205.567+155.754+41.996</f>
        <v>403.317</v>
      </c>
      <c r="M35" s="266">
        <f>225.038+169.574+58.47</f>
        <v>453.082</v>
      </c>
      <c r="N35" s="266">
        <f>245.039+177.306+75.399</f>
        <v>497.744</v>
      </c>
      <c r="O35" s="266">
        <f>259.017+184.231+84.877</f>
        <v>528.125</v>
      </c>
      <c r="P35" s="266">
        <f>269.298+191.823+92.808</f>
        <v>553.929</v>
      </c>
      <c r="Q35" s="266">
        <f>277.626+91.677+202.587</f>
        <v>571.89</v>
      </c>
      <c r="R35" s="592">
        <f t="shared" si="1"/>
        <v>3.2424733133668724</v>
      </c>
      <c r="S35" s="203" t="s">
        <v>82</v>
      </c>
    </row>
    <row r="36" spans="1:19" ht="12.75" customHeight="1">
      <c r="A36" s="11"/>
      <c r="B36" s="14" t="s">
        <v>70</v>
      </c>
      <c r="C36" s="616">
        <v>714</v>
      </c>
      <c r="D36" s="139">
        <v>752</v>
      </c>
      <c r="E36" s="139">
        <v>766</v>
      </c>
      <c r="F36" s="139">
        <v>828</v>
      </c>
      <c r="G36" s="139">
        <v>905</v>
      </c>
      <c r="H36" s="139">
        <v>971</v>
      </c>
      <c r="I36" s="139">
        <v>1028</v>
      </c>
      <c r="J36" s="139">
        <v>1090</v>
      </c>
      <c r="K36" s="139">
        <v>1162</v>
      </c>
      <c r="L36" s="139">
        <v>1218</v>
      </c>
      <c r="M36" s="139">
        <v>1235</v>
      </c>
      <c r="N36" s="139">
        <f>1209.6+30</f>
        <v>1239.6</v>
      </c>
      <c r="O36" s="139">
        <f>1248.3+32</f>
        <v>1280.3</v>
      </c>
      <c r="P36" s="139">
        <f>1274.6+31</f>
        <v>1305.6</v>
      </c>
      <c r="Q36" s="139">
        <f>1275.6+31.156</f>
        <v>1306.7559999999999</v>
      </c>
      <c r="R36" s="629">
        <f t="shared" si="1"/>
        <v>0.08854166666665719</v>
      </c>
      <c r="S36" s="208" t="s">
        <v>70</v>
      </c>
    </row>
    <row r="37" spans="1:19" ht="12.75" customHeight="1">
      <c r="A37" s="11"/>
      <c r="B37" s="110" t="s">
        <v>86</v>
      </c>
      <c r="C37" s="266">
        <v>9.933</v>
      </c>
      <c r="D37" s="266">
        <v>14.128</v>
      </c>
      <c r="E37" s="266">
        <v>17.401</v>
      </c>
      <c r="F37" s="266">
        <v>18.957</v>
      </c>
      <c r="G37" s="266">
        <v>20.499</v>
      </c>
      <c r="H37" s="548">
        <v>21.868</v>
      </c>
      <c r="I37" s="417">
        <v>24.305</v>
      </c>
      <c r="J37" s="266">
        <v>85.217</v>
      </c>
      <c r="K37" s="266">
        <v>99.137</v>
      </c>
      <c r="L37" s="266">
        <v>112.907</v>
      </c>
      <c r="M37" s="266">
        <v>128.382</v>
      </c>
      <c r="N37" s="266">
        <v>143.486</v>
      </c>
      <c r="O37" s="266">
        <f>56.401+106.343</f>
        <v>162.744</v>
      </c>
      <c r="P37" s="266">
        <f>63.357+120.457</f>
        <v>183.814</v>
      </c>
      <c r="Q37" s="266">
        <f>63.691+120.792</f>
        <v>184.483</v>
      </c>
      <c r="R37" s="592">
        <f t="shared" si="1"/>
        <v>0.36395486742033256</v>
      </c>
      <c r="S37" s="203" t="s">
        <v>86</v>
      </c>
    </row>
    <row r="38" spans="1:19" ht="12.75" customHeight="1">
      <c r="A38" s="11"/>
      <c r="B38" s="13" t="s">
        <v>1</v>
      </c>
      <c r="C38" s="76"/>
      <c r="D38" s="76"/>
      <c r="E38" s="76"/>
      <c r="F38" s="76"/>
      <c r="G38" s="76"/>
      <c r="H38" s="76"/>
      <c r="I38" s="76"/>
      <c r="J38" s="76"/>
      <c r="K38" s="76">
        <v>2.142</v>
      </c>
      <c r="L38" s="76">
        <v>1.382</v>
      </c>
      <c r="M38" s="76">
        <v>1.724</v>
      </c>
      <c r="N38" s="76">
        <v>3.442</v>
      </c>
      <c r="O38" s="76">
        <v>4.437</v>
      </c>
      <c r="P38" s="76">
        <v>8.626</v>
      </c>
      <c r="Q38" s="76">
        <f>9.097</f>
        <v>9.097</v>
      </c>
      <c r="R38" s="597">
        <f t="shared" si="1"/>
        <v>5.460236494319503</v>
      </c>
      <c r="S38" s="206" t="s">
        <v>1</v>
      </c>
    </row>
    <row r="39" spans="1:19" ht="12.75" customHeight="1">
      <c r="A39" s="11"/>
      <c r="B39" s="112" t="s">
        <v>66</v>
      </c>
      <c r="C39" s="266">
        <v>819.922</v>
      </c>
      <c r="D39" s="266">
        <v>854.15</v>
      </c>
      <c r="E39" s="266">
        <v>905.121</v>
      </c>
      <c r="F39" s="266">
        <v>940.935</v>
      </c>
      <c r="G39" s="266">
        <v>975.746</v>
      </c>
      <c r="H39" s="266">
        <v>1011.284</v>
      </c>
      <c r="I39" s="266">
        <v>1031.221</v>
      </c>
      <c r="J39" s="266">
        <v>1046.907</v>
      </c>
      <c r="K39" s="266">
        <v>1073.415</v>
      </c>
      <c r="L39" s="266">
        <v>1218.677</v>
      </c>
      <c r="M39" s="266">
        <v>1441.066</v>
      </c>
      <c r="N39" s="266">
        <v>1822.831</v>
      </c>
      <c r="O39" s="266">
        <v>2003.492</v>
      </c>
      <c r="P39" s="266">
        <v>2181.383</v>
      </c>
      <c r="Q39" s="266">
        <v>2303.261</v>
      </c>
      <c r="R39" s="592">
        <f t="shared" si="1"/>
        <v>5.5871894114880405</v>
      </c>
      <c r="S39" s="204" t="s">
        <v>66</v>
      </c>
    </row>
    <row r="40" spans="1:19" ht="12.75" customHeight="1">
      <c r="A40" s="11"/>
      <c r="B40" s="12" t="s">
        <v>52</v>
      </c>
      <c r="C40" s="138">
        <v>1.881</v>
      </c>
      <c r="D40" s="138">
        <v>1.95</v>
      </c>
      <c r="E40" s="138">
        <v>2.047</v>
      </c>
      <c r="F40" s="138">
        <v>1.906</v>
      </c>
      <c r="G40" s="138">
        <v>2.084</v>
      </c>
      <c r="H40" s="138">
        <v>2.278</v>
      </c>
      <c r="I40" s="138">
        <v>2.444</v>
      </c>
      <c r="J40" s="138">
        <v>2.557</v>
      </c>
      <c r="K40" s="138">
        <v>2.747</v>
      </c>
      <c r="L40" s="138">
        <v>3.105</v>
      </c>
      <c r="M40" s="138">
        <v>4.183</v>
      </c>
      <c r="N40" s="138">
        <v>5.699</v>
      </c>
      <c r="O40" s="138">
        <v>8.074</v>
      </c>
      <c r="P40" s="138">
        <v>9.009</v>
      </c>
      <c r="Q40" s="138">
        <v>9.42</v>
      </c>
      <c r="R40" s="628">
        <f t="shared" si="1"/>
        <v>4.562104562104551</v>
      </c>
      <c r="S40" s="205" t="s">
        <v>52</v>
      </c>
    </row>
    <row r="41" spans="1:19" ht="12.75" customHeight="1">
      <c r="A41" s="11"/>
      <c r="B41" s="110" t="s">
        <v>83</v>
      </c>
      <c r="C41" s="266">
        <v>158.624</v>
      </c>
      <c r="D41" s="266">
        <v>164.775</v>
      </c>
      <c r="E41" s="266">
        <v>174.603</v>
      </c>
      <c r="F41" s="266">
        <v>184.34699999999998</v>
      </c>
      <c r="G41" s="266">
        <v>193.00099999999998</v>
      </c>
      <c r="H41" s="266">
        <v>201.564</v>
      </c>
      <c r="I41" s="266">
        <v>211.42700000000002</v>
      </c>
      <c r="J41" s="266">
        <v>225.173</v>
      </c>
      <c r="K41" s="266">
        <v>239.596</v>
      </c>
      <c r="L41" s="266">
        <v>248.57099999999997</v>
      </c>
      <c r="M41" s="266">
        <f>148.161+13.63+95.708</f>
        <v>257.499</v>
      </c>
      <c r="N41" s="266">
        <f>116.875+151.67</f>
        <v>268.54499999999996</v>
      </c>
      <c r="O41" s="266">
        <f>156.287+16.589+109.618</f>
        <v>282.494</v>
      </c>
      <c r="P41" s="266">
        <f>161.662+17.677+117.044</f>
        <v>296.383</v>
      </c>
      <c r="Q41" s="266">
        <f>141.235+165.557</f>
        <v>306.79200000000003</v>
      </c>
      <c r="R41" s="592">
        <f t="shared" si="1"/>
        <v>3.512009798132837</v>
      </c>
      <c r="S41" s="203" t="s">
        <v>83</v>
      </c>
    </row>
    <row r="42" spans="1:19" ht="12.75" customHeight="1">
      <c r="A42" s="11"/>
      <c r="B42" s="13" t="s">
        <v>53</v>
      </c>
      <c r="C42" s="76">
        <v>704.127</v>
      </c>
      <c r="D42" s="76">
        <v>699.052</v>
      </c>
      <c r="E42" s="76">
        <v>709.645</v>
      </c>
      <c r="F42" s="76">
        <v>718.764</v>
      </c>
      <c r="G42" s="76">
        <v>728.954</v>
      </c>
      <c r="H42" s="76">
        <v>732.551</v>
      </c>
      <c r="I42" s="76">
        <v>741.014</v>
      </c>
      <c r="J42" s="76">
        <v>753.372</v>
      </c>
      <c r="K42" s="76">
        <v>762.918</v>
      </c>
      <c r="L42" s="76">
        <v>770.639</v>
      </c>
      <c r="M42" s="76">
        <v>770.264</v>
      </c>
      <c r="N42" s="76">
        <v>783.511</v>
      </c>
      <c r="O42" s="76">
        <v>788.697</v>
      </c>
      <c r="P42" s="76">
        <v>804.125</v>
      </c>
      <c r="Q42" s="76">
        <v>806.577</v>
      </c>
      <c r="R42" s="597">
        <f t="shared" si="1"/>
        <v>0.3049277164620037</v>
      </c>
      <c r="S42" s="206" t="s">
        <v>53</v>
      </c>
    </row>
    <row r="43" spans="1:19" ht="12.75" customHeight="1">
      <c r="A43" s="11"/>
      <c r="B43" s="112" t="s">
        <v>94</v>
      </c>
      <c r="C43" s="315"/>
      <c r="D43" s="315"/>
      <c r="E43" s="315"/>
      <c r="F43" s="315"/>
      <c r="G43" s="315">
        <v>2.443</v>
      </c>
      <c r="H43" s="315">
        <v>2.594</v>
      </c>
      <c r="I43" s="315">
        <v>2.754</v>
      </c>
      <c r="J43" s="315">
        <v>2.878</v>
      </c>
      <c r="K43" s="315">
        <v>2.98</v>
      </c>
      <c r="L43" s="315">
        <v>3.003</v>
      </c>
      <c r="M43" s="315">
        <v>3.11</v>
      </c>
      <c r="N43" s="315">
        <v>3.17</v>
      </c>
      <c r="O43" s="315">
        <v>3.256</v>
      </c>
      <c r="P43" s="315">
        <v>3.438</v>
      </c>
      <c r="Q43" s="315">
        <f>3.577</f>
        <v>3.577</v>
      </c>
      <c r="R43" s="593">
        <f t="shared" si="1"/>
        <v>4.04304828388598</v>
      </c>
      <c r="S43" s="204" t="s">
        <v>94</v>
      </c>
    </row>
    <row r="44" spans="2:19" ht="31.5" customHeight="1">
      <c r="B44" s="883" t="s">
        <v>173</v>
      </c>
      <c r="C44" s="884"/>
      <c r="D44" s="884"/>
      <c r="E44" s="884"/>
      <c r="F44" s="884"/>
      <c r="G44" s="884"/>
      <c r="H44" s="884"/>
      <c r="I44" s="884"/>
      <c r="J44" s="884"/>
      <c r="K44" s="884"/>
      <c r="L44" s="884"/>
      <c r="M44" s="884"/>
      <c r="N44" s="884"/>
      <c r="O44" s="884"/>
      <c r="P44" s="884"/>
      <c r="Q44" s="884"/>
      <c r="R44" s="884"/>
      <c r="S44" s="884"/>
    </row>
    <row r="45" spans="2:19" ht="12.75" customHeight="1">
      <c r="B45" s="885" t="s">
        <v>187</v>
      </c>
      <c r="C45" s="886"/>
      <c r="D45" s="886"/>
      <c r="E45" s="886"/>
      <c r="F45" s="886"/>
      <c r="G45" s="886"/>
      <c r="H45" s="886"/>
      <c r="I45" s="886"/>
      <c r="J45" s="886"/>
      <c r="K45" s="886"/>
      <c r="L45" s="886"/>
      <c r="M45" s="886"/>
      <c r="N45" s="886"/>
      <c r="O45" s="886"/>
      <c r="P45" s="886"/>
      <c r="Q45" s="886"/>
      <c r="R45" s="886"/>
      <c r="S45" s="886"/>
    </row>
    <row r="46" spans="2:19" ht="12.75" customHeight="1">
      <c r="B46" s="887" t="s">
        <v>189</v>
      </c>
      <c r="C46" s="887"/>
      <c r="D46" s="887"/>
      <c r="E46" s="887"/>
      <c r="F46" s="887"/>
      <c r="G46" s="887"/>
      <c r="H46" s="887"/>
      <c r="I46" s="887"/>
      <c r="J46" s="887"/>
      <c r="K46" s="887"/>
      <c r="L46" s="887"/>
      <c r="M46" s="887"/>
      <c r="N46" s="887"/>
      <c r="O46" s="887"/>
      <c r="P46" s="887"/>
      <c r="Q46" s="887"/>
      <c r="R46" s="887"/>
      <c r="S46" s="887"/>
    </row>
    <row r="47" spans="2:19" ht="12.75" customHeight="1">
      <c r="B47" s="887" t="s">
        <v>194</v>
      </c>
      <c r="C47" s="887"/>
      <c r="D47" s="887"/>
      <c r="E47" s="887"/>
      <c r="F47" s="887"/>
      <c r="G47" s="887"/>
      <c r="H47" s="887"/>
      <c r="I47" s="887"/>
      <c r="J47" s="887"/>
      <c r="K47" s="887"/>
      <c r="L47" s="887"/>
      <c r="M47" s="887"/>
      <c r="N47" s="887"/>
      <c r="O47" s="887"/>
      <c r="P47" s="887"/>
      <c r="Q47" s="887"/>
      <c r="R47" s="887"/>
      <c r="S47" s="887"/>
    </row>
    <row r="48" spans="2:19" ht="12.75" customHeight="1">
      <c r="B48" s="887" t="s">
        <v>195</v>
      </c>
      <c r="C48" s="887"/>
      <c r="D48" s="887"/>
      <c r="E48" s="887"/>
      <c r="F48" s="887"/>
      <c r="G48" s="887"/>
      <c r="H48" s="887"/>
      <c r="I48" s="887"/>
      <c r="J48" s="887"/>
      <c r="K48" s="887"/>
      <c r="L48" s="887"/>
      <c r="M48" s="887"/>
      <c r="N48" s="887"/>
      <c r="O48" s="887"/>
      <c r="P48" s="887"/>
      <c r="Q48" s="887"/>
      <c r="R48" s="887"/>
      <c r="S48" s="887"/>
    </row>
    <row r="49" spans="2:19" ht="24" customHeight="1">
      <c r="B49" s="887" t="s">
        <v>245</v>
      </c>
      <c r="C49" s="887"/>
      <c r="D49" s="887"/>
      <c r="E49" s="887"/>
      <c r="F49" s="887"/>
      <c r="G49" s="887"/>
      <c r="H49" s="887"/>
      <c r="I49" s="887"/>
      <c r="J49" s="887"/>
      <c r="K49" s="887"/>
      <c r="L49" s="887"/>
      <c r="M49" s="887"/>
      <c r="N49" s="887"/>
      <c r="O49" s="887"/>
      <c r="P49" s="887"/>
      <c r="Q49" s="887"/>
      <c r="R49" s="887"/>
      <c r="S49" s="887"/>
    </row>
  </sheetData>
  <mergeCells count="8">
    <mergeCell ref="B46:S46"/>
    <mergeCell ref="B47:S47"/>
    <mergeCell ref="B48:S48"/>
    <mergeCell ref="B49:S49"/>
    <mergeCell ref="B2:S2"/>
    <mergeCell ref="B3:S3"/>
    <mergeCell ref="B44:S44"/>
    <mergeCell ref="B45:S45"/>
  </mergeCells>
  <printOptions horizontalCentered="1"/>
  <pageMargins left="0.6692913385826772" right="0.4724409448818898" top="0.4724409448818898" bottom="0.2755905511811024" header="0.31496062992125984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3">
    <pageSetUpPr fitToPage="1"/>
  </sheetPr>
  <dimension ref="A1:Q44"/>
  <sheetViews>
    <sheetView workbookViewId="0" topLeftCell="A1">
      <selection activeCell="S26" sqref="S26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4" width="8.7109375" style="688" hidden="1" customWidth="1"/>
    <col min="5" max="5" width="9.7109375" style="688" customWidth="1"/>
    <col min="6" max="9" width="8.7109375" style="688" customWidth="1"/>
    <col min="10" max="15" width="9.7109375" style="688" customWidth="1"/>
    <col min="16" max="16" width="4.00390625" style="0" customWidth="1"/>
    <col min="17" max="17" width="7.421875" style="0" customWidth="1"/>
  </cols>
  <sheetData>
    <row r="1" spans="2:16" ht="14.25" customHeight="1">
      <c r="B1" s="47"/>
      <c r="C1" s="687"/>
      <c r="D1" s="687"/>
      <c r="E1" s="687"/>
      <c r="F1" s="687"/>
      <c r="G1" s="687"/>
      <c r="J1" s="689"/>
      <c r="P1" s="19" t="s">
        <v>213</v>
      </c>
    </row>
    <row r="2" spans="2:16" s="80" customFormat="1" ht="30" customHeight="1">
      <c r="B2" s="888" t="s">
        <v>14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</row>
    <row r="3" spans="2:16" ht="15" customHeight="1">
      <c r="B3" s="889" t="s">
        <v>116</v>
      </c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</row>
    <row r="4" spans="2:16" ht="12.75">
      <c r="B4" s="5"/>
      <c r="C4" s="690"/>
      <c r="D4" s="690"/>
      <c r="E4" s="690"/>
      <c r="J4" s="691"/>
      <c r="L4" s="691"/>
      <c r="N4" s="691"/>
      <c r="O4" s="691" t="s">
        <v>5</v>
      </c>
      <c r="P4" s="10"/>
    </row>
    <row r="5" spans="2:17" ht="24.75" customHeight="1">
      <c r="B5" s="5"/>
      <c r="C5" s="114">
        <v>1998</v>
      </c>
      <c r="D5" s="115">
        <v>1999</v>
      </c>
      <c r="E5" s="114">
        <v>2000</v>
      </c>
      <c r="F5" s="115">
        <v>2001</v>
      </c>
      <c r="G5" s="115">
        <v>2002</v>
      </c>
      <c r="H5" s="115">
        <v>2003</v>
      </c>
      <c r="I5" s="115">
        <v>2004</v>
      </c>
      <c r="J5" s="115">
        <v>2005</v>
      </c>
      <c r="K5" s="115">
        <v>2006</v>
      </c>
      <c r="L5" s="115">
        <v>2007</v>
      </c>
      <c r="M5" s="115">
        <v>2008</v>
      </c>
      <c r="N5" s="115">
        <v>2009</v>
      </c>
      <c r="O5" s="116">
        <v>2010</v>
      </c>
      <c r="P5" s="9"/>
      <c r="Q5" s="815" t="s">
        <v>230</v>
      </c>
    </row>
    <row r="6" spans="2:17" ht="12.75" customHeight="1">
      <c r="B6" s="113" t="s">
        <v>40</v>
      </c>
      <c r="C6" s="692"/>
      <c r="D6" s="551"/>
      <c r="E6" s="692"/>
      <c r="F6" s="551"/>
      <c r="G6" s="551"/>
      <c r="H6" s="551">
        <f aca="true" t="shared" si="0" ref="H6:M6">SUM(H9:H35)</f>
        <v>14853.315999999999</v>
      </c>
      <c r="I6" s="551">
        <f t="shared" si="0"/>
        <v>15148.716000000004</v>
      </c>
      <c r="J6" s="551">
        <f t="shared" si="0"/>
        <v>15092.174000000003</v>
      </c>
      <c r="K6" s="551">
        <f t="shared" si="0"/>
        <v>15450.397999999997</v>
      </c>
      <c r="L6" s="551">
        <f t="shared" si="0"/>
        <v>15604.958</v>
      </c>
      <c r="M6" s="551">
        <f t="shared" si="0"/>
        <v>14361.428000000005</v>
      </c>
      <c r="N6" s="551">
        <f>SUM(N9:N35)</f>
        <v>14179.076000000001</v>
      </c>
      <c r="O6" s="693">
        <f>SUM(O9:O35)</f>
        <v>13389.625</v>
      </c>
      <c r="P6" s="113" t="s">
        <v>40</v>
      </c>
      <c r="Q6" s="693">
        <f>100*(O6/N6-1)</f>
        <v>-5.5677182349541</v>
      </c>
    </row>
    <row r="7" spans="2:17" ht="12.75" customHeight="1">
      <c r="B7" s="110" t="s">
        <v>71</v>
      </c>
      <c r="C7" s="684">
        <f>C9+C12+C13+C16+C17+C18+C15+C19+C23+C26+C27+C29+C33+C34+C35</f>
        <v>13940.822999999999</v>
      </c>
      <c r="D7" s="552">
        <f aca="true" t="shared" si="1" ref="D7:J7">D9+D12+D13+D16+D17+D18+D15+D19+D23+D26+D27+D29+D33+D34+D35</f>
        <v>14632.826</v>
      </c>
      <c r="E7" s="684">
        <f t="shared" si="1"/>
        <v>14319.107</v>
      </c>
      <c r="F7" s="552">
        <f t="shared" si="1"/>
        <v>14401.916999999998</v>
      </c>
      <c r="G7" s="552">
        <f t="shared" si="1"/>
        <v>14008.012999999999</v>
      </c>
      <c r="H7" s="552">
        <f t="shared" si="1"/>
        <v>13842.554</v>
      </c>
      <c r="I7" s="552">
        <f t="shared" si="1"/>
        <v>14127.452000000001</v>
      </c>
      <c r="J7" s="552">
        <f t="shared" si="1"/>
        <v>14111.851</v>
      </c>
      <c r="K7" s="552">
        <f>K9+K12+K13+K16+K17+K18+K15+K19+K23+K26+K27+K29+K33+K34+K35</f>
        <v>14367.267999999998</v>
      </c>
      <c r="L7" s="552">
        <f>L9+L12+L13+L16+L17+L18+L15+L19+L23+L26+L27+L29+L33+L34+L35</f>
        <v>14363.818000000001</v>
      </c>
      <c r="M7" s="552">
        <f>M9+M12+M13+M16+M17+M18+M15+M19+M23+M26+M27+M29+M33+M34+M35</f>
        <v>13152.925</v>
      </c>
      <c r="N7" s="552">
        <f>N9+N12+N13+N16+N17+N18+N15+N19+N23+N26+N27+N29+N33+N34+N35</f>
        <v>13298.455</v>
      </c>
      <c r="O7" s="694">
        <f>O9+O12+O13+O16+O17+O18+O15+O19+O23+O26+O27+O29+O33+O34+O35</f>
        <v>12552.518</v>
      </c>
      <c r="P7" s="110" t="s">
        <v>71</v>
      </c>
      <c r="Q7" s="694">
        <f aca="true" t="shared" si="2" ref="Q7:Q38">100*(O7/N7-1)</f>
        <v>-5.6092004672723235</v>
      </c>
    </row>
    <row r="8" spans="2:17" ht="12.75" customHeight="1">
      <c r="B8" s="112" t="s">
        <v>131</v>
      </c>
      <c r="C8" s="695"/>
      <c r="D8" s="696"/>
      <c r="E8" s="695"/>
      <c r="F8" s="696"/>
      <c r="G8" s="696"/>
      <c r="H8" s="696">
        <f aca="true" t="shared" si="3" ref="H8:M8">SUM(H10,H11,H14,H20,H21,H22,H24,H25,H28,H30,H31,H32)</f>
        <v>1010.762</v>
      </c>
      <c r="I8" s="696">
        <f t="shared" si="3"/>
        <v>1021.2639999999999</v>
      </c>
      <c r="J8" s="696">
        <f t="shared" si="3"/>
        <v>980.323</v>
      </c>
      <c r="K8" s="696">
        <f t="shared" si="3"/>
        <v>1083.13</v>
      </c>
      <c r="L8" s="696">
        <f t="shared" si="3"/>
        <v>1241.14</v>
      </c>
      <c r="M8" s="696">
        <f t="shared" si="3"/>
        <v>1208.503</v>
      </c>
      <c r="N8" s="696">
        <f>SUM(N10,N11,N14,N20,N21,N22,N24,N25,N28,N30,N31,N32)</f>
        <v>880.6209999999999</v>
      </c>
      <c r="O8" s="697">
        <f>SUM(O10,O11,O14,O20,O21,O22,O24,O25,O28,O30,O31,O32)</f>
        <v>837.1070000000001</v>
      </c>
      <c r="P8" s="112" t="s">
        <v>131</v>
      </c>
      <c r="Q8" s="697">
        <f t="shared" si="2"/>
        <v>-4.94128575175925</v>
      </c>
    </row>
    <row r="9" spans="1:17" ht="12.75" customHeight="1">
      <c r="A9" s="11"/>
      <c r="B9" s="12" t="s">
        <v>72</v>
      </c>
      <c r="C9" s="427">
        <v>452.129</v>
      </c>
      <c r="D9" s="698">
        <v>489.621</v>
      </c>
      <c r="E9" s="698">
        <v>515.204</v>
      </c>
      <c r="F9" s="698">
        <v>488.683</v>
      </c>
      <c r="G9" s="698">
        <v>467.569</v>
      </c>
      <c r="H9" s="698">
        <v>458.796</v>
      </c>
      <c r="I9" s="698">
        <v>484.757</v>
      </c>
      <c r="J9" s="698">
        <v>480.088</v>
      </c>
      <c r="K9" s="698">
        <v>526.141</v>
      </c>
      <c r="L9" s="698">
        <v>524.795</v>
      </c>
      <c r="M9" s="698">
        <v>535.947</v>
      </c>
      <c r="N9" s="698">
        <v>476.194</v>
      </c>
      <c r="O9" s="699">
        <v>547.415</v>
      </c>
      <c r="P9" s="205" t="s">
        <v>72</v>
      </c>
      <c r="Q9" s="699">
        <f t="shared" si="2"/>
        <v>14.956299323385004</v>
      </c>
    </row>
    <row r="10" spans="1:17" ht="12.75" customHeight="1">
      <c r="A10" s="11"/>
      <c r="B10" s="110" t="s">
        <v>54</v>
      </c>
      <c r="C10" s="428"/>
      <c r="D10" s="424"/>
      <c r="E10" s="424"/>
      <c r="F10" s="424"/>
      <c r="G10" s="424">
        <v>13.82</v>
      </c>
      <c r="H10" s="424">
        <v>16.64</v>
      </c>
      <c r="I10" s="424">
        <v>24.91</v>
      </c>
      <c r="J10" s="424">
        <v>32.7</v>
      </c>
      <c r="K10" s="424">
        <v>32.481</v>
      </c>
      <c r="L10" s="424">
        <v>41.042</v>
      </c>
      <c r="M10" s="424">
        <v>43.758</v>
      </c>
      <c r="N10" s="424">
        <v>24.972</v>
      </c>
      <c r="O10" s="700">
        <v>17.432</v>
      </c>
      <c r="P10" s="203" t="s">
        <v>54</v>
      </c>
      <c r="Q10" s="700">
        <f t="shared" si="2"/>
        <v>-30.19381707512415</v>
      </c>
    </row>
    <row r="11" spans="1:17" ht="12.75" customHeight="1">
      <c r="A11" s="11"/>
      <c r="B11" s="13" t="s">
        <v>56</v>
      </c>
      <c r="C11" s="418"/>
      <c r="D11" s="416"/>
      <c r="E11" s="416"/>
      <c r="F11" s="416"/>
      <c r="G11" s="416"/>
      <c r="H11" s="416">
        <v>152.981</v>
      </c>
      <c r="I11" s="416">
        <v>143.622</v>
      </c>
      <c r="J11" s="416">
        <v>151.699</v>
      </c>
      <c r="K11" s="416">
        <v>156.686</v>
      </c>
      <c r="L11" s="416">
        <v>174.456</v>
      </c>
      <c r="M11" s="416">
        <v>182.554</v>
      </c>
      <c r="N11" s="416">
        <v>167.708</v>
      </c>
      <c r="O11" s="678">
        <v>167.501</v>
      </c>
      <c r="P11" s="206" t="s">
        <v>56</v>
      </c>
      <c r="Q11" s="678">
        <f t="shared" si="2"/>
        <v>-0.12342881675292405</v>
      </c>
    </row>
    <row r="12" spans="1:17" ht="12.75" customHeight="1">
      <c r="A12" s="11"/>
      <c r="B12" s="110" t="s">
        <v>67</v>
      </c>
      <c r="C12" s="428">
        <v>162.508</v>
      </c>
      <c r="D12" s="424">
        <v>143.727</v>
      </c>
      <c r="E12" s="424">
        <v>112.69</v>
      </c>
      <c r="F12" s="424">
        <v>96.173</v>
      </c>
      <c r="G12" s="424">
        <v>111.585</v>
      </c>
      <c r="H12" s="424">
        <v>96.078</v>
      </c>
      <c r="I12" s="424">
        <v>121.49</v>
      </c>
      <c r="J12" s="424">
        <v>146.885</v>
      </c>
      <c r="K12" s="424">
        <v>154.385</v>
      </c>
      <c r="L12" s="424">
        <v>159.347</v>
      </c>
      <c r="M12" s="424">
        <v>150.145</v>
      </c>
      <c r="N12" s="424">
        <v>112.181</v>
      </c>
      <c r="O12" s="700">
        <v>152.444</v>
      </c>
      <c r="P12" s="203" t="s">
        <v>67</v>
      </c>
      <c r="Q12" s="700">
        <f t="shared" si="2"/>
        <v>35.89110455424716</v>
      </c>
    </row>
    <row r="13" spans="1:17" ht="12.75" customHeight="1">
      <c r="A13" s="11"/>
      <c r="B13" s="13" t="s">
        <v>73</v>
      </c>
      <c r="C13" s="418">
        <v>3735.987</v>
      </c>
      <c r="D13" s="416">
        <v>3802.176</v>
      </c>
      <c r="E13" s="416">
        <v>3378.343</v>
      </c>
      <c r="F13" s="416">
        <v>3341.718</v>
      </c>
      <c r="G13" s="416">
        <v>3252.898</v>
      </c>
      <c r="H13" s="416">
        <v>3236.938</v>
      </c>
      <c r="I13" s="416">
        <v>3266.825</v>
      </c>
      <c r="J13" s="416">
        <v>3319.259</v>
      </c>
      <c r="K13" s="416">
        <v>3467.961</v>
      </c>
      <c r="L13" s="416">
        <v>3148.163</v>
      </c>
      <c r="M13" s="416">
        <v>3090.04</v>
      </c>
      <c r="N13" s="416">
        <v>3807.175</v>
      </c>
      <c r="O13" s="678">
        <v>2916.259</v>
      </c>
      <c r="P13" s="206" t="s">
        <v>73</v>
      </c>
      <c r="Q13" s="678">
        <f t="shared" si="2"/>
        <v>-23.400973162515516</v>
      </c>
    </row>
    <row r="14" spans="1:17" ht="12.75" customHeight="1">
      <c r="A14" s="11"/>
      <c r="B14" s="110" t="s">
        <v>57</v>
      </c>
      <c r="C14" s="428"/>
      <c r="D14" s="424"/>
      <c r="E14" s="424"/>
      <c r="F14" s="424"/>
      <c r="G14" s="424"/>
      <c r="H14" s="424">
        <v>15.602</v>
      </c>
      <c r="I14" s="424">
        <v>16.436</v>
      </c>
      <c r="J14" s="424">
        <v>19.64</v>
      </c>
      <c r="K14" s="424">
        <v>25.363</v>
      </c>
      <c r="L14" s="424">
        <v>30.912</v>
      </c>
      <c r="M14" s="424">
        <v>24.579</v>
      </c>
      <c r="N14" s="424">
        <v>9.946</v>
      </c>
      <c r="O14" s="700">
        <v>10.295</v>
      </c>
      <c r="P14" s="203" t="s">
        <v>57</v>
      </c>
      <c r="Q14" s="700">
        <f t="shared" si="2"/>
        <v>3.5089483209330474</v>
      </c>
    </row>
    <row r="15" spans="1:17" ht="12.75" customHeight="1">
      <c r="A15" s="11"/>
      <c r="B15" s="13" t="s">
        <v>76</v>
      </c>
      <c r="C15" s="418">
        <v>145.702</v>
      </c>
      <c r="D15" s="416">
        <v>174.242</v>
      </c>
      <c r="E15" s="416">
        <v>230.795</v>
      </c>
      <c r="F15" s="416">
        <v>164.73</v>
      </c>
      <c r="G15" s="416">
        <v>156.125</v>
      </c>
      <c r="H15" s="416">
        <v>145.223</v>
      </c>
      <c r="I15" s="416">
        <v>154.136</v>
      </c>
      <c r="J15" s="416">
        <v>171.742</v>
      </c>
      <c r="K15" s="416">
        <v>178.484</v>
      </c>
      <c r="L15" s="416">
        <v>186.325</v>
      </c>
      <c r="M15" s="416">
        <v>151.607</v>
      </c>
      <c r="N15" s="416">
        <v>57.457</v>
      </c>
      <c r="O15" s="678">
        <v>88.373</v>
      </c>
      <c r="P15" s="206" t="s">
        <v>76</v>
      </c>
      <c r="Q15" s="678">
        <f t="shared" si="2"/>
        <v>53.80719494578554</v>
      </c>
    </row>
    <row r="16" spans="1:17" ht="12.75" customHeight="1">
      <c r="A16" s="11"/>
      <c r="B16" s="110" t="s">
        <v>68</v>
      </c>
      <c r="C16" s="428">
        <v>180.145</v>
      </c>
      <c r="D16" s="424">
        <v>261.711</v>
      </c>
      <c r="E16" s="424">
        <v>290.222</v>
      </c>
      <c r="F16" s="424">
        <v>280.214</v>
      </c>
      <c r="G16" s="424">
        <v>268.489</v>
      </c>
      <c r="H16" s="424">
        <v>257.293</v>
      </c>
      <c r="I16" s="424">
        <v>289.691</v>
      </c>
      <c r="J16" s="424">
        <v>269.728</v>
      </c>
      <c r="K16" s="424">
        <v>267.669</v>
      </c>
      <c r="L16" s="424">
        <v>279.745</v>
      </c>
      <c r="M16" s="424">
        <v>267.295</v>
      </c>
      <c r="N16" s="424">
        <v>219.73</v>
      </c>
      <c r="O16" s="700">
        <v>141.501</v>
      </c>
      <c r="P16" s="203" t="s">
        <v>68</v>
      </c>
      <c r="Q16" s="700">
        <f t="shared" si="2"/>
        <v>-35.602330132435256</v>
      </c>
    </row>
    <row r="17" spans="1:17" ht="12.75" customHeight="1">
      <c r="A17" s="11"/>
      <c r="B17" s="13" t="s">
        <v>74</v>
      </c>
      <c r="C17" s="418">
        <v>1192.53</v>
      </c>
      <c r="D17" s="416">
        <v>1406.246</v>
      </c>
      <c r="E17" s="416">
        <v>1381.256</v>
      </c>
      <c r="F17" s="416">
        <v>1425.573</v>
      </c>
      <c r="G17" s="416">
        <v>1331.877</v>
      </c>
      <c r="H17" s="416">
        <v>1382.109</v>
      </c>
      <c r="I17" s="416">
        <v>1517.286</v>
      </c>
      <c r="J17" s="416">
        <v>1528.877</v>
      </c>
      <c r="K17" s="416">
        <v>1634.608</v>
      </c>
      <c r="L17" s="416">
        <v>1614.835</v>
      </c>
      <c r="M17" s="416">
        <v>1161.176</v>
      </c>
      <c r="N17" s="416">
        <v>952.772</v>
      </c>
      <c r="O17" s="678">
        <v>982.015</v>
      </c>
      <c r="P17" s="206" t="s">
        <v>74</v>
      </c>
      <c r="Q17" s="678">
        <f t="shared" si="2"/>
        <v>3.0692547639938894</v>
      </c>
    </row>
    <row r="18" spans="1:17" ht="12.75" customHeight="1">
      <c r="A18" s="11"/>
      <c r="B18" s="110" t="s">
        <v>75</v>
      </c>
      <c r="C18" s="428">
        <v>1943.553</v>
      </c>
      <c r="D18" s="424">
        <v>2148.423</v>
      </c>
      <c r="E18" s="424">
        <v>2133.884</v>
      </c>
      <c r="F18" s="424">
        <v>2254.732</v>
      </c>
      <c r="G18" s="424">
        <v>2145.071</v>
      </c>
      <c r="H18" s="424">
        <v>2009.246</v>
      </c>
      <c r="I18" s="424">
        <v>2013.709</v>
      </c>
      <c r="J18" s="424">
        <v>2067.789</v>
      </c>
      <c r="K18" s="424">
        <v>2000.549</v>
      </c>
      <c r="L18" s="424">
        <v>2064.543</v>
      </c>
      <c r="M18" s="424">
        <v>2050.282</v>
      </c>
      <c r="N18" s="424">
        <v>2302.398</v>
      </c>
      <c r="O18" s="700">
        <v>2251.669</v>
      </c>
      <c r="P18" s="203" t="s">
        <v>75</v>
      </c>
      <c r="Q18" s="700">
        <f t="shared" si="2"/>
        <v>-2.20331150391897</v>
      </c>
    </row>
    <row r="19" spans="1:17" ht="12.75" customHeight="1">
      <c r="A19" s="11"/>
      <c r="B19" s="13" t="s">
        <v>77</v>
      </c>
      <c r="C19" s="418">
        <v>2378.516</v>
      </c>
      <c r="D19" s="416">
        <v>2338.464</v>
      </c>
      <c r="E19" s="416">
        <v>2423.084</v>
      </c>
      <c r="F19" s="416">
        <v>2413.455</v>
      </c>
      <c r="G19" s="416">
        <v>2279.612</v>
      </c>
      <c r="H19" s="416">
        <v>2247.019</v>
      </c>
      <c r="I19" s="416">
        <v>2264.688</v>
      </c>
      <c r="J19" s="416">
        <v>2237.444</v>
      </c>
      <c r="K19" s="416">
        <v>2326.049</v>
      </c>
      <c r="L19" s="416">
        <v>2493.106</v>
      </c>
      <c r="M19" s="416">
        <v>2161.682</v>
      </c>
      <c r="N19" s="416">
        <v>2158.901</v>
      </c>
      <c r="O19" s="678">
        <v>1959.436</v>
      </c>
      <c r="P19" s="206" t="s">
        <v>77</v>
      </c>
      <c r="Q19" s="678">
        <f t="shared" si="2"/>
        <v>-9.23919160721126</v>
      </c>
    </row>
    <row r="20" spans="1:17" ht="12.75" customHeight="1">
      <c r="A20" s="11"/>
      <c r="B20" s="110" t="s">
        <v>55</v>
      </c>
      <c r="C20" s="428"/>
      <c r="D20" s="424"/>
      <c r="E20" s="424">
        <f>7.103+0.051+1.057</f>
        <v>8.211</v>
      </c>
      <c r="F20" s="424">
        <f>7.562+0.117+2.323</f>
        <v>10.002</v>
      </c>
      <c r="G20" s="424">
        <f>7.942+0.065+1.115</f>
        <v>9.122</v>
      </c>
      <c r="H20" s="424">
        <f>7.797+0.12+1.228</f>
        <v>9.145</v>
      </c>
      <c r="I20" s="424">
        <f>18.22+0.055+1.375</f>
        <v>19.65</v>
      </c>
      <c r="J20" s="424">
        <f>17.687+0.09+1.433</f>
        <v>19.21</v>
      </c>
      <c r="K20" s="424">
        <f>18.639+0.076+1.629</f>
        <v>20.344</v>
      </c>
      <c r="L20" s="424">
        <f>22.878+0.087+2.142</f>
        <v>25.107</v>
      </c>
      <c r="M20" s="424">
        <f>22.241+0.044+1.928</f>
        <v>24.213</v>
      </c>
      <c r="N20" s="424">
        <v>15.945</v>
      </c>
      <c r="O20" s="700">
        <v>15.062</v>
      </c>
      <c r="P20" s="203" t="s">
        <v>55</v>
      </c>
      <c r="Q20" s="700">
        <f t="shared" si="2"/>
        <v>-5.53778613985576</v>
      </c>
    </row>
    <row r="21" spans="1:17" ht="12.75" customHeight="1">
      <c r="A21" s="11"/>
      <c r="B21" s="13" t="s">
        <v>59</v>
      </c>
      <c r="C21" s="418"/>
      <c r="D21" s="416"/>
      <c r="E21" s="416"/>
      <c r="F21" s="416"/>
      <c r="G21" s="416"/>
      <c r="H21" s="416">
        <v>8.713</v>
      </c>
      <c r="I21" s="416">
        <v>11.217</v>
      </c>
      <c r="J21" s="416">
        <v>16.602</v>
      </c>
      <c r="K21" s="416">
        <v>25.582</v>
      </c>
      <c r="L21" s="416">
        <v>32.771</v>
      </c>
      <c r="M21" s="416">
        <v>19.831</v>
      </c>
      <c r="N21" s="416">
        <v>5.367</v>
      </c>
      <c r="O21" s="678">
        <v>6.365</v>
      </c>
      <c r="P21" s="206" t="s">
        <v>59</v>
      </c>
      <c r="Q21" s="678">
        <f t="shared" si="2"/>
        <v>18.595118315632565</v>
      </c>
    </row>
    <row r="22" spans="1:17" ht="12.75" customHeight="1">
      <c r="A22" s="11"/>
      <c r="B22" s="110" t="s">
        <v>60</v>
      </c>
      <c r="C22" s="428"/>
      <c r="D22" s="424"/>
      <c r="E22" s="424"/>
      <c r="F22" s="424"/>
      <c r="G22" s="424"/>
      <c r="H22" s="424">
        <v>7.543</v>
      </c>
      <c r="I22" s="424">
        <v>9.493</v>
      </c>
      <c r="J22" s="424">
        <v>10.467</v>
      </c>
      <c r="K22" s="424">
        <v>14.234</v>
      </c>
      <c r="L22" s="424">
        <v>21.606</v>
      </c>
      <c r="M22" s="424">
        <v>22.217</v>
      </c>
      <c r="N22" s="424">
        <v>7.515</v>
      </c>
      <c r="O22" s="700">
        <v>7.97</v>
      </c>
      <c r="P22" s="203" t="s">
        <v>60</v>
      </c>
      <c r="Q22" s="700">
        <f t="shared" si="2"/>
        <v>6.054557551563544</v>
      </c>
    </row>
    <row r="23" spans="1:17" ht="12.75" customHeight="1">
      <c r="A23" s="11"/>
      <c r="B23" s="13" t="s">
        <v>78</v>
      </c>
      <c r="C23" s="418">
        <v>35.928</v>
      </c>
      <c r="D23" s="416">
        <v>40.476</v>
      </c>
      <c r="E23" s="416">
        <v>41.896</v>
      </c>
      <c r="F23" s="416">
        <v>42.833</v>
      </c>
      <c r="G23" s="416">
        <v>43.403</v>
      </c>
      <c r="H23" s="416">
        <v>43.62</v>
      </c>
      <c r="I23" s="416">
        <v>48.234</v>
      </c>
      <c r="J23" s="416">
        <v>48.517</v>
      </c>
      <c r="K23" s="416">
        <v>50.837</v>
      </c>
      <c r="L23" s="416">
        <v>51.332</v>
      </c>
      <c r="M23" s="416">
        <v>52.359</v>
      </c>
      <c r="N23" s="416">
        <v>47.265</v>
      </c>
      <c r="O23" s="678">
        <v>49.726</v>
      </c>
      <c r="P23" s="206" t="s">
        <v>78</v>
      </c>
      <c r="Q23" s="678">
        <f t="shared" si="2"/>
        <v>5.206812652068127</v>
      </c>
    </row>
    <row r="24" spans="1:17" ht="12.75" customHeight="1">
      <c r="A24" s="11"/>
      <c r="B24" s="110" t="s">
        <v>58</v>
      </c>
      <c r="C24" s="428"/>
      <c r="D24" s="424"/>
      <c r="E24" s="424"/>
      <c r="F24" s="424"/>
      <c r="G24" s="424"/>
      <c r="H24" s="424">
        <v>208.426</v>
      </c>
      <c r="I24" s="424">
        <v>207.055</v>
      </c>
      <c r="J24" s="424">
        <v>198.982</v>
      </c>
      <c r="K24" s="424">
        <v>187.676</v>
      </c>
      <c r="L24" s="424">
        <v>171.661</v>
      </c>
      <c r="M24" s="424">
        <v>153.278</v>
      </c>
      <c r="N24" s="424">
        <v>60.189</v>
      </c>
      <c r="O24" s="700">
        <v>43.476</v>
      </c>
      <c r="P24" s="203" t="s">
        <v>58</v>
      </c>
      <c r="Q24" s="700">
        <f t="shared" si="2"/>
        <v>-27.76753227333898</v>
      </c>
    </row>
    <row r="25" spans="1:17" ht="12.75" customHeight="1">
      <c r="A25" s="11"/>
      <c r="B25" s="13" t="s">
        <v>61</v>
      </c>
      <c r="C25" s="418"/>
      <c r="D25" s="416"/>
      <c r="E25" s="416"/>
      <c r="F25" s="416"/>
      <c r="G25" s="416"/>
      <c r="H25" s="416">
        <f>0.069+6.519+0.634+0.008</f>
        <v>7.23</v>
      </c>
      <c r="I25" s="416">
        <f>0.084+5.398+0.721+0.015</f>
        <v>6.217999999999999</v>
      </c>
      <c r="J25" s="416">
        <f>0.083+5.675+0.778+0.016</f>
        <v>6.552</v>
      </c>
      <c r="K25" s="416">
        <f>0.061+5.862+0.803+0.019</f>
        <v>6.745</v>
      </c>
      <c r="L25" s="416">
        <f>0.075+5.334+0.808+0.023</f>
        <v>6.239999999999999</v>
      </c>
      <c r="M25" s="416">
        <v>5.423</v>
      </c>
      <c r="N25" s="416">
        <v>5.894</v>
      </c>
      <c r="O25" s="678">
        <v>4.056</v>
      </c>
      <c r="P25" s="206" t="s">
        <v>61</v>
      </c>
      <c r="Q25" s="678">
        <f t="shared" si="2"/>
        <v>-31.184255174753982</v>
      </c>
    </row>
    <row r="26" spans="1:17" ht="12.75" customHeight="1">
      <c r="A26" s="11"/>
      <c r="B26" s="111" t="s">
        <v>69</v>
      </c>
      <c r="C26" s="428">
        <v>542.978</v>
      </c>
      <c r="D26" s="424">
        <v>611.487</v>
      </c>
      <c r="E26" s="424">
        <v>597.625</v>
      </c>
      <c r="F26" s="424">
        <v>530.231</v>
      </c>
      <c r="G26" s="424">
        <v>510.702</v>
      </c>
      <c r="H26" s="424">
        <v>488.841</v>
      </c>
      <c r="I26" s="424">
        <v>483.745</v>
      </c>
      <c r="J26" s="424">
        <v>465.152</v>
      </c>
      <c r="K26" s="424">
        <v>483.97</v>
      </c>
      <c r="L26" s="424">
        <v>505.538</v>
      </c>
      <c r="M26" s="424">
        <v>499.918</v>
      </c>
      <c r="N26" s="424">
        <v>387.215</v>
      </c>
      <c r="O26" s="700">
        <v>483.949</v>
      </c>
      <c r="P26" s="207" t="s">
        <v>69</v>
      </c>
      <c r="Q26" s="700">
        <f t="shared" si="2"/>
        <v>24.9819867515463</v>
      </c>
    </row>
    <row r="27" spans="1:17" ht="12.75" customHeight="1">
      <c r="A27" s="11"/>
      <c r="B27" s="13" t="s">
        <v>79</v>
      </c>
      <c r="C27" s="418">
        <v>295.865</v>
      </c>
      <c r="D27" s="416">
        <v>314.182</v>
      </c>
      <c r="E27" s="416">
        <v>309.427</v>
      </c>
      <c r="F27" s="416">
        <v>293.528</v>
      </c>
      <c r="G27" s="416">
        <v>279.493</v>
      </c>
      <c r="H27" s="416">
        <v>300.121</v>
      </c>
      <c r="I27" s="416">
        <v>311.292</v>
      </c>
      <c r="J27" s="416">
        <v>307.915</v>
      </c>
      <c r="K27" s="416">
        <v>308.594</v>
      </c>
      <c r="L27" s="416">
        <v>298.182</v>
      </c>
      <c r="M27" s="416">
        <v>293.697</v>
      </c>
      <c r="N27" s="416">
        <v>319.403</v>
      </c>
      <c r="O27" s="678">
        <v>328.563</v>
      </c>
      <c r="P27" s="206" t="s">
        <v>79</v>
      </c>
      <c r="Q27" s="678">
        <f t="shared" si="2"/>
        <v>2.8678503332780103</v>
      </c>
    </row>
    <row r="28" spans="1:17" ht="12.75" customHeight="1">
      <c r="A28" s="11"/>
      <c r="B28" s="110" t="s">
        <v>62</v>
      </c>
      <c r="C28" s="428"/>
      <c r="D28" s="424"/>
      <c r="E28" s="701"/>
      <c r="F28" s="424"/>
      <c r="G28" s="424"/>
      <c r="H28" s="424">
        <v>358.432</v>
      </c>
      <c r="I28" s="424">
        <v>318.111</v>
      </c>
      <c r="J28" s="424">
        <v>235.522</v>
      </c>
      <c r="K28" s="424">
        <v>238.993</v>
      </c>
      <c r="L28" s="424">
        <v>293.305</v>
      </c>
      <c r="M28" s="424">
        <v>320.04</v>
      </c>
      <c r="N28" s="424">
        <v>320.206</v>
      </c>
      <c r="O28" s="700">
        <v>333.492</v>
      </c>
      <c r="P28" s="203" t="s">
        <v>62</v>
      </c>
      <c r="Q28" s="700">
        <f t="shared" si="2"/>
        <v>4.149203949957214</v>
      </c>
    </row>
    <row r="29" spans="1:17" ht="12.75" customHeight="1">
      <c r="A29" s="11"/>
      <c r="B29" s="13" t="s">
        <v>80</v>
      </c>
      <c r="C29" s="418">
        <v>248.398</v>
      </c>
      <c r="D29" s="416">
        <v>272.883</v>
      </c>
      <c r="E29" s="416">
        <v>257.836</v>
      </c>
      <c r="F29" s="416">
        <v>255.21</v>
      </c>
      <c r="G29" s="416">
        <v>226.092</v>
      </c>
      <c r="H29" s="416">
        <v>189.792</v>
      </c>
      <c r="I29" s="416">
        <v>197.645</v>
      </c>
      <c r="J29" s="416">
        <v>206.488</v>
      </c>
      <c r="K29" s="416">
        <v>194.702</v>
      </c>
      <c r="L29" s="416">
        <v>201.816</v>
      </c>
      <c r="M29" s="416">
        <v>213.389</v>
      </c>
      <c r="N29" s="416">
        <v>161.013</v>
      </c>
      <c r="O29" s="678">
        <v>223.499</v>
      </c>
      <c r="P29" s="206" t="s">
        <v>80</v>
      </c>
      <c r="Q29" s="678">
        <f t="shared" si="2"/>
        <v>38.808046555247074</v>
      </c>
    </row>
    <row r="30" spans="1:17" ht="12.75" customHeight="1">
      <c r="A30" s="11"/>
      <c r="B30" s="110" t="s">
        <v>63</v>
      </c>
      <c r="C30" s="428"/>
      <c r="D30" s="424"/>
      <c r="E30" s="424"/>
      <c r="F30" s="424"/>
      <c r="G30" s="424">
        <v>88.8</v>
      </c>
      <c r="H30" s="424">
        <v>106.76</v>
      </c>
      <c r="I30" s="424">
        <v>145.12</v>
      </c>
      <c r="J30" s="424">
        <v>172.5</v>
      </c>
      <c r="K30" s="424">
        <v>256.364</v>
      </c>
      <c r="L30" s="424">
        <v>315.621</v>
      </c>
      <c r="M30" s="424">
        <v>270.995</v>
      </c>
      <c r="N30" s="424">
        <v>130.195</v>
      </c>
      <c r="O30" s="700">
        <v>106.318</v>
      </c>
      <c r="P30" s="203" t="s">
        <v>63</v>
      </c>
      <c r="Q30" s="700">
        <f t="shared" si="2"/>
        <v>-18.33941395598909</v>
      </c>
    </row>
    <row r="31" spans="1:17" ht="12.75" customHeight="1">
      <c r="A31" s="11"/>
      <c r="B31" s="13" t="s">
        <v>65</v>
      </c>
      <c r="C31" s="418"/>
      <c r="D31" s="416"/>
      <c r="E31" s="416"/>
      <c r="F31" s="416"/>
      <c r="G31" s="416"/>
      <c r="H31" s="416">
        <v>59.548</v>
      </c>
      <c r="I31" s="416">
        <v>62.002</v>
      </c>
      <c r="J31" s="416">
        <v>59.324</v>
      </c>
      <c r="K31" s="416">
        <v>59.578</v>
      </c>
      <c r="L31" s="416">
        <v>68.719</v>
      </c>
      <c r="M31" s="416">
        <v>71.575</v>
      </c>
      <c r="N31" s="416">
        <v>57.967</v>
      </c>
      <c r="O31" s="678">
        <v>61.142</v>
      </c>
      <c r="P31" s="206" t="s">
        <v>65</v>
      </c>
      <c r="Q31" s="678">
        <f t="shared" si="2"/>
        <v>5.477254299860279</v>
      </c>
    </row>
    <row r="32" spans="1:17" ht="12.75" customHeight="1">
      <c r="A32" s="11"/>
      <c r="B32" s="110" t="s">
        <v>64</v>
      </c>
      <c r="C32" s="428"/>
      <c r="D32" s="424"/>
      <c r="E32" s="424"/>
      <c r="F32" s="424"/>
      <c r="G32" s="424"/>
      <c r="H32" s="424">
        <v>59.742</v>
      </c>
      <c r="I32" s="424">
        <v>57.43</v>
      </c>
      <c r="J32" s="424">
        <v>57.125</v>
      </c>
      <c r="K32" s="424">
        <v>59.084</v>
      </c>
      <c r="L32" s="424">
        <v>59.7</v>
      </c>
      <c r="M32" s="424">
        <v>70.04</v>
      </c>
      <c r="N32" s="424">
        <v>74.717</v>
      </c>
      <c r="O32" s="700">
        <v>63.998</v>
      </c>
      <c r="P32" s="203" t="s">
        <v>64</v>
      </c>
      <c r="Q32" s="700">
        <f t="shared" si="2"/>
        <v>-14.346132740875571</v>
      </c>
    </row>
    <row r="33" spans="1:17" ht="12.75" customHeight="1">
      <c r="A33" s="11"/>
      <c r="B33" s="13" t="s">
        <v>81</v>
      </c>
      <c r="C33" s="418">
        <v>125.751</v>
      </c>
      <c r="D33" s="416">
        <v>136.324</v>
      </c>
      <c r="E33" s="416">
        <v>134.646</v>
      </c>
      <c r="F33" s="416">
        <v>109.487</v>
      </c>
      <c r="G33" s="416">
        <v>116.877</v>
      </c>
      <c r="H33" s="416">
        <v>147.222</v>
      </c>
      <c r="I33" s="416">
        <v>142.439</v>
      </c>
      <c r="J33" s="416">
        <v>147.949</v>
      </c>
      <c r="K33" s="416">
        <v>145.689</v>
      </c>
      <c r="L33" s="416">
        <v>125.285</v>
      </c>
      <c r="M33" s="416">
        <v>139.611</v>
      </c>
      <c r="N33" s="416">
        <v>88.344</v>
      </c>
      <c r="O33" s="678">
        <v>107.346</v>
      </c>
      <c r="P33" s="206" t="s">
        <v>81</v>
      </c>
      <c r="Q33" s="678">
        <f t="shared" si="2"/>
        <v>21.509100787829418</v>
      </c>
    </row>
    <row r="34" spans="1:17" ht="12.75" customHeight="1">
      <c r="A34" s="11"/>
      <c r="B34" s="110" t="s">
        <v>82</v>
      </c>
      <c r="C34" s="428">
        <v>253.43</v>
      </c>
      <c r="D34" s="424">
        <v>295.249</v>
      </c>
      <c r="E34" s="424">
        <v>290.529</v>
      </c>
      <c r="F34" s="424">
        <v>246.581</v>
      </c>
      <c r="G34" s="424">
        <v>254.589</v>
      </c>
      <c r="H34" s="424">
        <v>261.206</v>
      </c>
      <c r="I34" s="424">
        <v>264.246</v>
      </c>
      <c r="J34" s="424">
        <v>274.301</v>
      </c>
      <c r="K34" s="424">
        <v>282.766</v>
      </c>
      <c r="L34" s="424">
        <v>306.799</v>
      </c>
      <c r="M34" s="424">
        <v>253.982</v>
      </c>
      <c r="N34" s="424">
        <v>213.408</v>
      </c>
      <c r="O34" s="700">
        <v>289.477</v>
      </c>
      <c r="P34" s="203" t="s">
        <v>82</v>
      </c>
      <c r="Q34" s="700">
        <f t="shared" si="2"/>
        <v>35.64486804618383</v>
      </c>
    </row>
    <row r="35" spans="1:17" ht="12.75" customHeight="1">
      <c r="A35" s="11"/>
      <c r="B35" s="14" t="s">
        <v>70</v>
      </c>
      <c r="C35" s="702">
        <v>2247.403</v>
      </c>
      <c r="D35" s="703">
        <v>2197.615</v>
      </c>
      <c r="E35" s="703">
        <v>2221.67</v>
      </c>
      <c r="F35" s="703">
        <v>2458.769</v>
      </c>
      <c r="G35" s="703">
        <v>2563.631</v>
      </c>
      <c r="H35" s="703">
        <v>2579.05</v>
      </c>
      <c r="I35" s="703">
        <v>2567.269</v>
      </c>
      <c r="J35" s="703">
        <v>2439.717</v>
      </c>
      <c r="K35" s="703">
        <v>2344.864</v>
      </c>
      <c r="L35" s="703">
        <v>2404.007</v>
      </c>
      <c r="M35" s="703">
        <v>2131.795</v>
      </c>
      <c r="N35" s="703">
        <v>1994.999</v>
      </c>
      <c r="O35" s="704">
        <v>2030.846</v>
      </c>
      <c r="P35" s="208" t="s">
        <v>70</v>
      </c>
      <c r="Q35" s="704">
        <f t="shared" si="2"/>
        <v>1.7968430059363438</v>
      </c>
    </row>
    <row r="36" spans="1:17" ht="12.75" customHeight="1">
      <c r="A36" s="11"/>
      <c r="B36" s="110" t="s">
        <v>86</v>
      </c>
      <c r="C36" s="428">
        <v>85.893</v>
      </c>
      <c r="D36" s="424">
        <v>89.665</v>
      </c>
      <c r="E36" s="424">
        <v>92.36</v>
      </c>
      <c r="F36" s="424">
        <v>108.633</v>
      </c>
      <c r="G36" s="424">
        <v>95.21</v>
      </c>
      <c r="H36" s="424">
        <v>104.52</v>
      </c>
      <c r="I36" s="424">
        <v>99.84</v>
      </c>
      <c r="J36" s="424">
        <v>102.123</v>
      </c>
      <c r="K36" s="424">
        <v>114.447</v>
      </c>
      <c r="L36" s="424">
        <v>106.202</v>
      </c>
      <c r="M36" s="424">
        <v>95.697</v>
      </c>
      <c r="N36" s="424">
        <v>53.252</v>
      </c>
      <c r="O36" s="700"/>
      <c r="P36" s="203" t="s">
        <v>86</v>
      </c>
      <c r="Q36" s="700"/>
    </row>
    <row r="37" spans="1:17" ht="12.75" customHeight="1">
      <c r="A37" s="11"/>
      <c r="B37" s="13" t="s">
        <v>1</v>
      </c>
      <c r="C37" s="418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678"/>
      <c r="P37" s="206" t="s">
        <v>1</v>
      </c>
      <c r="Q37" s="678"/>
    </row>
    <row r="38" spans="1:17" ht="12.75" customHeight="1">
      <c r="A38" s="11"/>
      <c r="B38" s="112" t="s">
        <v>66</v>
      </c>
      <c r="C38" s="705"/>
      <c r="D38" s="706"/>
      <c r="E38" s="706"/>
      <c r="F38" s="706"/>
      <c r="G38" s="426">
        <v>70.191</v>
      </c>
      <c r="H38" s="426">
        <v>176.217</v>
      </c>
      <c r="I38" s="426">
        <v>432.728</v>
      </c>
      <c r="J38" s="426">
        <v>406.807</v>
      </c>
      <c r="K38" s="426">
        <v>396.542</v>
      </c>
      <c r="L38" s="426">
        <v>353.495</v>
      </c>
      <c r="M38" s="426">
        <v>353.168</v>
      </c>
      <c r="N38" s="426">
        <v>357.986</v>
      </c>
      <c r="O38" s="707">
        <f>930.603*0.5</f>
        <v>465.3015</v>
      </c>
      <c r="P38" s="204" t="s">
        <v>66</v>
      </c>
      <c r="Q38" s="707">
        <f t="shared" si="2"/>
        <v>29.977568955210533</v>
      </c>
    </row>
    <row r="39" spans="1:17" ht="12.75" customHeight="1">
      <c r="A39" s="11"/>
      <c r="B39" s="13" t="s">
        <v>52</v>
      </c>
      <c r="C39" s="418">
        <v>13.569</v>
      </c>
      <c r="D39" s="416">
        <v>15.377</v>
      </c>
      <c r="E39" s="416">
        <v>13.569</v>
      </c>
      <c r="F39" s="416">
        <v>7.245</v>
      </c>
      <c r="G39" s="416">
        <v>6.943</v>
      </c>
      <c r="H39" s="416">
        <v>9.885</v>
      </c>
      <c r="I39" s="416">
        <v>11.968</v>
      </c>
      <c r="J39" s="416">
        <v>18.06</v>
      </c>
      <c r="K39" s="416">
        <v>17.129</v>
      </c>
      <c r="L39" s="416">
        <v>15.942</v>
      </c>
      <c r="M39" s="416">
        <v>9.033</v>
      </c>
      <c r="N39" s="416">
        <v>2.113</v>
      </c>
      <c r="O39" s="678">
        <v>3.106</v>
      </c>
      <c r="P39" s="206" t="s">
        <v>52</v>
      </c>
      <c r="Q39" s="678">
        <f>100*(O39/N39-1)</f>
        <v>46.994794131566486</v>
      </c>
    </row>
    <row r="40" spans="1:17" ht="12.75" customHeight="1">
      <c r="A40" s="11"/>
      <c r="B40" s="110" t="s">
        <v>83</v>
      </c>
      <c r="C40" s="428">
        <v>117.977</v>
      </c>
      <c r="D40" s="424">
        <v>101.278</v>
      </c>
      <c r="E40" s="424">
        <v>97.376</v>
      </c>
      <c r="F40" s="424">
        <v>91.916</v>
      </c>
      <c r="G40" s="424">
        <v>88.721</v>
      </c>
      <c r="H40" s="424">
        <v>89.921</v>
      </c>
      <c r="I40" s="424">
        <v>115.645</v>
      </c>
      <c r="J40" s="424">
        <v>109.907</v>
      </c>
      <c r="K40" s="424">
        <v>109.164</v>
      </c>
      <c r="L40" s="424">
        <v>129.195</v>
      </c>
      <c r="M40" s="424">
        <v>110.617</v>
      </c>
      <c r="N40" s="424">
        <v>98.675</v>
      </c>
      <c r="O40" s="700">
        <v>127.754</v>
      </c>
      <c r="P40" s="203" t="s">
        <v>83</v>
      </c>
      <c r="Q40" s="700">
        <f>100*(O40/N40-1)</f>
        <v>29.46947048391184</v>
      </c>
    </row>
    <row r="41" spans="1:17" ht="12.75" customHeight="1">
      <c r="A41" s="11"/>
      <c r="B41" s="14" t="s">
        <v>53</v>
      </c>
      <c r="C41" s="702">
        <v>296.945</v>
      </c>
      <c r="D41" s="703">
        <v>316.876</v>
      </c>
      <c r="E41" s="703">
        <v>316.519</v>
      </c>
      <c r="F41" s="703">
        <v>316.641</v>
      </c>
      <c r="G41" s="703">
        <v>295.065</v>
      </c>
      <c r="H41" s="703">
        <v>270.309</v>
      </c>
      <c r="I41" s="703">
        <v>269.385</v>
      </c>
      <c r="J41" s="703">
        <v>264.941</v>
      </c>
      <c r="K41" s="703">
        <v>269.452</v>
      </c>
      <c r="L41" s="703">
        <v>284.688</v>
      </c>
      <c r="M41" s="703">
        <v>288.557</v>
      </c>
      <c r="N41" s="703">
        <v>266.049</v>
      </c>
      <c r="O41" s="704">
        <v>292.602</v>
      </c>
      <c r="P41" s="208" t="s">
        <v>53</v>
      </c>
      <c r="Q41" s="704">
        <f>100*(O41/N41-1)</f>
        <v>9.980492315325362</v>
      </c>
    </row>
    <row r="42" spans="2:16" ht="24.75" customHeight="1">
      <c r="B42" s="852" t="s">
        <v>231</v>
      </c>
      <c r="C42" s="852"/>
      <c r="D42" s="852"/>
      <c r="E42" s="852"/>
      <c r="F42" s="852"/>
      <c r="G42" s="852"/>
      <c r="H42" s="852"/>
      <c r="I42" s="852"/>
      <c r="J42" s="852"/>
      <c r="K42" s="852"/>
      <c r="L42" s="852"/>
      <c r="M42" s="852"/>
      <c r="N42" s="852"/>
      <c r="O42" s="852"/>
      <c r="P42" s="852"/>
    </row>
    <row r="43" ht="12.75">
      <c r="B43" s="6" t="s">
        <v>0</v>
      </c>
    </row>
    <row r="44" ht="12.75" customHeight="1">
      <c r="E44" s="708" t="s">
        <v>232</v>
      </c>
    </row>
    <row r="45" ht="12.75" customHeight="1" hidden="1"/>
  </sheetData>
  <mergeCells count="3">
    <mergeCell ref="B2:P2"/>
    <mergeCell ref="B3:P3"/>
    <mergeCell ref="B42:P42"/>
  </mergeCells>
  <printOptions horizontalCentered="1"/>
  <pageMargins left="0.6692913385826772" right="0.6692913385826772" top="0.5118110236220472" bottom="0.2755905511811024" header="0" footer="0"/>
  <pageSetup fitToHeight="1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0"/>
  <dimension ref="A1:AA42"/>
  <sheetViews>
    <sheetView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7" width="8.7109375" style="0" hidden="1" customWidth="1"/>
    <col min="8" max="9" width="8.7109375" style="0" customWidth="1"/>
    <col min="10" max="10" width="6.7109375" style="0" customWidth="1"/>
    <col min="11" max="15" width="8.7109375" style="0" hidden="1" customWidth="1"/>
    <col min="16" max="17" width="8.7109375" style="0" customWidth="1"/>
    <col min="18" max="18" width="6.7109375" style="0" customWidth="1"/>
    <col min="19" max="23" width="8.7109375" style="0" hidden="1" customWidth="1"/>
    <col min="24" max="25" width="8.7109375" style="0" customWidth="1"/>
    <col min="26" max="26" width="6.7109375" style="0" customWidth="1"/>
    <col min="27" max="27" width="4.00390625" style="0" customWidth="1"/>
  </cols>
  <sheetData>
    <row r="1" spans="2:27" ht="14.25" customHeight="1">
      <c r="B1" s="47"/>
      <c r="C1" s="35"/>
      <c r="D1" s="35"/>
      <c r="E1" s="35"/>
      <c r="F1" s="35"/>
      <c r="G1" s="35"/>
      <c r="H1" s="35"/>
      <c r="I1" s="35"/>
      <c r="J1" s="35"/>
      <c r="K1" s="35"/>
      <c r="AA1" s="48" t="s">
        <v>214</v>
      </c>
    </row>
    <row r="2" spans="2:27" s="80" customFormat="1" ht="30" customHeight="1">
      <c r="B2" s="888" t="s">
        <v>117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</row>
    <row r="3" spans="2:27" ht="18" customHeight="1">
      <c r="B3" s="856" t="s">
        <v>116</v>
      </c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</row>
    <row r="4" spans="2:27" ht="18" customHeight="1">
      <c r="B4" s="359"/>
      <c r="C4" s="857" t="s">
        <v>6</v>
      </c>
      <c r="D4" s="845"/>
      <c r="E4" s="845"/>
      <c r="F4" s="845"/>
      <c r="G4" s="845"/>
      <c r="H4" s="845"/>
      <c r="I4" s="846"/>
      <c r="J4" s="609" t="s">
        <v>3</v>
      </c>
      <c r="K4" s="857" t="s">
        <v>7</v>
      </c>
      <c r="L4" s="845"/>
      <c r="M4" s="845"/>
      <c r="N4" s="845"/>
      <c r="O4" s="845"/>
      <c r="P4" s="845"/>
      <c r="Q4" s="846"/>
      <c r="R4" s="609" t="s">
        <v>3</v>
      </c>
      <c r="S4" s="857" t="s">
        <v>8</v>
      </c>
      <c r="T4" s="845"/>
      <c r="U4" s="845"/>
      <c r="V4" s="845"/>
      <c r="W4" s="845"/>
      <c r="X4" s="845"/>
      <c r="Y4" s="846"/>
      <c r="Z4" s="609" t="s">
        <v>3</v>
      </c>
      <c r="AA4" s="40"/>
    </row>
    <row r="5" spans="2:27" ht="12" customHeight="1">
      <c r="B5" s="359"/>
      <c r="C5" s="853" t="s">
        <v>9</v>
      </c>
      <c r="D5" s="854"/>
      <c r="E5" s="854"/>
      <c r="F5" s="854"/>
      <c r="G5" s="854"/>
      <c r="H5" s="854"/>
      <c r="I5" s="855"/>
      <c r="J5" s="610" t="s">
        <v>132</v>
      </c>
      <c r="K5" s="853" t="s">
        <v>10</v>
      </c>
      <c r="L5" s="854"/>
      <c r="M5" s="854"/>
      <c r="N5" s="854"/>
      <c r="O5" s="854"/>
      <c r="P5" s="854"/>
      <c r="Q5" s="855"/>
      <c r="R5" s="610" t="s">
        <v>132</v>
      </c>
      <c r="S5" s="853" t="s">
        <v>11</v>
      </c>
      <c r="T5" s="854"/>
      <c r="U5" s="854"/>
      <c r="V5" s="854"/>
      <c r="W5" s="854"/>
      <c r="X5" s="854"/>
      <c r="Y5" s="855"/>
      <c r="Z5" s="610" t="s">
        <v>132</v>
      </c>
      <c r="AA5" s="40"/>
    </row>
    <row r="6" spans="2:27" ht="21" customHeight="1">
      <c r="B6" s="360"/>
      <c r="C6" s="81">
        <v>2004</v>
      </c>
      <c r="D6" s="82">
        <v>2005</v>
      </c>
      <c r="E6" s="82">
        <v>2006</v>
      </c>
      <c r="F6" s="82">
        <v>2007</v>
      </c>
      <c r="G6" s="82">
        <v>2008</v>
      </c>
      <c r="H6" s="82">
        <v>2009</v>
      </c>
      <c r="I6" s="83">
        <v>2010</v>
      </c>
      <c r="J6" s="611" t="s">
        <v>233</v>
      </c>
      <c r="K6" s="82">
        <v>2004</v>
      </c>
      <c r="L6" s="82">
        <v>2005</v>
      </c>
      <c r="M6" s="82">
        <v>2006</v>
      </c>
      <c r="N6" s="82">
        <v>2007</v>
      </c>
      <c r="O6" s="82">
        <v>2008</v>
      </c>
      <c r="P6" s="82">
        <v>2009</v>
      </c>
      <c r="Q6" s="83">
        <v>2010</v>
      </c>
      <c r="R6" s="611" t="s">
        <v>233</v>
      </c>
      <c r="S6" s="81">
        <v>2004</v>
      </c>
      <c r="T6" s="82">
        <v>2005</v>
      </c>
      <c r="U6" s="82">
        <v>2006</v>
      </c>
      <c r="V6" s="82">
        <v>2007</v>
      </c>
      <c r="W6" s="82">
        <v>2008</v>
      </c>
      <c r="X6" s="82">
        <v>2009</v>
      </c>
      <c r="Y6" s="83">
        <v>2010</v>
      </c>
      <c r="Z6" s="611" t="s">
        <v>233</v>
      </c>
      <c r="AA6" s="9"/>
    </row>
    <row r="7" spans="2:27" ht="12.75" customHeight="1">
      <c r="B7" s="113" t="s">
        <v>40</v>
      </c>
      <c r="C7" s="286"/>
      <c r="D7" s="133"/>
      <c r="E7" s="117">
        <f>SUM(E10:E36)</f>
        <v>2025364</v>
      </c>
      <c r="F7" s="117">
        <f>SUM(F10:F36)</f>
        <v>2157030</v>
      </c>
      <c r="G7" s="117">
        <f>SUM(G10:G36)</f>
        <v>1937226</v>
      </c>
      <c r="H7" s="117">
        <f>SUM(H10:H36)</f>
        <v>1365492</v>
      </c>
      <c r="I7" s="117">
        <f>SUM(I10:I36)</f>
        <v>1487351</v>
      </c>
      <c r="J7" s="585">
        <f>I7/H7*100-100</f>
        <v>8.924182638931597</v>
      </c>
      <c r="K7" s="286"/>
      <c r="L7" s="133"/>
      <c r="M7" s="133"/>
      <c r="N7" s="133"/>
      <c r="O7" s="133"/>
      <c r="P7" s="133"/>
      <c r="Q7" s="709"/>
      <c r="R7" s="584"/>
      <c r="S7" s="286"/>
      <c r="T7" s="133"/>
      <c r="U7" s="133"/>
      <c r="V7" s="133"/>
      <c r="W7" s="133"/>
      <c r="X7" s="133"/>
      <c r="Y7" s="709"/>
      <c r="Z7" s="584"/>
      <c r="AA7" s="202" t="s">
        <v>40</v>
      </c>
    </row>
    <row r="8" spans="1:27" ht="12.75" customHeight="1">
      <c r="A8" s="11"/>
      <c r="B8" s="110" t="s">
        <v>71</v>
      </c>
      <c r="C8" s="136">
        <f>SUM(C10,C13,C14,C16:C20,C24,C27:C28,C30,C34:C36)</f>
        <v>1855210</v>
      </c>
      <c r="D8" s="119">
        <f aca="true" t="shared" si="0" ref="D8:V8">SUM(D10,D13,D14,D16:D20,D24,D27:D28,D30,D34:D36)</f>
        <v>1925026</v>
      </c>
      <c r="E8" s="119">
        <f t="shared" si="0"/>
        <v>1868368</v>
      </c>
      <c r="F8" s="119">
        <f t="shared" si="0"/>
        <v>1971409</v>
      </c>
      <c r="G8" s="119">
        <f t="shared" si="0"/>
        <v>1743400</v>
      </c>
      <c r="H8" s="119">
        <f t="shared" si="0"/>
        <v>1256799</v>
      </c>
      <c r="I8" s="119">
        <f>SUM(I10,I13,I14,I16:I20,I24,I27:I28,I30,I34:I36)</f>
        <v>1396689</v>
      </c>
      <c r="J8" s="585">
        <f aca="true" t="shared" si="1" ref="J8:J39">I8/H8*100-100</f>
        <v>11.13065812433014</v>
      </c>
      <c r="K8" s="136">
        <f t="shared" si="0"/>
        <v>101198</v>
      </c>
      <c r="L8" s="119">
        <f t="shared" si="0"/>
        <v>116221</v>
      </c>
      <c r="M8" s="119">
        <f t="shared" si="0"/>
        <v>101209</v>
      </c>
      <c r="N8" s="119">
        <f t="shared" si="0"/>
        <v>99035</v>
      </c>
      <c r="O8" s="119">
        <f>SUM(O10,O13,O14,O16:O20,O24,O27:O28,O30,O34:O36)</f>
        <v>97350</v>
      </c>
      <c r="P8" s="119">
        <f>SUM(P10,P13,P14,P16:P20,P24,P27:P28,P30,P34:P36)</f>
        <v>67379</v>
      </c>
      <c r="Q8" s="119">
        <f>SUM(Q10,Q13,Q14,Q16:Q20,Q24,Q27:Q28,Q30,Q34:Q36)</f>
        <v>69013</v>
      </c>
      <c r="R8" s="585">
        <f>Q8/P8*100-100</f>
        <v>2.425087935410147</v>
      </c>
      <c r="S8" s="136">
        <f t="shared" si="0"/>
        <v>227873</v>
      </c>
      <c r="T8" s="119">
        <f t="shared" si="0"/>
        <v>265364</v>
      </c>
      <c r="U8" s="119">
        <f t="shared" si="0"/>
        <v>253387</v>
      </c>
      <c r="V8" s="119">
        <f t="shared" si="0"/>
        <v>258378</v>
      </c>
      <c r="W8" s="119">
        <f>SUM(W10,W13,W14,W16:W20,W24,W27:W28,W30,W34:W36)</f>
        <v>258860</v>
      </c>
      <c r="X8" s="119">
        <f>SUM(X10,X13,X14,X16:X20,X24,X27:X28,X30,X34:X36)</f>
        <v>143347</v>
      </c>
      <c r="Y8" s="119">
        <f>SUM(Y10,Y13,Y14,Y16:Y20,Y24,Y27:Y28,Y30,Y34:Y36)</f>
        <v>150668</v>
      </c>
      <c r="Z8" s="585">
        <f>Y8/X8*100-100</f>
        <v>5.107187454219471</v>
      </c>
      <c r="AA8" s="203" t="s">
        <v>71</v>
      </c>
    </row>
    <row r="9" spans="1:27" ht="12.75" customHeight="1">
      <c r="A9" s="11"/>
      <c r="B9" s="112" t="s">
        <v>131</v>
      </c>
      <c r="C9" s="121"/>
      <c r="D9" s="122"/>
      <c r="E9" s="122">
        <f>SUM(E11,E12,E15,E21,E22,E23,E25,E26,E29,E31,E32,E33)</f>
        <v>156996</v>
      </c>
      <c r="F9" s="122">
        <f>SUM(F11,F12,F15,F21,F22,F23,F25,F26,F29,F31,F32,F33)</f>
        <v>185621</v>
      </c>
      <c r="G9" s="122">
        <f>SUM(G11,G12,G15,G21,G22,G23,G25,G26,G29,G31,G32,G33)</f>
        <v>193826</v>
      </c>
      <c r="H9" s="122">
        <f>SUM(H11,H12,H15,H21,H22,H23,H25,H26,H29,H31,H32,H33)</f>
        <v>108693</v>
      </c>
      <c r="I9" s="122">
        <f>SUM(I11,I12,I15,I21,I22,I23,I25,I26,I29,I31,I32,I33)</f>
        <v>90662</v>
      </c>
      <c r="J9" s="585">
        <f t="shared" si="1"/>
        <v>-16.588924769764375</v>
      </c>
      <c r="K9" s="710"/>
      <c r="L9" s="542"/>
      <c r="M9" s="542"/>
      <c r="N9" s="542"/>
      <c r="O9" s="542"/>
      <c r="P9" s="542"/>
      <c r="Q9" s="709"/>
      <c r="R9" s="584"/>
      <c r="S9" s="710"/>
      <c r="T9" s="542"/>
      <c r="U9" s="542"/>
      <c r="V9" s="542"/>
      <c r="W9" s="542"/>
      <c r="X9" s="542"/>
      <c r="Y9" s="709"/>
      <c r="Z9" s="584"/>
      <c r="AA9" s="204" t="s">
        <v>131</v>
      </c>
    </row>
    <row r="10" spans="1:27" ht="12.75" customHeight="1">
      <c r="A10" s="11"/>
      <c r="B10" s="13" t="s">
        <v>72</v>
      </c>
      <c r="C10" s="156">
        <v>58539</v>
      </c>
      <c r="D10" s="62">
        <v>62068</v>
      </c>
      <c r="E10" s="330">
        <v>60156</v>
      </c>
      <c r="F10" s="330">
        <v>68007</v>
      </c>
      <c r="G10" s="330">
        <v>67546</v>
      </c>
      <c r="H10" s="527">
        <v>53620</v>
      </c>
      <c r="I10" s="457">
        <v>54856</v>
      </c>
      <c r="J10" s="711">
        <f t="shared" si="1"/>
        <v>2.3051100335695622</v>
      </c>
      <c r="K10" s="528">
        <v>2584</v>
      </c>
      <c r="L10" s="330">
        <v>3344</v>
      </c>
      <c r="M10" s="330">
        <v>3007</v>
      </c>
      <c r="N10" s="330">
        <v>3206</v>
      </c>
      <c r="O10" s="330">
        <v>2934</v>
      </c>
      <c r="P10" s="527">
        <v>2630</v>
      </c>
      <c r="Q10" s="457">
        <v>2477</v>
      </c>
      <c r="R10" s="711">
        <f aca="true" t="shared" si="2" ref="R10:R39">Q10/P10*100-100</f>
        <v>-5.817490494296578</v>
      </c>
      <c r="S10" s="534">
        <v>7794</v>
      </c>
      <c r="T10" s="527">
        <v>9671</v>
      </c>
      <c r="U10" s="527">
        <v>7772</v>
      </c>
      <c r="V10" s="527">
        <v>9356</v>
      </c>
      <c r="W10" s="527">
        <v>9590</v>
      </c>
      <c r="X10" s="527">
        <v>6202</v>
      </c>
      <c r="Y10" s="457">
        <v>5577</v>
      </c>
      <c r="Z10" s="711">
        <f aca="true" t="shared" si="3" ref="Z10:Z39">Y10/X10*100-100</f>
        <v>-10.077394388906797</v>
      </c>
      <c r="AA10" s="206" t="s">
        <v>72</v>
      </c>
    </row>
    <row r="11" spans="1:27" ht="12.75" customHeight="1">
      <c r="A11" s="11"/>
      <c r="B11" s="110" t="s">
        <v>54</v>
      </c>
      <c r="C11" s="165"/>
      <c r="D11" s="145"/>
      <c r="E11" s="331">
        <v>9959</v>
      </c>
      <c r="F11" s="331">
        <v>10697</v>
      </c>
      <c r="G11" s="331">
        <v>11478</v>
      </c>
      <c r="H11" s="331">
        <v>4275</v>
      </c>
      <c r="I11" s="146">
        <v>3121</v>
      </c>
      <c r="J11" s="712">
        <f t="shared" si="1"/>
        <v>-26.994152046783626</v>
      </c>
      <c r="K11" s="529"/>
      <c r="L11" s="331"/>
      <c r="M11" s="331"/>
      <c r="N11" s="331"/>
      <c r="O11" s="331"/>
      <c r="P11" s="331"/>
      <c r="Q11" s="146"/>
      <c r="R11" s="712"/>
      <c r="S11" s="529"/>
      <c r="T11" s="331"/>
      <c r="U11" s="331"/>
      <c r="V11" s="331"/>
      <c r="W11" s="331"/>
      <c r="X11" s="331"/>
      <c r="Y11" s="146"/>
      <c r="Z11" s="712"/>
      <c r="AA11" s="203" t="s">
        <v>54</v>
      </c>
    </row>
    <row r="12" spans="1:27" ht="12.75" customHeight="1">
      <c r="A12" s="11"/>
      <c r="B12" s="13" t="s">
        <v>56</v>
      </c>
      <c r="C12" s="156">
        <v>17186</v>
      </c>
      <c r="D12" s="62">
        <v>15965</v>
      </c>
      <c r="E12" s="330">
        <v>16185</v>
      </c>
      <c r="F12" s="330">
        <v>19534</v>
      </c>
      <c r="G12" s="330">
        <v>20269</v>
      </c>
      <c r="H12" s="330">
        <v>13007</v>
      </c>
      <c r="I12" s="77">
        <v>11429</v>
      </c>
      <c r="J12" s="713">
        <f t="shared" si="1"/>
        <v>-12.131928961328526</v>
      </c>
      <c r="K12" s="528">
        <v>2273</v>
      </c>
      <c r="L12" s="330">
        <v>2713</v>
      </c>
      <c r="M12" s="330">
        <v>3264</v>
      </c>
      <c r="N12" s="330">
        <v>4007</v>
      </c>
      <c r="O12" s="330">
        <v>3895</v>
      </c>
      <c r="P12" s="330">
        <v>2012</v>
      </c>
      <c r="Q12" s="77">
        <v>1288</v>
      </c>
      <c r="R12" s="713">
        <f t="shared" si="2"/>
        <v>-35.98409542743539</v>
      </c>
      <c r="S12" s="528">
        <v>4229</v>
      </c>
      <c r="T12" s="330">
        <v>5546</v>
      </c>
      <c r="U12" s="330">
        <v>6530</v>
      </c>
      <c r="V12" s="330">
        <v>8072</v>
      </c>
      <c r="W12" s="330">
        <v>7509</v>
      </c>
      <c r="X12" s="330">
        <v>3117</v>
      </c>
      <c r="Y12" s="77">
        <v>3665</v>
      </c>
      <c r="Z12" s="713">
        <f t="shared" si="3"/>
        <v>17.581007378889964</v>
      </c>
      <c r="AA12" s="206" t="s">
        <v>56</v>
      </c>
    </row>
    <row r="13" spans="1:27" ht="12.75" customHeight="1">
      <c r="A13" s="11"/>
      <c r="B13" s="110" t="s">
        <v>67</v>
      </c>
      <c r="C13" s="165">
        <v>44791</v>
      </c>
      <c r="D13" s="145">
        <v>57880</v>
      </c>
      <c r="E13" s="331">
        <v>62792</v>
      </c>
      <c r="F13" s="331">
        <v>56067</v>
      </c>
      <c r="G13" s="331">
        <v>33602</v>
      </c>
      <c r="H13" s="331">
        <v>15207</v>
      </c>
      <c r="I13" s="146">
        <v>16092</v>
      </c>
      <c r="J13" s="712">
        <f t="shared" si="1"/>
        <v>5.819688301440124</v>
      </c>
      <c r="K13" s="529">
        <v>661</v>
      </c>
      <c r="L13" s="331">
        <v>982</v>
      </c>
      <c r="M13" s="331">
        <v>785</v>
      </c>
      <c r="N13" s="331">
        <v>855</v>
      </c>
      <c r="O13" s="331">
        <v>1157</v>
      </c>
      <c r="P13" s="331">
        <v>575</v>
      </c>
      <c r="Q13" s="146">
        <v>522</v>
      </c>
      <c r="R13" s="712">
        <f t="shared" si="2"/>
        <v>-9.217391304347828</v>
      </c>
      <c r="S13" s="529">
        <v>4000</v>
      </c>
      <c r="T13" s="331">
        <v>5430</v>
      </c>
      <c r="U13" s="331">
        <v>5205</v>
      </c>
      <c r="V13" s="331">
        <v>6036</v>
      </c>
      <c r="W13" s="331">
        <v>5516</v>
      </c>
      <c r="X13" s="331">
        <v>2677</v>
      </c>
      <c r="Y13" s="146">
        <v>2318</v>
      </c>
      <c r="Z13" s="712">
        <f t="shared" si="3"/>
        <v>-13.41053418005231</v>
      </c>
      <c r="AA13" s="203" t="s">
        <v>67</v>
      </c>
    </row>
    <row r="14" spans="1:27" ht="12.75" customHeight="1">
      <c r="A14" s="11"/>
      <c r="B14" s="13" t="s">
        <v>73</v>
      </c>
      <c r="C14" s="156">
        <v>185541</v>
      </c>
      <c r="D14" s="62">
        <v>193736</v>
      </c>
      <c r="E14" s="330">
        <v>197513</v>
      </c>
      <c r="F14" s="330">
        <v>221769</v>
      </c>
      <c r="G14" s="330">
        <v>223525</v>
      </c>
      <c r="H14" s="330">
        <v>170067</v>
      </c>
      <c r="I14" s="77">
        <v>197270</v>
      </c>
      <c r="J14" s="713">
        <f t="shared" si="1"/>
        <v>15.995460612582107</v>
      </c>
      <c r="K14" s="528">
        <v>38735</v>
      </c>
      <c r="L14" s="330">
        <v>42018</v>
      </c>
      <c r="M14" s="330">
        <v>38373</v>
      </c>
      <c r="N14" s="330">
        <v>38452</v>
      </c>
      <c r="O14" s="330">
        <v>37792</v>
      </c>
      <c r="P14" s="330">
        <v>26177</v>
      </c>
      <c r="Q14" s="77">
        <v>30841</v>
      </c>
      <c r="R14" s="713">
        <f t="shared" si="2"/>
        <v>17.817167742674883</v>
      </c>
      <c r="S14" s="528">
        <v>53728</v>
      </c>
      <c r="T14" s="330">
        <v>59873</v>
      </c>
      <c r="U14" s="330">
        <v>62837</v>
      </c>
      <c r="V14" s="330">
        <v>68424</v>
      </c>
      <c r="W14" s="330">
        <v>67797</v>
      </c>
      <c r="X14" s="330">
        <v>40322</v>
      </c>
      <c r="Y14" s="77">
        <v>48827</v>
      </c>
      <c r="Z14" s="713">
        <f t="shared" si="3"/>
        <v>21.092703734933792</v>
      </c>
      <c r="AA14" s="206" t="s">
        <v>73</v>
      </c>
    </row>
    <row r="15" spans="1:27" ht="12.75" customHeight="1">
      <c r="A15" s="11"/>
      <c r="B15" s="110" t="s">
        <v>57</v>
      </c>
      <c r="C15" s="165">
        <v>2365</v>
      </c>
      <c r="D15" s="145">
        <v>2896</v>
      </c>
      <c r="E15" s="331">
        <v>3696</v>
      </c>
      <c r="F15" s="331">
        <v>4610</v>
      </c>
      <c r="G15" s="331">
        <v>2976</v>
      </c>
      <c r="H15" s="331">
        <v>1175</v>
      </c>
      <c r="I15" s="146">
        <v>1370</v>
      </c>
      <c r="J15" s="712">
        <f t="shared" si="1"/>
        <v>16.595744680851055</v>
      </c>
      <c r="K15" s="529">
        <v>89</v>
      </c>
      <c r="L15" s="331">
        <v>163</v>
      </c>
      <c r="M15" s="331">
        <v>147</v>
      </c>
      <c r="N15" s="331">
        <v>121</v>
      </c>
      <c r="O15" s="331">
        <v>109</v>
      </c>
      <c r="P15" s="331">
        <v>25</v>
      </c>
      <c r="Q15" s="146">
        <v>50</v>
      </c>
      <c r="R15" s="712">
        <f t="shared" si="2"/>
        <v>100</v>
      </c>
      <c r="S15" s="529">
        <v>549</v>
      </c>
      <c r="T15" s="331">
        <v>812</v>
      </c>
      <c r="U15" s="331">
        <v>1387</v>
      </c>
      <c r="V15" s="331">
        <v>1597</v>
      </c>
      <c r="W15" s="331">
        <v>1192</v>
      </c>
      <c r="X15" s="331">
        <v>231</v>
      </c>
      <c r="Y15" s="146">
        <v>320</v>
      </c>
      <c r="Z15" s="712">
        <f t="shared" si="3"/>
        <v>38.52813852813853</v>
      </c>
      <c r="AA15" s="203" t="s">
        <v>57</v>
      </c>
    </row>
    <row r="16" spans="1:27" ht="12.75" customHeight="1">
      <c r="A16" s="11"/>
      <c r="B16" s="13" t="s">
        <v>76</v>
      </c>
      <c r="C16" s="156">
        <v>29313</v>
      </c>
      <c r="D16" s="62">
        <v>36431</v>
      </c>
      <c r="E16" s="330">
        <v>39502</v>
      </c>
      <c r="F16" s="330">
        <v>42727</v>
      </c>
      <c r="G16" s="330">
        <v>28163</v>
      </c>
      <c r="H16" s="330">
        <v>8611</v>
      </c>
      <c r="I16" s="77">
        <v>9957</v>
      </c>
      <c r="J16" s="713">
        <f t="shared" si="1"/>
        <v>15.631169434444317</v>
      </c>
      <c r="K16" s="528">
        <v>1588</v>
      </c>
      <c r="L16" s="330">
        <v>1838</v>
      </c>
      <c r="M16" s="330">
        <v>3077</v>
      </c>
      <c r="N16" s="330">
        <v>2634</v>
      </c>
      <c r="O16" s="330">
        <v>2079</v>
      </c>
      <c r="P16" s="330">
        <v>859</v>
      </c>
      <c r="Q16" s="77">
        <v>875</v>
      </c>
      <c r="R16" s="713">
        <f t="shared" si="2"/>
        <v>1.86263096623982</v>
      </c>
      <c r="S16" s="528">
        <v>2686</v>
      </c>
      <c r="T16" s="330">
        <v>3696</v>
      </c>
      <c r="U16" s="330">
        <v>3712</v>
      </c>
      <c r="V16" s="330">
        <v>3504</v>
      </c>
      <c r="W16" s="330">
        <v>2609</v>
      </c>
      <c r="X16" s="330">
        <v>699</v>
      </c>
      <c r="Y16" s="77">
        <v>611</v>
      </c>
      <c r="Z16" s="713">
        <f t="shared" si="3"/>
        <v>-12.589413447782547</v>
      </c>
      <c r="AA16" s="206" t="s">
        <v>76</v>
      </c>
    </row>
    <row r="17" spans="1:27" ht="12.75" customHeight="1">
      <c r="A17" s="11"/>
      <c r="B17" s="110" t="s">
        <v>68</v>
      </c>
      <c r="C17" s="165">
        <v>22543</v>
      </c>
      <c r="D17" s="145">
        <v>23071</v>
      </c>
      <c r="E17" s="331">
        <v>23730</v>
      </c>
      <c r="F17" s="331">
        <v>24007</v>
      </c>
      <c r="G17" s="331">
        <v>22205</v>
      </c>
      <c r="H17" s="331">
        <v>14499</v>
      </c>
      <c r="I17" s="146">
        <v>10632</v>
      </c>
      <c r="J17" s="712">
        <f t="shared" si="1"/>
        <v>-26.670804883095386</v>
      </c>
      <c r="K17" s="529">
        <v>1288</v>
      </c>
      <c r="L17" s="331">
        <v>1114</v>
      </c>
      <c r="M17" s="331">
        <v>1173</v>
      </c>
      <c r="N17" s="331">
        <v>1298</v>
      </c>
      <c r="O17" s="331">
        <v>1287</v>
      </c>
      <c r="P17" s="331">
        <v>988</v>
      </c>
      <c r="Q17" s="146">
        <v>688</v>
      </c>
      <c r="R17" s="712">
        <f t="shared" si="2"/>
        <v>-30.364372469635626</v>
      </c>
      <c r="S17" s="529">
        <v>944</v>
      </c>
      <c r="T17" s="331">
        <v>1353</v>
      </c>
      <c r="U17" s="331">
        <v>1014</v>
      </c>
      <c r="V17" s="331">
        <v>1199</v>
      </c>
      <c r="W17" s="331">
        <v>1503</v>
      </c>
      <c r="X17" s="331">
        <v>889</v>
      </c>
      <c r="Y17" s="146">
        <v>618</v>
      </c>
      <c r="Z17" s="712">
        <f t="shared" si="3"/>
        <v>-30.483689538807653</v>
      </c>
      <c r="AA17" s="203" t="s">
        <v>68</v>
      </c>
    </row>
    <row r="18" spans="1:27" ht="12.75" customHeight="1">
      <c r="A18" s="11"/>
      <c r="B18" s="13" t="s">
        <v>74</v>
      </c>
      <c r="C18" s="156">
        <v>333414</v>
      </c>
      <c r="D18" s="62">
        <v>386250</v>
      </c>
      <c r="E18" s="330">
        <v>273922</v>
      </c>
      <c r="F18" s="330">
        <v>275563</v>
      </c>
      <c r="G18" s="330">
        <v>165872</v>
      </c>
      <c r="H18" s="330">
        <v>106527</v>
      </c>
      <c r="I18" s="77">
        <v>116004</v>
      </c>
      <c r="J18" s="713">
        <f t="shared" si="1"/>
        <v>8.89633614013347</v>
      </c>
      <c r="K18" s="528">
        <v>8152</v>
      </c>
      <c r="L18" s="330">
        <v>9847</v>
      </c>
      <c r="M18" s="330">
        <v>8577</v>
      </c>
      <c r="N18" s="330">
        <v>9318</v>
      </c>
      <c r="O18" s="330">
        <v>7338</v>
      </c>
      <c r="P18" s="330">
        <v>3999</v>
      </c>
      <c r="Q18" s="77">
        <v>3573</v>
      </c>
      <c r="R18" s="713">
        <f t="shared" si="2"/>
        <v>-10.652663165791438</v>
      </c>
      <c r="S18" s="528">
        <v>29131</v>
      </c>
      <c r="T18" s="330">
        <v>34514</v>
      </c>
      <c r="U18" s="330">
        <v>32395</v>
      </c>
      <c r="V18" s="330">
        <v>35779</v>
      </c>
      <c r="W18" s="330">
        <v>24729</v>
      </c>
      <c r="X18" s="330">
        <v>8280</v>
      </c>
      <c r="Y18" s="77">
        <v>10117</v>
      </c>
      <c r="Z18" s="713">
        <f t="shared" si="3"/>
        <v>22.185990338164245</v>
      </c>
      <c r="AA18" s="206" t="s">
        <v>74</v>
      </c>
    </row>
    <row r="19" spans="1:27" ht="12.75" customHeight="1">
      <c r="A19" s="11"/>
      <c r="B19" s="110" t="s">
        <v>75</v>
      </c>
      <c r="C19" s="165">
        <v>407515</v>
      </c>
      <c r="D19" s="145">
        <v>419043</v>
      </c>
      <c r="E19" s="331">
        <v>439194</v>
      </c>
      <c r="F19" s="331">
        <v>460513</v>
      </c>
      <c r="G19" s="331">
        <v>458937</v>
      </c>
      <c r="H19" s="331">
        <v>372590</v>
      </c>
      <c r="I19" s="146">
        <v>415448</v>
      </c>
      <c r="J19" s="712">
        <f t="shared" si="1"/>
        <v>11.502724174025076</v>
      </c>
      <c r="K19" s="529">
        <v>9037</v>
      </c>
      <c r="L19" s="331">
        <v>11314</v>
      </c>
      <c r="M19" s="331">
        <v>9740</v>
      </c>
      <c r="N19" s="331">
        <v>8403</v>
      </c>
      <c r="O19" s="331">
        <v>9707</v>
      </c>
      <c r="P19" s="331">
        <v>7599</v>
      </c>
      <c r="Q19" s="146">
        <v>7687</v>
      </c>
      <c r="R19" s="712">
        <f t="shared" si="2"/>
        <v>1.1580471114620394</v>
      </c>
      <c r="S19" s="529">
        <v>38440</v>
      </c>
      <c r="T19" s="331">
        <v>49765</v>
      </c>
      <c r="U19" s="331">
        <v>43613</v>
      </c>
      <c r="V19" s="331">
        <v>44405</v>
      </c>
      <c r="W19" s="331">
        <v>48163</v>
      </c>
      <c r="X19" s="331">
        <v>28576</v>
      </c>
      <c r="Y19" s="146">
        <v>28172</v>
      </c>
      <c r="Z19" s="712">
        <f t="shared" si="3"/>
        <v>-1.4137737961926007</v>
      </c>
      <c r="AA19" s="203" t="s">
        <v>75</v>
      </c>
    </row>
    <row r="20" spans="1:27" ht="12.75" customHeight="1">
      <c r="A20" s="11"/>
      <c r="B20" s="13" t="s">
        <v>77</v>
      </c>
      <c r="C20" s="156">
        <v>214009</v>
      </c>
      <c r="D20" s="62">
        <v>207400</v>
      </c>
      <c r="E20" s="330">
        <v>231436</v>
      </c>
      <c r="F20" s="330">
        <v>242626</v>
      </c>
      <c r="G20" s="330">
        <v>223885</v>
      </c>
      <c r="H20" s="330">
        <v>175405</v>
      </c>
      <c r="I20" s="77">
        <v>179502</v>
      </c>
      <c r="J20" s="713">
        <f t="shared" si="1"/>
        <v>2.3357372936917358</v>
      </c>
      <c r="K20" s="528">
        <v>10843</v>
      </c>
      <c r="L20" s="330">
        <v>12101</v>
      </c>
      <c r="M20" s="330">
        <v>10188</v>
      </c>
      <c r="N20" s="330">
        <v>10083</v>
      </c>
      <c r="O20" s="330">
        <v>9286</v>
      </c>
      <c r="P20" s="330">
        <v>6714</v>
      </c>
      <c r="Q20" s="77">
        <v>6098</v>
      </c>
      <c r="R20" s="713">
        <f t="shared" si="2"/>
        <v>-9.17485850461722</v>
      </c>
      <c r="S20" s="528">
        <v>25350</v>
      </c>
      <c r="T20" s="330">
        <v>28666</v>
      </c>
      <c r="U20" s="330">
        <v>25560</v>
      </c>
      <c r="V20" s="330">
        <v>25737</v>
      </c>
      <c r="W20" s="330">
        <v>25191</v>
      </c>
      <c r="X20" s="330">
        <v>12372</v>
      </c>
      <c r="Y20" s="77">
        <v>11749</v>
      </c>
      <c r="Z20" s="713">
        <f t="shared" si="3"/>
        <v>-5.035564177174265</v>
      </c>
      <c r="AA20" s="206" t="s">
        <v>77</v>
      </c>
    </row>
    <row r="21" spans="1:27" ht="12.75" customHeight="1">
      <c r="A21" s="11"/>
      <c r="B21" s="110" t="s">
        <v>55</v>
      </c>
      <c r="C21" s="165">
        <v>3479</v>
      </c>
      <c r="D21" s="145">
        <v>3233</v>
      </c>
      <c r="E21" s="331">
        <v>3697</v>
      </c>
      <c r="F21" s="331">
        <v>4578</v>
      </c>
      <c r="G21" s="331">
        <v>5228</v>
      </c>
      <c r="H21" s="331">
        <v>3397</v>
      </c>
      <c r="I21" s="146">
        <v>3584</v>
      </c>
      <c r="J21" s="712">
        <f t="shared" si="1"/>
        <v>5.504857226964958</v>
      </c>
      <c r="K21" s="531" t="s">
        <v>91</v>
      </c>
      <c r="L21" s="458" t="s">
        <v>91</v>
      </c>
      <c r="M21" s="458" t="s">
        <v>91</v>
      </c>
      <c r="N21" s="458" t="s">
        <v>91</v>
      </c>
      <c r="O21" s="458" t="s">
        <v>91</v>
      </c>
      <c r="P21" s="714" t="s">
        <v>91</v>
      </c>
      <c r="Q21" s="714" t="s">
        <v>91</v>
      </c>
      <c r="R21" s="712">
        <f t="shared" si="2"/>
        <v>0</v>
      </c>
      <c r="S21" s="531" t="s">
        <v>91</v>
      </c>
      <c r="T21" s="458" t="s">
        <v>91</v>
      </c>
      <c r="U21" s="458" t="s">
        <v>91</v>
      </c>
      <c r="V21" s="458" t="s">
        <v>91</v>
      </c>
      <c r="W21" s="458" t="s">
        <v>91</v>
      </c>
      <c r="X21" s="714" t="s">
        <v>91</v>
      </c>
      <c r="Y21" s="714" t="s">
        <v>91</v>
      </c>
      <c r="Z21" s="712">
        <f t="shared" si="3"/>
        <v>0</v>
      </c>
      <c r="AA21" s="203" t="s">
        <v>55</v>
      </c>
    </row>
    <row r="22" spans="1:27" ht="12.75" customHeight="1">
      <c r="A22" s="11"/>
      <c r="B22" s="13" t="s">
        <v>59</v>
      </c>
      <c r="C22" s="156">
        <v>1404</v>
      </c>
      <c r="D22" s="62">
        <v>1728</v>
      </c>
      <c r="E22" s="330">
        <v>2508</v>
      </c>
      <c r="F22" s="330">
        <v>3458</v>
      </c>
      <c r="G22" s="330">
        <v>2041</v>
      </c>
      <c r="H22" s="330">
        <v>520</v>
      </c>
      <c r="I22" s="77">
        <v>571</v>
      </c>
      <c r="J22" s="713">
        <f t="shared" si="1"/>
        <v>9.80769230769232</v>
      </c>
      <c r="K22" s="528">
        <v>104</v>
      </c>
      <c r="L22" s="330">
        <v>286</v>
      </c>
      <c r="M22" s="330">
        <v>221</v>
      </c>
      <c r="N22" s="330">
        <v>271</v>
      </c>
      <c r="O22" s="330">
        <v>179</v>
      </c>
      <c r="P22" s="330">
        <v>49</v>
      </c>
      <c r="Q22" s="77">
        <v>59</v>
      </c>
      <c r="R22" s="713">
        <f t="shared" si="2"/>
        <v>20.40816326530613</v>
      </c>
      <c r="S22" s="528">
        <v>782</v>
      </c>
      <c r="T22" s="330">
        <v>1023</v>
      </c>
      <c r="U22" s="330">
        <v>1926</v>
      </c>
      <c r="V22" s="330">
        <v>2990</v>
      </c>
      <c r="W22" s="330">
        <v>1811</v>
      </c>
      <c r="X22" s="330">
        <v>251</v>
      </c>
      <c r="Y22" s="77">
        <v>410</v>
      </c>
      <c r="Z22" s="713">
        <f t="shared" si="3"/>
        <v>63.34661354581675</v>
      </c>
      <c r="AA22" s="206" t="s">
        <v>59</v>
      </c>
    </row>
    <row r="23" spans="1:27" ht="12.75" customHeight="1">
      <c r="A23" s="11"/>
      <c r="B23" s="110" t="s">
        <v>60</v>
      </c>
      <c r="C23" s="165">
        <v>2064</v>
      </c>
      <c r="D23" s="145">
        <v>3303</v>
      </c>
      <c r="E23" s="331">
        <v>4107</v>
      </c>
      <c r="F23" s="331">
        <v>4251</v>
      </c>
      <c r="G23" s="331">
        <v>3000</v>
      </c>
      <c r="H23" s="331">
        <v>776</v>
      </c>
      <c r="I23" s="146">
        <v>936</v>
      </c>
      <c r="J23" s="712">
        <f t="shared" si="1"/>
        <v>20.618556701030926</v>
      </c>
      <c r="K23" s="529">
        <v>172</v>
      </c>
      <c r="L23" s="331">
        <v>261</v>
      </c>
      <c r="M23" s="331">
        <v>231</v>
      </c>
      <c r="N23" s="331">
        <v>327</v>
      </c>
      <c r="O23" s="331">
        <v>390</v>
      </c>
      <c r="P23" s="331">
        <v>100</v>
      </c>
      <c r="Q23" s="146">
        <v>69</v>
      </c>
      <c r="R23" s="712">
        <f t="shared" si="2"/>
        <v>-31</v>
      </c>
      <c r="S23" s="529">
        <v>1486</v>
      </c>
      <c r="T23" s="331">
        <v>2104</v>
      </c>
      <c r="U23" s="331">
        <v>2893</v>
      </c>
      <c r="V23" s="331">
        <v>4679</v>
      </c>
      <c r="W23" s="331">
        <v>3084</v>
      </c>
      <c r="X23" s="331">
        <v>414</v>
      </c>
      <c r="Y23" s="146">
        <v>1300</v>
      </c>
      <c r="Z23" s="712">
        <f t="shared" si="3"/>
        <v>214.00966183574883</v>
      </c>
      <c r="AA23" s="203" t="s">
        <v>60</v>
      </c>
    </row>
    <row r="24" spans="1:27" ht="12.75" customHeight="1">
      <c r="A24" s="11"/>
      <c r="B24" s="13" t="s">
        <v>78</v>
      </c>
      <c r="C24" s="156">
        <v>2670</v>
      </c>
      <c r="D24" s="62">
        <v>3025</v>
      </c>
      <c r="E24" s="330">
        <v>3083</v>
      </c>
      <c r="F24" s="330">
        <v>3492</v>
      </c>
      <c r="G24" s="330">
        <v>4028</v>
      </c>
      <c r="H24" s="330">
        <v>3063</v>
      </c>
      <c r="I24" s="77">
        <v>3246</v>
      </c>
      <c r="J24" s="713">
        <f t="shared" si="1"/>
        <v>5.974534769833497</v>
      </c>
      <c r="K24" s="528">
        <v>159</v>
      </c>
      <c r="L24" s="330">
        <v>219</v>
      </c>
      <c r="M24" s="330">
        <v>159</v>
      </c>
      <c r="N24" s="330">
        <v>175</v>
      </c>
      <c r="O24" s="330">
        <v>209</v>
      </c>
      <c r="P24" s="330">
        <v>135</v>
      </c>
      <c r="Q24" s="77">
        <v>147</v>
      </c>
      <c r="R24" s="713">
        <f t="shared" si="2"/>
        <v>8.888888888888886</v>
      </c>
      <c r="S24" s="528">
        <v>879</v>
      </c>
      <c r="T24" s="330">
        <v>1361</v>
      </c>
      <c r="U24" s="330">
        <v>1265</v>
      </c>
      <c r="V24" s="330">
        <v>1472</v>
      </c>
      <c r="W24" s="330">
        <v>1584</v>
      </c>
      <c r="X24" s="330">
        <v>790</v>
      </c>
      <c r="Y24" s="77">
        <v>700</v>
      </c>
      <c r="Z24" s="713">
        <f t="shared" si="3"/>
        <v>-11.39240506329115</v>
      </c>
      <c r="AA24" s="206" t="s">
        <v>78</v>
      </c>
    </row>
    <row r="25" spans="1:27" ht="12.75" customHeight="1">
      <c r="A25" s="11"/>
      <c r="B25" s="110" t="s">
        <v>58</v>
      </c>
      <c r="C25" s="165">
        <v>29641</v>
      </c>
      <c r="D25" s="145">
        <v>35500</v>
      </c>
      <c r="E25" s="331">
        <v>21604</v>
      </c>
      <c r="F25" s="331">
        <v>21920</v>
      </c>
      <c r="G25" s="331">
        <v>21559</v>
      </c>
      <c r="H25" s="331">
        <v>10619</v>
      </c>
      <c r="I25" s="146">
        <v>9187</v>
      </c>
      <c r="J25" s="712">
        <f t="shared" si="1"/>
        <v>-13.48526226575008</v>
      </c>
      <c r="K25" s="531"/>
      <c r="L25" s="458"/>
      <c r="M25" s="458"/>
      <c r="N25" s="458"/>
      <c r="O25" s="458"/>
      <c r="P25" s="331"/>
      <c r="Q25" s="146">
        <v>313</v>
      </c>
      <c r="R25" s="712"/>
      <c r="S25" s="529">
        <v>5146</v>
      </c>
      <c r="T25" s="331">
        <v>6171</v>
      </c>
      <c r="U25" s="331"/>
      <c r="V25" s="331"/>
      <c r="W25" s="331"/>
      <c r="X25" s="331"/>
      <c r="Y25" s="146">
        <v>1965</v>
      </c>
      <c r="Z25" s="712"/>
      <c r="AA25" s="203" t="s">
        <v>58</v>
      </c>
    </row>
    <row r="26" spans="1:27" ht="12.75" customHeight="1">
      <c r="A26" s="11"/>
      <c r="B26" s="13" t="s">
        <v>61</v>
      </c>
      <c r="C26" s="156">
        <v>375</v>
      </c>
      <c r="D26" s="62">
        <v>652</v>
      </c>
      <c r="E26" s="330">
        <v>564</v>
      </c>
      <c r="F26" s="330">
        <v>865</v>
      </c>
      <c r="G26" s="330">
        <v>783</v>
      </c>
      <c r="H26" s="330">
        <v>471</v>
      </c>
      <c r="I26" s="77">
        <v>924</v>
      </c>
      <c r="J26" s="713">
        <f t="shared" si="1"/>
        <v>96.17834394904457</v>
      </c>
      <c r="K26" s="535" t="s">
        <v>91</v>
      </c>
      <c r="L26" s="536" t="s">
        <v>91</v>
      </c>
      <c r="M26" s="536" t="s">
        <v>91</v>
      </c>
      <c r="N26" s="536" t="s">
        <v>91</v>
      </c>
      <c r="O26" s="536" t="s">
        <v>91</v>
      </c>
      <c r="P26" s="715" t="s">
        <v>91</v>
      </c>
      <c r="Q26" s="715" t="s">
        <v>91</v>
      </c>
      <c r="R26" s="713"/>
      <c r="S26" s="535" t="s">
        <v>91</v>
      </c>
      <c r="T26" s="536" t="s">
        <v>91</v>
      </c>
      <c r="U26" s="536" t="s">
        <v>91</v>
      </c>
      <c r="V26" s="536" t="s">
        <v>91</v>
      </c>
      <c r="W26" s="536" t="s">
        <v>91</v>
      </c>
      <c r="X26" s="715" t="s">
        <v>91</v>
      </c>
      <c r="Y26" s="715" t="s">
        <v>91</v>
      </c>
      <c r="Z26" s="713"/>
      <c r="AA26" s="206" t="s">
        <v>61</v>
      </c>
    </row>
    <row r="27" spans="1:27" ht="12.75" customHeight="1">
      <c r="A27" s="11"/>
      <c r="B27" s="111" t="s">
        <v>69</v>
      </c>
      <c r="C27" s="165">
        <v>86126</v>
      </c>
      <c r="D27" s="145">
        <v>65224</v>
      </c>
      <c r="E27" s="331">
        <v>63913</v>
      </c>
      <c r="F27" s="331">
        <v>80830</v>
      </c>
      <c r="G27" s="331">
        <v>84654</v>
      </c>
      <c r="H27" s="331">
        <v>51281</v>
      </c>
      <c r="I27" s="146">
        <v>49564</v>
      </c>
      <c r="J27" s="712">
        <f t="shared" si="1"/>
        <v>-3.348218638482095</v>
      </c>
      <c r="K27" s="529">
        <v>2799</v>
      </c>
      <c r="L27" s="331">
        <v>3255</v>
      </c>
      <c r="M27" s="331">
        <v>3309</v>
      </c>
      <c r="N27" s="331">
        <v>2167</v>
      </c>
      <c r="O27" s="331">
        <v>2555</v>
      </c>
      <c r="P27" s="331">
        <v>1794</v>
      </c>
      <c r="Q27" s="146">
        <v>1689</v>
      </c>
      <c r="R27" s="712">
        <f t="shared" si="2"/>
        <v>-5.852842809364546</v>
      </c>
      <c r="S27" s="529">
        <v>11588</v>
      </c>
      <c r="T27" s="331">
        <v>12290</v>
      </c>
      <c r="U27" s="331">
        <v>16695</v>
      </c>
      <c r="V27" s="331">
        <v>13117</v>
      </c>
      <c r="W27" s="331">
        <v>15719</v>
      </c>
      <c r="X27" s="331">
        <v>9963</v>
      </c>
      <c r="Y27" s="146">
        <v>8959</v>
      </c>
      <c r="Z27" s="712">
        <f t="shared" si="3"/>
        <v>-10.077285958044769</v>
      </c>
      <c r="AA27" s="207" t="s">
        <v>69</v>
      </c>
    </row>
    <row r="28" spans="1:27" ht="12.75" customHeight="1">
      <c r="A28" s="11"/>
      <c r="B28" s="13" t="s">
        <v>79</v>
      </c>
      <c r="C28" s="156">
        <v>28888</v>
      </c>
      <c r="D28" s="62">
        <v>28752</v>
      </c>
      <c r="E28" s="330">
        <v>30357</v>
      </c>
      <c r="F28" s="330">
        <v>32322</v>
      </c>
      <c r="G28" s="330">
        <v>32763</v>
      </c>
      <c r="H28" s="330">
        <v>25582</v>
      </c>
      <c r="I28" s="77">
        <v>27992</v>
      </c>
      <c r="J28" s="713">
        <f t="shared" si="1"/>
        <v>9.420686420139162</v>
      </c>
      <c r="K28" s="528">
        <v>1047</v>
      </c>
      <c r="L28" s="330">
        <v>1048</v>
      </c>
      <c r="M28" s="330">
        <v>992</v>
      </c>
      <c r="N28" s="330">
        <v>1144</v>
      </c>
      <c r="O28" s="330">
        <v>1158</v>
      </c>
      <c r="P28" s="330">
        <v>864</v>
      </c>
      <c r="Q28" s="77">
        <v>798</v>
      </c>
      <c r="R28" s="713">
        <f t="shared" si="2"/>
        <v>-7.638888888888886</v>
      </c>
      <c r="S28" s="528">
        <v>8643</v>
      </c>
      <c r="T28" s="330">
        <v>7878</v>
      </c>
      <c r="U28" s="330">
        <v>6617</v>
      </c>
      <c r="V28" s="330">
        <v>7273</v>
      </c>
      <c r="W28" s="330">
        <v>7432</v>
      </c>
      <c r="X28" s="330">
        <v>3926</v>
      </c>
      <c r="Y28" s="77">
        <v>4387</v>
      </c>
      <c r="Z28" s="713">
        <f t="shared" si="3"/>
        <v>11.742231278655126</v>
      </c>
      <c r="AA28" s="206" t="s">
        <v>79</v>
      </c>
    </row>
    <row r="29" spans="1:27" ht="12.75" customHeight="1">
      <c r="A29" s="11"/>
      <c r="B29" s="110" t="s">
        <v>62</v>
      </c>
      <c r="C29" s="165">
        <v>34508</v>
      </c>
      <c r="D29" s="145">
        <v>35270</v>
      </c>
      <c r="E29" s="331">
        <v>38618</v>
      </c>
      <c r="F29" s="331">
        <v>52048</v>
      </c>
      <c r="G29" s="331">
        <v>55896</v>
      </c>
      <c r="H29" s="331">
        <v>40232</v>
      </c>
      <c r="I29" s="146">
        <v>38647</v>
      </c>
      <c r="J29" s="712">
        <f t="shared" si="1"/>
        <v>-3.939650029827007</v>
      </c>
      <c r="K29" s="529">
        <v>4092</v>
      </c>
      <c r="L29" s="331">
        <v>4377</v>
      </c>
      <c r="M29" s="331">
        <v>5162</v>
      </c>
      <c r="N29" s="331">
        <v>6330</v>
      </c>
      <c r="O29" s="331">
        <v>6004</v>
      </c>
      <c r="P29" s="331">
        <v>3650</v>
      </c>
      <c r="Q29" s="146">
        <v>4497</v>
      </c>
      <c r="R29" s="712">
        <f t="shared" si="2"/>
        <v>23.205479452054803</v>
      </c>
      <c r="S29" s="529">
        <v>8449</v>
      </c>
      <c r="T29" s="331">
        <v>7417</v>
      </c>
      <c r="U29" s="331">
        <v>10734</v>
      </c>
      <c r="V29" s="331">
        <v>18243</v>
      </c>
      <c r="W29" s="331">
        <v>16401</v>
      </c>
      <c r="X29" s="331">
        <v>6235</v>
      </c>
      <c r="Y29" s="146">
        <v>8516</v>
      </c>
      <c r="Z29" s="712">
        <f t="shared" si="3"/>
        <v>36.58380112269447</v>
      </c>
      <c r="AA29" s="203" t="s">
        <v>62</v>
      </c>
    </row>
    <row r="30" spans="1:27" ht="12.75" customHeight="1">
      <c r="A30" s="11"/>
      <c r="B30" s="13" t="s">
        <v>80</v>
      </c>
      <c r="C30" s="156">
        <v>70890</v>
      </c>
      <c r="D30" s="62">
        <v>66632</v>
      </c>
      <c r="E30" s="330">
        <v>64342</v>
      </c>
      <c r="F30" s="330">
        <v>68418</v>
      </c>
      <c r="G30" s="330">
        <v>55398</v>
      </c>
      <c r="H30" s="330">
        <v>38905</v>
      </c>
      <c r="I30" s="77">
        <v>45650</v>
      </c>
      <c r="J30" s="713">
        <f t="shared" si="1"/>
        <v>17.337103200102817</v>
      </c>
      <c r="K30" s="528">
        <v>1288</v>
      </c>
      <c r="L30" s="330">
        <v>1563</v>
      </c>
      <c r="M30" s="330">
        <v>1329</v>
      </c>
      <c r="N30" s="330">
        <v>1398</v>
      </c>
      <c r="O30" s="330">
        <v>1048</v>
      </c>
      <c r="P30" s="330">
        <v>847</v>
      </c>
      <c r="Q30" s="77">
        <v>745</v>
      </c>
      <c r="R30" s="713">
        <f t="shared" si="2"/>
        <v>-12.04250295159386</v>
      </c>
      <c r="S30" s="528">
        <v>3399</v>
      </c>
      <c r="T30" s="330">
        <v>3787</v>
      </c>
      <c r="U30" s="330">
        <v>4082</v>
      </c>
      <c r="V30" s="330">
        <v>4247</v>
      </c>
      <c r="W30" s="330">
        <v>4486</v>
      </c>
      <c r="X30" s="330">
        <v>2364</v>
      </c>
      <c r="Y30" s="77">
        <v>2389</v>
      </c>
      <c r="Z30" s="713">
        <f t="shared" si="3"/>
        <v>1.057529610829107</v>
      </c>
      <c r="AA30" s="206" t="s">
        <v>80</v>
      </c>
    </row>
    <row r="31" spans="1:27" ht="12.75" customHeight="1">
      <c r="A31" s="11"/>
      <c r="B31" s="110" t="s">
        <v>63</v>
      </c>
      <c r="C31" s="165"/>
      <c r="D31" s="145"/>
      <c r="E31" s="331">
        <v>30508</v>
      </c>
      <c r="F31" s="331">
        <v>33229</v>
      </c>
      <c r="G31" s="331">
        <v>36414</v>
      </c>
      <c r="H31" s="331">
        <v>14086</v>
      </c>
      <c r="I31" s="146">
        <v>9238</v>
      </c>
      <c r="J31" s="712">
        <f t="shared" si="1"/>
        <v>-34.417151781911116</v>
      </c>
      <c r="K31" s="529"/>
      <c r="L31" s="331"/>
      <c r="M31" s="331">
        <v>3612</v>
      </c>
      <c r="N31" s="331">
        <v>3468</v>
      </c>
      <c r="O31" s="331">
        <v>3744</v>
      </c>
      <c r="P31" s="331">
        <v>973</v>
      </c>
      <c r="Q31" s="146">
        <v>746</v>
      </c>
      <c r="R31" s="712">
        <f t="shared" si="2"/>
        <v>-23.32990750256937</v>
      </c>
      <c r="S31" s="529"/>
      <c r="T31" s="331"/>
      <c r="U31" s="331">
        <v>4170</v>
      </c>
      <c r="V31" s="331">
        <v>11511</v>
      </c>
      <c r="W31" s="331">
        <v>8762</v>
      </c>
      <c r="X31" s="331">
        <v>1619</v>
      </c>
      <c r="Y31" s="146">
        <v>2160</v>
      </c>
      <c r="Z31" s="712">
        <f t="shared" si="3"/>
        <v>33.41568869672636</v>
      </c>
      <c r="AA31" s="203" t="s">
        <v>63</v>
      </c>
    </row>
    <row r="32" spans="1:27" ht="12.75" customHeight="1">
      <c r="A32" s="11"/>
      <c r="B32" s="13" t="s">
        <v>65</v>
      </c>
      <c r="C32" s="156">
        <v>6998</v>
      </c>
      <c r="D32" s="62">
        <v>6881</v>
      </c>
      <c r="E32" s="330">
        <v>6048</v>
      </c>
      <c r="F32" s="330">
        <v>6813</v>
      </c>
      <c r="G32" s="330">
        <v>7282</v>
      </c>
      <c r="H32" s="330">
        <v>4426</v>
      </c>
      <c r="I32" s="77">
        <v>4703</v>
      </c>
      <c r="J32" s="713">
        <f t="shared" si="1"/>
        <v>6.258472661545426</v>
      </c>
      <c r="K32" s="528">
        <v>408</v>
      </c>
      <c r="L32" s="330">
        <v>346</v>
      </c>
      <c r="M32" s="330">
        <v>383</v>
      </c>
      <c r="N32" s="330">
        <v>391</v>
      </c>
      <c r="O32" s="330">
        <v>401</v>
      </c>
      <c r="P32" s="330">
        <v>227</v>
      </c>
      <c r="Q32" s="77">
        <v>201</v>
      </c>
      <c r="R32" s="713">
        <f t="shared" si="2"/>
        <v>-11.453744493392065</v>
      </c>
      <c r="S32" s="528">
        <v>1066</v>
      </c>
      <c r="T32" s="330">
        <v>1305</v>
      </c>
      <c r="U32" s="330">
        <v>1679</v>
      </c>
      <c r="V32" s="330">
        <v>2326</v>
      </c>
      <c r="W32" s="330">
        <v>2175</v>
      </c>
      <c r="X32" s="330">
        <v>531</v>
      </c>
      <c r="Y32" s="77">
        <v>682</v>
      </c>
      <c r="Z32" s="713">
        <f t="shared" si="3"/>
        <v>28.436911487758948</v>
      </c>
      <c r="AA32" s="206" t="s">
        <v>65</v>
      </c>
    </row>
    <row r="33" spans="1:27" ht="12.75" customHeight="1">
      <c r="A33" s="11"/>
      <c r="B33" s="110" t="s">
        <v>64</v>
      </c>
      <c r="C33" s="165">
        <v>10204</v>
      </c>
      <c r="D33" s="145">
        <v>14425</v>
      </c>
      <c r="E33" s="331">
        <v>19502</v>
      </c>
      <c r="F33" s="331">
        <v>23618</v>
      </c>
      <c r="G33" s="331">
        <v>26900</v>
      </c>
      <c r="H33" s="331">
        <v>15709</v>
      </c>
      <c r="I33" s="146">
        <v>6952</v>
      </c>
      <c r="J33" s="712">
        <f t="shared" si="1"/>
        <v>-55.74511426570756</v>
      </c>
      <c r="K33" s="529">
        <v>774</v>
      </c>
      <c r="L33" s="331">
        <v>936</v>
      </c>
      <c r="M33" s="331">
        <v>948</v>
      </c>
      <c r="N33" s="331">
        <v>1083</v>
      </c>
      <c r="O33" s="331">
        <v>1075</v>
      </c>
      <c r="P33" s="331">
        <v>473</v>
      </c>
      <c r="Q33" s="146">
        <v>505</v>
      </c>
      <c r="R33" s="712">
        <f t="shared" si="2"/>
        <v>6.765327695560259</v>
      </c>
      <c r="S33" s="529">
        <v>2075</v>
      </c>
      <c r="T33" s="331">
        <v>2821</v>
      </c>
      <c r="U33" s="331">
        <v>3465</v>
      </c>
      <c r="V33" s="331">
        <v>4360</v>
      </c>
      <c r="W33" s="331">
        <v>3767</v>
      </c>
      <c r="X33" s="331">
        <v>1188</v>
      </c>
      <c r="Y33" s="146">
        <v>1946</v>
      </c>
      <c r="Z33" s="712">
        <f t="shared" si="3"/>
        <v>63.8047138047138</v>
      </c>
      <c r="AA33" s="203" t="s">
        <v>64</v>
      </c>
    </row>
    <row r="34" spans="1:27" ht="12.75" customHeight="1">
      <c r="A34" s="11"/>
      <c r="B34" s="13" t="s">
        <v>81</v>
      </c>
      <c r="C34" s="156">
        <v>17068</v>
      </c>
      <c r="D34" s="62">
        <v>15353</v>
      </c>
      <c r="E34" s="330">
        <v>16472</v>
      </c>
      <c r="F34" s="330">
        <v>17507</v>
      </c>
      <c r="G34" s="330">
        <v>16395</v>
      </c>
      <c r="H34" s="330">
        <v>8693</v>
      </c>
      <c r="I34" s="77">
        <v>10821</v>
      </c>
      <c r="J34" s="713">
        <f t="shared" si="1"/>
        <v>24.479466237202345</v>
      </c>
      <c r="K34" s="528">
        <v>1630</v>
      </c>
      <c r="L34" s="330">
        <v>1490</v>
      </c>
      <c r="M34" s="330">
        <v>1305</v>
      </c>
      <c r="N34" s="330">
        <v>1395</v>
      </c>
      <c r="O34" s="330">
        <v>1149</v>
      </c>
      <c r="P34" s="330">
        <v>991</v>
      </c>
      <c r="Q34" s="77">
        <v>1011</v>
      </c>
      <c r="R34" s="713">
        <f t="shared" si="2"/>
        <v>2.0181634712411807</v>
      </c>
      <c r="S34" s="528">
        <v>2889</v>
      </c>
      <c r="T34" s="330">
        <v>3112</v>
      </c>
      <c r="U34" s="330">
        <v>2726</v>
      </c>
      <c r="V34" s="330">
        <v>2779</v>
      </c>
      <c r="W34" s="330">
        <v>3485</v>
      </c>
      <c r="X34" s="330">
        <v>2178</v>
      </c>
      <c r="Y34" s="77">
        <v>1867</v>
      </c>
      <c r="Z34" s="713">
        <f t="shared" si="3"/>
        <v>-14.279155188246094</v>
      </c>
      <c r="AA34" s="206" t="s">
        <v>81</v>
      </c>
    </row>
    <row r="35" spans="1:27" ht="12.75" customHeight="1">
      <c r="A35" s="11"/>
      <c r="B35" s="110" t="s">
        <v>82</v>
      </c>
      <c r="C35" s="165">
        <v>31002</v>
      </c>
      <c r="D35" s="145">
        <v>34789</v>
      </c>
      <c r="E35" s="331">
        <v>39618</v>
      </c>
      <c r="F35" s="331">
        <v>44222</v>
      </c>
      <c r="G35" s="331">
        <v>39269</v>
      </c>
      <c r="H35" s="331">
        <v>27432</v>
      </c>
      <c r="I35" s="146">
        <v>37778</v>
      </c>
      <c r="J35" s="712">
        <f t="shared" si="1"/>
        <v>37.71507728200643</v>
      </c>
      <c r="K35" s="529">
        <v>836</v>
      </c>
      <c r="L35" s="331">
        <v>1255</v>
      </c>
      <c r="M35" s="331">
        <v>866</v>
      </c>
      <c r="N35" s="331">
        <v>988</v>
      </c>
      <c r="O35" s="331">
        <v>1036</v>
      </c>
      <c r="P35" s="331">
        <v>714</v>
      </c>
      <c r="Q35" s="146">
        <v>759</v>
      </c>
      <c r="R35" s="712">
        <f t="shared" si="2"/>
        <v>6.30252100840336</v>
      </c>
      <c r="S35" s="529">
        <v>4400</v>
      </c>
      <c r="T35" s="331">
        <v>5763</v>
      </c>
      <c r="U35" s="331">
        <v>5362</v>
      </c>
      <c r="V35" s="331">
        <v>5722</v>
      </c>
      <c r="W35" s="331">
        <v>5962</v>
      </c>
      <c r="X35" s="331">
        <v>4783</v>
      </c>
      <c r="Y35" s="146">
        <v>4076</v>
      </c>
      <c r="Z35" s="712">
        <f t="shared" si="3"/>
        <v>-14.781517875810152</v>
      </c>
      <c r="AA35" s="203" t="s">
        <v>82</v>
      </c>
    </row>
    <row r="36" spans="1:27" ht="12.75" customHeight="1">
      <c r="A36" s="11"/>
      <c r="B36" s="14" t="s">
        <v>70</v>
      </c>
      <c r="C36" s="160">
        <v>322901</v>
      </c>
      <c r="D36" s="65">
        <v>325372</v>
      </c>
      <c r="E36" s="332">
        <v>322338</v>
      </c>
      <c r="F36" s="332">
        <v>333339</v>
      </c>
      <c r="G36" s="332">
        <v>287158</v>
      </c>
      <c r="H36" s="332">
        <v>185317</v>
      </c>
      <c r="I36" s="78">
        <v>221877</v>
      </c>
      <c r="J36" s="716">
        <f t="shared" si="1"/>
        <v>19.72835735523455</v>
      </c>
      <c r="K36" s="530">
        <v>20551</v>
      </c>
      <c r="L36" s="332">
        <v>24833</v>
      </c>
      <c r="M36" s="332">
        <v>18329</v>
      </c>
      <c r="N36" s="332">
        <v>17519</v>
      </c>
      <c r="O36" s="332">
        <v>18615</v>
      </c>
      <c r="P36" s="332">
        <v>12493</v>
      </c>
      <c r="Q36" s="78">
        <v>11103</v>
      </c>
      <c r="R36" s="716">
        <f t="shared" si="2"/>
        <v>-11.126230689185945</v>
      </c>
      <c r="S36" s="530">
        <v>34002</v>
      </c>
      <c r="T36" s="332">
        <v>38205</v>
      </c>
      <c r="U36" s="332">
        <v>34532</v>
      </c>
      <c r="V36" s="332">
        <v>29328</v>
      </c>
      <c r="W36" s="332">
        <v>35094</v>
      </c>
      <c r="X36" s="332">
        <v>19326</v>
      </c>
      <c r="Y36" s="78">
        <v>20301</v>
      </c>
      <c r="Z36" s="716">
        <f t="shared" si="3"/>
        <v>5.045017075442402</v>
      </c>
      <c r="AA36" s="208" t="s">
        <v>70</v>
      </c>
    </row>
    <row r="37" spans="1:27" ht="12.75" customHeight="1">
      <c r="A37" s="11"/>
      <c r="B37" s="110" t="s">
        <v>52</v>
      </c>
      <c r="C37" s="165">
        <v>1627</v>
      </c>
      <c r="D37" s="149">
        <v>2172</v>
      </c>
      <c r="E37" s="334">
        <v>2490</v>
      </c>
      <c r="F37" s="334">
        <v>2782</v>
      </c>
      <c r="G37" s="334">
        <v>1227</v>
      </c>
      <c r="H37" s="334">
        <v>302</v>
      </c>
      <c r="I37" s="459">
        <v>220</v>
      </c>
      <c r="J37" s="717">
        <f t="shared" si="1"/>
        <v>-27.152317880794712</v>
      </c>
      <c r="K37" s="532">
        <v>119</v>
      </c>
      <c r="L37" s="334">
        <v>324</v>
      </c>
      <c r="M37" s="334">
        <v>198</v>
      </c>
      <c r="N37" s="334">
        <v>234</v>
      </c>
      <c r="O37" s="334">
        <v>97</v>
      </c>
      <c r="P37" s="334">
        <v>18</v>
      </c>
      <c r="Q37" s="459">
        <v>15</v>
      </c>
      <c r="R37" s="717">
        <f t="shared" si="2"/>
        <v>-16.666666666666657</v>
      </c>
      <c r="S37" s="532">
        <v>181</v>
      </c>
      <c r="T37" s="334">
        <v>314</v>
      </c>
      <c r="U37" s="334">
        <v>325</v>
      </c>
      <c r="V37" s="334">
        <v>301</v>
      </c>
      <c r="W37" s="334">
        <v>178</v>
      </c>
      <c r="X37" s="334">
        <v>30</v>
      </c>
      <c r="Y37" s="459">
        <v>26</v>
      </c>
      <c r="Z37" s="717">
        <f t="shared" si="3"/>
        <v>-13.333333333333329</v>
      </c>
      <c r="AA37" s="203" t="s">
        <v>52</v>
      </c>
    </row>
    <row r="38" spans="1:27" ht="12.75" customHeight="1">
      <c r="A38" s="11"/>
      <c r="B38" s="13" t="s">
        <v>83</v>
      </c>
      <c r="C38" s="156">
        <v>31114</v>
      </c>
      <c r="D38" s="62">
        <v>35185</v>
      </c>
      <c r="E38" s="330">
        <v>42611</v>
      </c>
      <c r="F38" s="330">
        <v>45609</v>
      </c>
      <c r="G38" s="330">
        <v>34870</v>
      </c>
      <c r="H38" s="330">
        <v>23504</v>
      </c>
      <c r="I38" s="77">
        <v>29040</v>
      </c>
      <c r="J38" s="713">
        <f t="shared" si="1"/>
        <v>23.553437712729746</v>
      </c>
      <c r="K38" s="528">
        <v>3340</v>
      </c>
      <c r="L38" s="330">
        <v>3037</v>
      </c>
      <c r="M38" s="330">
        <v>1801</v>
      </c>
      <c r="N38" s="330">
        <v>1670</v>
      </c>
      <c r="O38" s="330">
        <v>1869</v>
      </c>
      <c r="P38" s="330">
        <v>1276</v>
      </c>
      <c r="Q38" s="77">
        <v>1553</v>
      </c>
      <c r="R38" s="713">
        <f t="shared" si="2"/>
        <v>21.708463949843264</v>
      </c>
      <c r="S38" s="528">
        <v>3017</v>
      </c>
      <c r="T38" s="330">
        <v>4459</v>
      </c>
      <c r="U38" s="330">
        <v>3988</v>
      </c>
      <c r="V38" s="330">
        <v>4591</v>
      </c>
      <c r="W38" s="330">
        <v>4659</v>
      </c>
      <c r="X38" s="330">
        <v>2822</v>
      </c>
      <c r="Y38" s="77">
        <v>2525</v>
      </c>
      <c r="Z38" s="713">
        <f t="shared" si="3"/>
        <v>-10.524450744153086</v>
      </c>
      <c r="AA38" s="206" t="s">
        <v>83</v>
      </c>
    </row>
    <row r="39" spans="1:27" ht="12.75" customHeight="1">
      <c r="A39" s="11"/>
      <c r="B39" s="112" t="s">
        <v>53</v>
      </c>
      <c r="C39" s="335">
        <v>20602</v>
      </c>
      <c r="D39" s="147">
        <v>22254</v>
      </c>
      <c r="E39" s="333">
        <v>23015</v>
      </c>
      <c r="F39" s="333">
        <v>25386</v>
      </c>
      <c r="G39" s="333">
        <v>26275</v>
      </c>
      <c r="H39" s="333">
        <v>23110</v>
      </c>
      <c r="I39" s="148">
        <v>25697</v>
      </c>
      <c r="J39" s="718">
        <f t="shared" si="1"/>
        <v>11.19428818693207</v>
      </c>
      <c r="K39" s="533">
        <v>921</v>
      </c>
      <c r="L39" s="333">
        <v>1058</v>
      </c>
      <c r="M39" s="333">
        <v>1095</v>
      </c>
      <c r="N39" s="333">
        <v>1106</v>
      </c>
      <c r="O39" s="333">
        <v>1287</v>
      </c>
      <c r="P39" s="333">
        <v>1150</v>
      </c>
      <c r="Q39" s="148">
        <v>1003</v>
      </c>
      <c r="R39" s="718">
        <f t="shared" si="2"/>
        <v>-12.782608695652172</v>
      </c>
      <c r="S39" s="533">
        <v>2708</v>
      </c>
      <c r="T39" s="333">
        <v>3390</v>
      </c>
      <c r="U39" s="333">
        <v>3746</v>
      </c>
      <c r="V39" s="333">
        <v>3290</v>
      </c>
      <c r="W39" s="333">
        <v>3876</v>
      </c>
      <c r="X39" s="333">
        <v>3292</v>
      </c>
      <c r="Y39" s="148">
        <v>2601</v>
      </c>
      <c r="Z39" s="718">
        <f t="shared" si="3"/>
        <v>-20.990279465370605</v>
      </c>
      <c r="AA39" s="204" t="s">
        <v>53</v>
      </c>
    </row>
    <row r="40" spans="1:27" ht="15" customHeight="1">
      <c r="A40" s="11"/>
      <c r="B40" s="879" t="s">
        <v>174</v>
      </c>
      <c r="C40" s="879"/>
      <c r="D40" s="879"/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79"/>
      <c r="S40" s="879"/>
      <c r="T40" s="879"/>
      <c r="U40" s="879"/>
      <c r="V40" s="879"/>
      <c r="W40" s="879"/>
      <c r="X40" s="879"/>
      <c r="Y40" s="879"/>
      <c r="Z40" s="879"/>
      <c r="AA40" s="879"/>
    </row>
    <row r="41" spans="1:2" ht="11.25" customHeight="1">
      <c r="A41" s="11"/>
      <c r="B41" s="6" t="s">
        <v>92</v>
      </c>
    </row>
    <row r="42" spans="1:2" ht="11.25" customHeight="1">
      <c r="A42" s="11"/>
      <c r="B42" s="125" t="s">
        <v>182</v>
      </c>
    </row>
    <row r="43" ht="11.25" customHeight="1"/>
  </sheetData>
  <mergeCells count="9">
    <mergeCell ref="B2:AA2"/>
    <mergeCell ref="B3:AA3"/>
    <mergeCell ref="C4:I4"/>
    <mergeCell ref="K4:Q4"/>
    <mergeCell ref="S4:Y4"/>
    <mergeCell ref="C5:I5"/>
    <mergeCell ref="K5:Q5"/>
    <mergeCell ref="S5:Y5"/>
    <mergeCell ref="B40:AA40"/>
  </mergeCells>
  <printOptions horizontalCentered="1"/>
  <pageMargins left="0.6692913385826772" right="0.6692913385826772" top="0.3937007874015748" bottom="0.15748031496062992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1"/>
  <dimension ref="A1:AG42"/>
  <sheetViews>
    <sheetView workbookViewId="0" topLeftCell="A1">
      <selection activeCell="AJ23" sqref="AJ23"/>
    </sheetView>
  </sheetViews>
  <sheetFormatPr defaultColWidth="9.140625" defaultRowHeight="12.75"/>
  <cols>
    <col min="1" max="1" width="3.7109375" style="0" customWidth="1"/>
    <col min="2" max="2" width="4.00390625" style="0" customWidth="1"/>
    <col min="3" max="6" width="6.7109375" style="0" hidden="1" customWidth="1"/>
    <col min="7" max="7" width="6.00390625" style="0" hidden="1" customWidth="1"/>
    <col min="8" max="9" width="6.00390625" style="0" customWidth="1"/>
    <col min="10" max="14" width="6.7109375" style="0" hidden="1" customWidth="1"/>
    <col min="15" max="16" width="6.7109375" style="0" customWidth="1"/>
    <col min="17" max="21" width="6.7109375" style="0" hidden="1" customWidth="1"/>
    <col min="22" max="23" width="6.7109375" style="0" customWidth="1"/>
    <col min="24" max="27" width="6.7109375" style="0" hidden="1" customWidth="1"/>
    <col min="28" max="28" width="0.85546875" style="0" hidden="1" customWidth="1"/>
    <col min="29" max="29" width="6.7109375" style="0" hidden="1" customWidth="1"/>
    <col min="30" max="31" width="6.7109375" style="0" customWidth="1"/>
    <col min="32" max="32" width="4.00390625" style="0" customWidth="1"/>
    <col min="33" max="33" width="6.57421875" style="0" customWidth="1"/>
  </cols>
  <sheetData>
    <row r="1" spans="2:32" ht="14.25" customHeight="1">
      <c r="B1" s="47"/>
      <c r="C1" s="35"/>
      <c r="D1" s="35"/>
      <c r="E1" s="35"/>
      <c r="F1" s="35"/>
      <c r="G1" s="35"/>
      <c r="H1" s="35"/>
      <c r="I1" s="35"/>
      <c r="J1" s="35"/>
      <c r="AF1" s="48" t="s">
        <v>215</v>
      </c>
    </row>
    <row r="2" spans="2:32" s="80" customFormat="1" ht="30" customHeight="1">
      <c r="B2" s="888" t="s">
        <v>16</v>
      </c>
      <c r="C2" s="888"/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  <c r="R2" s="888"/>
      <c r="S2" s="888"/>
      <c r="T2" s="888"/>
      <c r="U2" s="888"/>
      <c r="V2" s="888"/>
      <c r="W2" s="888"/>
      <c r="X2" s="888"/>
      <c r="Y2" s="888"/>
      <c r="Z2" s="888"/>
      <c r="AA2" s="888"/>
      <c r="AB2" s="888"/>
      <c r="AC2" s="888"/>
      <c r="AD2" s="888"/>
      <c r="AE2" s="888"/>
      <c r="AF2" s="888"/>
    </row>
    <row r="3" spans="2:32" ht="18" customHeight="1">
      <c r="B3" s="856" t="s">
        <v>116</v>
      </c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  <c r="P3" s="856"/>
      <c r="Q3" s="856"/>
      <c r="R3" s="856"/>
      <c r="S3" s="856"/>
      <c r="T3" s="856"/>
      <c r="U3" s="856"/>
      <c r="V3" s="856"/>
      <c r="W3" s="856"/>
      <c r="X3" s="856"/>
      <c r="Y3" s="856"/>
      <c r="Z3" s="856"/>
      <c r="AA3" s="856"/>
      <c r="AB3" s="856"/>
      <c r="AC3" s="856"/>
      <c r="AD3" s="856"/>
      <c r="AE3" s="856"/>
      <c r="AF3" s="856"/>
    </row>
    <row r="4" spans="2:33" ht="18" customHeight="1">
      <c r="B4" s="359"/>
      <c r="C4" s="857" t="s">
        <v>126</v>
      </c>
      <c r="D4" s="845"/>
      <c r="E4" s="845"/>
      <c r="F4" s="845"/>
      <c r="G4" s="845"/>
      <c r="H4" s="845"/>
      <c r="I4" s="846"/>
      <c r="J4" s="857" t="s">
        <v>127</v>
      </c>
      <c r="K4" s="845"/>
      <c r="L4" s="845"/>
      <c r="M4" s="845"/>
      <c r="N4" s="845"/>
      <c r="O4" s="845"/>
      <c r="P4" s="846"/>
      <c r="Q4" s="857" t="s">
        <v>128</v>
      </c>
      <c r="R4" s="845"/>
      <c r="S4" s="845"/>
      <c r="T4" s="845"/>
      <c r="U4" s="845"/>
      <c r="V4" s="845"/>
      <c r="W4" s="846"/>
      <c r="X4" s="624" t="s">
        <v>88</v>
      </c>
      <c r="Y4" s="624"/>
      <c r="Z4" s="624"/>
      <c r="AA4" s="624"/>
      <c r="AB4" s="624"/>
      <c r="AC4" s="857" t="s">
        <v>88</v>
      </c>
      <c r="AD4" s="845"/>
      <c r="AE4" s="846"/>
      <c r="AF4" s="40"/>
      <c r="AG4" s="267" t="s">
        <v>3</v>
      </c>
    </row>
    <row r="5" spans="2:33" ht="12" customHeight="1">
      <c r="B5" s="359"/>
      <c r="C5" s="847" t="s">
        <v>129</v>
      </c>
      <c r="D5" s="848"/>
      <c r="E5" s="848"/>
      <c r="F5" s="848"/>
      <c r="G5" s="848"/>
      <c r="H5" s="848"/>
      <c r="I5" s="849"/>
      <c r="J5" s="847" t="s">
        <v>10</v>
      </c>
      <c r="K5" s="848"/>
      <c r="L5" s="848"/>
      <c r="M5" s="848"/>
      <c r="N5" s="848"/>
      <c r="O5" s="848"/>
      <c r="P5" s="849"/>
      <c r="Q5" s="847" t="s">
        <v>11</v>
      </c>
      <c r="R5" s="848"/>
      <c r="S5" s="848"/>
      <c r="T5" s="848"/>
      <c r="U5" s="848"/>
      <c r="V5" s="848"/>
      <c r="W5" s="849"/>
      <c r="X5" s="264"/>
      <c r="Y5" s="264"/>
      <c r="Z5" s="264"/>
      <c r="AA5" s="264"/>
      <c r="AB5" s="264"/>
      <c r="AC5" s="847"/>
      <c r="AD5" s="848"/>
      <c r="AE5" s="849"/>
      <c r="AF5" s="40"/>
      <c r="AG5" s="813" t="s">
        <v>132</v>
      </c>
    </row>
    <row r="6" spans="2:33" ht="15" customHeight="1">
      <c r="B6" s="360"/>
      <c r="C6" s="81">
        <v>2004</v>
      </c>
      <c r="D6" s="82">
        <v>2005</v>
      </c>
      <c r="E6" s="82">
        <v>2006</v>
      </c>
      <c r="F6" s="82">
        <v>2007</v>
      </c>
      <c r="G6" s="82">
        <v>2008</v>
      </c>
      <c r="H6" s="82">
        <v>2009</v>
      </c>
      <c r="I6" s="83">
        <v>2010</v>
      </c>
      <c r="J6" s="82">
        <v>2004</v>
      </c>
      <c r="K6" s="82">
        <v>2005</v>
      </c>
      <c r="L6" s="82">
        <v>2006</v>
      </c>
      <c r="M6" s="82">
        <v>2007</v>
      </c>
      <c r="N6" s="82">
        <v>2008</v>
      </c>
      <c r="O6" s="82">
        <v>2009</v>
      </c>
      <c r="P6" s="83">
        <v>2010</v>
      </c>
      <c r="Q6" s="81">
        <v>2004</v>
      </c>
      <c r="R6" s="82">
        <v>2005</v>
      </c>
      <c r="S6" s="82">
        <v>2006</v>
      </c>
      <c r="T6" s="82">
        <v>2007</v>
      </c>
      <c r="U6" s="82">
        <v>2008</v>
      </c>
      <c r="V6" s="82">
        <v>2009</v>
      </c>
      <c r="W6" s="83">
        <v>2010</v>
      </c>
      <c r="X6" s="82">
        <v>2004</v>
      </c>
      <c r="Y6" s="82">
        <v>2005</v>
      </c>
      <c r="Z6" s="82">
        <v>2006</v>
      </c>
      <c r="AA6" s="82">
        <v>2007</v>
      </c>
      <c r="AB6" s="82"/>
      <c r="AC6" s="82">
        <v>2008</v>
      </c>
      <c r="AD6" s="82">
        <v>2009</v>
      </c>
      <c r="AE6" s="83">
        <v>2010</v>
      </c>
      <c r="AF6" s="9"/>
      <c r="AG6" s="814" t="s">
        <v>233</v>
      </c>
    </row>
    <row r="7" spans="2:33" ht="12.75" customHeight="1">
      <c r="B7" s="113" t="s">
        <v>40</v>
      </c>
      <c r="C7" s="135"/>
      <c r="D7" s="117"/>
      <c r="E7" s="117"/>
      <c r="F7" s="117"/>
      <c r="G7" s="117"/>
      <c r="H7" s="117"/>
      <c r="I7" s="118"/>
      <c r="J7" s="117"/>
      <c r="K7" s="117"/>
      <c r="L7" s="117"/>
      <c r="M7" s="117"/>
      <c r="N7" s="117"/>
      <c r="O7" s="117"/>
      <c r="P7" s="118"/>
      <c r="Q7" s="135"/>
      <c r="R7" s="117"/>
      <c r="S7" s="117"/>
      <c r="T7" s="117"/>
      <c r="U7" s="117"/>
      <c r="V7" s="117"/>
      <c r="W7" s="118"/>
      <c r="X7" s="117"/>
      <c r="Y7" s="117"/>
      <c r="Z7" s="117"/>
      <c r="AA7" s="117"/>
      <c r="AB7" s="117"/>
      <c r="AC7" s="117">
        <f>SUM(AC10:AC36)</f>
        <v>52918</v>
      </c>
      <c r="AD7" s="117"/>
      <c r="AE7" s="118"/>
      <c r="AF7" s="202" t="s">
        <v>40</v>
      </c>
      <c r="AG7" s="811"/>
    </row>
    <row r="8" spans="1:33" ht="12.75" customHeight="1">
      <c r="A8" s="11"/>
      <c r="B8" s="110" t="s">
        <v>71</v>
      </c>
      <c r="C8" s="136">
        <f>SUM(C10,C13,C14,C16:C20,C24,C27:C28,C30,C34:C36)</f>
        <v>12073</v>
      </c>
      <c r="D8" s="119">
        <f aca="true" t="shared" si="0" ref="D8:W8">SUM(D10,D13,D14,D16:D20,D24,D27:D28,D30,D34:D36)</f>
        <v>11463</v>
      </c>
      <c r="E8" s="119">
        <f t="shared" si="0"/>
        <v>11328</v>
      </c>
      <c r="F8" s="119">
        <f t="shared" si="0"/>
        <v>12051</v>
      </c>
      <c r="G8" s="119">
        <f t="shared" si="0"/>
        <v>5908</v>
      </c>
      <c r="H8" s="119">
        <f t="shared" si="0"/>
        <v>3913</v>
      </c>
      <c r="I8" s="120">
        <f t="shared" si="0"/>
        <v>3970</v>
      </c>
      <c r="J8" s="119">
        <f t="shared" si="0"/>
        <v>9302</v>
      </c>
      <c r="K8" s="119">
        <f t="shared" si="0"/>
        <v>11385</v>
      </c>
      <c r="L8" s="119">
        <f t="shared" si="0"/>
        <v>10914</v>
      </c>
      <c r="M8" s="119">
        <f t="shared" si="0"/>
        <v>12302</v>
      </c>
      <c r="N8" s="119">
        <f>SUM(N10,N13,N14,N16:N20,N24,N27:N28,N30,N34:N36)</f>
        <v>13993</v>
      </c>
      <c r="O8" s="119">
        <f>SUM(O10,O13,O14,O16:O20,O24,O27:O28,O30,O34:O36)</f>
        <v>11842</v>
      </c>
      <c r="P8" s="120">
        <f>SUM(P10,P13,P14,P16:P20,P24,P27:P28,P30,P34:P36)</f>
        <v>10881</v>
      </c>
      <c r="Q8" s="136">
        <f t="shared" si="0"/>
        <v>21818</v>
      </c>
      <c r="R8" s="119">
        <f t="shared" si="0"/>
        <v>21604</v>
      </c>
      <c r="S8" s="119">
        <f t="shared" si="0"/>
        <v>22119</v>
      </c>
      <c r="T8" s="119">
        <f t="shared" si="0"/>
        <v>22006</v>
      </c>
      <c r="U8" s="119">
        <f t="shared" si="0"/>
        <v>22537</v>
      </c>
      <c r="V8" s="119">
        <f t="shared" si="0"/>
        <v>21490</v>
      </c>
      <c r="W8" s="120">
        <f t="shared" si="0"/>
        <v>19153</v>
      </c>
      <c r="X8" s="119">
        <f>C8+J8+Q8</f>
        <v>43193</v>
      </c>
      <c r="Y8" s="119">
        <f>D8+K8+R8</f>
        <v>44452</v>
      </c>
      <c r="Z8" s="119">
        <f>E8+L8+S8</f>
        <v>44361</v>
      </c>
      <c r="AA8" s="119">
        <f>F8+M8+T8</f>
        <v>46359</v>
      </c>
      <c r="AB8" s="119"/>
      <c r="AC8" s="119">
        <f>G8+N8+U8</f>
        <v>42438</v>
      </c>
      <c r="AD8" s="119">
        <f>H8+O8+V8</f>
        <v>37245</v>
      </c>
      <c r="AE8" s="120">
        <f>I8+P8+W8</f>
        <v>34004</v>
      </c>
      <c r="AF8" s="203" t="s">
        <v>71</v>
      </c>
      <c r="AG8" s="806">
        <f>AE8/AD8*100-100</f>
        <v>-8.701839173043354</v>
      </c>
    </row>
    <row r="9" spans="1:33" ht="12.75" customHeight="1">
      <c r="A9" s="11"/>
      <c r="B9" s="112" t="s">
        <v>131</v>
      </c>
      <c r="C9" s="121"/>
      <c r="D9" s="122"/>
      <c r="E9" s="122"/>
      <c r="F9" s="122"/>
      <c r="G9" s="122"/>
      <c r="H9" s="122"/>
      <c r="I9" s="123"/>
      <c r="J9" s="122"/>
      <c r="K9" s="122"/>
      <c r="L9" s="122"/>
      <c r="M9" s="122"/>
      <c r="N9" s="122"/>
      <c r="O9" s="122"/>
      <c r="P9" s="123"/>
      <c r="Q9" s="121"/>
      <c r="R9" s="122"/>
      <c r="S9" s="122"/>
      <c r="T9" s="122"/>
      <c r="U9" s="122"/>
      <c r="V9" s="122"/>
      <c r="W9" s="123"/>
      <c r="X9" s="122"/>
      <c r="Y9" s="122"/>
      <c r="Z9" s="122"/>
      <c r="AA9" s="122"/>
      <c r="AB9" s="122"/>
      <c r="AC9" s="122">
        <f>SUM(AC11+AC12+AC15+AC21+AC22+AC23+AC25+AC26+AC29+AC31+AC32+AC33)</f>
        <v>10480</v>
      </c>
      <c r="AD9" s="122"/>
      <c r="AE9" s="123"/>
      <c r="AF9" s="204" t="s">
        <v>131</v>
      </c>
      <c r="AG9" s="810"/>
    </row>
    <row r="10" spans="1:33" ht="12.75" customHeight="1">
      <c r="A10" s="11"/>
      <c r="B10" s="13" t="s">
        <v>72</v>
      </c>
      <c r="C10" s="69">
        <v>294</v>
      </c>
      <c r="D10" s="70">
        <v>346</v>
      </c>
      <c r="E10" s="330">
        <v>237</v>
      </c>
      <c r="F10" s="330">
        <v>17</v>
      </c>
      <c r="G10" s="330">
        <v>31</v>
      </c>
      <c r="H10" s="527">
        <v>23</v>
      </c>
      <c r="I10" s="77">
        <v>3</v>
      </c>
      <c r="J10" s="330">
        <v>245</v>
      </c>
      <c r="K10" s="330">
        <v>243</v>
      </c>
      <c r="L10" s="330">
        <v>280</v>
      </c>
      <c r="M10" s="330">
        <v>279</v>
      </c>
      <c r="N10" s="330">
        <v>369</v>
      </c>
      <c r="O10" s="527">
        <v>272</v>
      </c>
      <c r="P10" s="457">
        <v>257</v>
      </c>
      <c r="Q10" s="534">
        <v>637</v>
      </c>
      <c r="R10" s="527">
        <v>594</v>
      </c>
      <c r="S10" s="527">
        <v>627</v>
      </c>
      <c r="T10" s="527">
        <v>799</v>
      </c>
      <c r="U10" s="527">
        <v>806</v>
      </c>
      <c r="V10" s="527">
        <v>684</v>
      </c>
      <c r="W10" s="457">
        <v>755</v>
      </c>
      <c r="X10" s="527">
        <f>C10+J10+Q10</f>
        <v>1176</v>
      </c>
      <c r="Y10" s="527">
        <f>D10+K10+R10</f>
        <v>1183</v>
      </c>
      <c r="Z10" s="527">
        <f>E10+L10+S10</f>
        <v>1144</v>
      </c>
      <c r="AA10" s="527">
        <f>F10+M10+T10</f>
        <v>1095</v>
      </c>
      <c r="AB10" s="527"/>
      <c r="AC10" s="527">
        <f>G10+N10+U10</f>
        <v>1206</v>
      </c>
      <c r="AD10" s="527">
        <f>H10+O10+V10</f>
        <v>979</v>
      </c>
      <c r="AE10" s="457">
        <f>I10+P10+W10</f>
        <v>1015</v>
      </c>
      <c r="AF10" s="206" t="s">
        <v>72</v>
      </c>
      <c r="AG10" s="807">
        <f>AE10/AD10*100-100</f>
        <v>3.677221654749758</v>
      </c>
    </row>
    <row r="11" spans="1:33" ht="12.75" customHeight="1">
      <c r="A11" s="11"/>
      <c r="B11" s="110" t="s">
        <v>54</v>
      </c>
      <c r="C11" s="126"/>
      <c r="D11" s="127"/>
      <c r="E11" s="331"/>
      <c r="F11" s="331"/>
      <c r="G11" s="331"/>
      <c r="H11" s="331"/>
      <c r="I11" s="146"/>
      <c r="J11" s="331"/>
      <c r="K11" s="331"/>
      <c r="L11" s="331"/>
      <c r="M11" s="331"/>
      <c r="N11" s="331"/>
      <c r="O11" s="331"/>
      <c r="P11" s="146"/>
      <c r="Q11" s="529"/>
      <c r="R11" s="331"/>
      <c r="S11" s="331"/>
      <c r="T11" s="331"/>
      <c r="U11" s="331"/>
      <c r="V11" s="331"/>
      <c r="W11" s="146"/>
      <c r="X11" s="331"/>
      <c r="Y11" s="331"/>
      <c r="Z11" s="331"/>
      <c r="AA11" s="331"/>
      <c r="AB11" s="331"/>
      <c r="AC11" s="331"/>
      <c r="AD11" s="331"/>
      <c r="AE11" s="146"/>
      <c r="AF11" s="203" t="s">
        <v>54</v>
      </c>
      <c r="AG11" s="806"/>
    </row>
    <row r="12" spans="1:33" ht="12.75" customHeight="1">
      <c r="A12" s="11"/>
      <c r="B12" s="13" t="s">
        <v>56</v>
      </c>
      <c r="C12" s="69">
        <v>71</v>
      </c>
      <c r="D12" s="70">
        <v>39</v>
      </c>
      <c r="E12" s="330"/>
      <c r="F12" s="330"/>
      <c r="G12" s="330">
        <v>1</v>
      </c>
      <c r="H12" s="330">
        <v>0</v>
      </c>
      <c r="I12" s="77">
        <v>0</v>
      </c>
      <c r="J12" s="330">
        <v>229</v>
      </c>
      <c r="K12" s="330">
        <v>207</v>
      </c>
      <c r="L12" s="330">
        <v>286</v>
      </c>
      <c r="M12" s="330">
        <v>355</v>
      </c>
      <c r="N12" s="330">
        <v>335</v>
      </c>
      <c r="O12" s="330">
        <v>335</v>
      </c>
      <c r="P12" s="77">
        <v>140</v>
      </c>
      <c r="Q12" s="528">
        <v>624</v>
      </c>
      <c r="R12" s="330">
        <v>630</v>
      </c>
      <c r="S12" s="330">
        <v>680</v>
      </c>
      <c r="T12" s="330">
        <v>614</v>
      </c>
      <c r="U12" s="330">
        <v>888</v>
      </c>
      <c r="V12" s="330">
        <v>611</v>
      </c>
      <c r="W12" s="77">
        <v>525</v>
      </c>
      <c r="X12" s="330">
        <f aca="true" t="shared" si="1" ref="X12:AA20">C12+J12+Q12</f>
        <v>924</v>
      </c>
      <c r="Y12" s="330">
        <f t="shared" si="1"/>
        <v>876</v>
      </c>
      <c r="Z12" s="330">
        <f t="shared" si="1"/>
        <v>966</v>
      </c>
      <c r="AA12" s="330">
        <f t="shared" si="1"/>
        <v>969</v>
      </c>
      <c r="AB12" s="330"/>
      <c r="AC12" s="330">
        <f aca="true" t="shared" si="2" ref="AC12:AE20">G12+N12+U12</f>
        <v>1224</v>
      </c>
      <c r="AD12" s="330">
        <f t="shared" si="2"/>
        <v>946</v>
      </c>
      <c r="AE12" s="77">
        <f t="shared" si="2"/>
        <v>665</v>
      </c>
      <c r="AF12" s="206" t="s">
        <v>56</v>
      </c>
      <c r="AG12" s="807">
        <f aca="true" t="shared" si="3" ref="AG12:AG39">AE12/AD12*100-100</f>
        <v>-29.704016913319236</v>
      </c>
    </row>
    <row r="13" spans="1:33" ht="12.75" customHeight="1">
      <c r="A13" s="11"/>
      <c r="B13" s="110" t="s">
        <v>67</v>
      </c>
      <c r="C13" s="126">
        <v>1343</v>
      </c>
      <c r="D13" s="127">
        <v>2022</v>
      </c>
      <c r="E13" s="331">
        <v>2704</v>
      </c>
      <c r="F13" s="331">
        <v>3459</v>
      </c>
      <c r="G13" s="331">
        <v>537</v>
      </c>
      <c r="H13" s="331">
        <v>348</v>
      </c>
      <c r="I13" s="146">
        <v>375</v>
      </c>
      <c r="J13" s="331">
        <v>95</v>
      </c>
      <c r="K13" s="331">
        <v>154</v>
      </c>
      <c r="L13" s="331">
        <v>94</v>
      </c>
      <c r="M13" s="331">
        <v>158</v>
      </c>
      <c r="N13" s="331">
        <v>225</v>
      </c>
      <c r="O13" s="331">
        <v>300</v>
      </c>
      <c r="P13" s="146">
        <v>254</v>
      </c>
      <c r="Q13" s="529">
        <v>319</v>
      </c>
      <c r="R13" s="331">
        <v>267</v>
      </c>
      <c r="S13" s="331">
        <v>390</v>
      </c>
      <c r="T13" s="331">
        <v>295</v>
      </c>
      <c r="U13" s="331">
        <v>429</v>
      </c>
      <c r="V13" s="331">
        <v>464</v>
      </c>
      <c r="W13" s="146">
        <v>375</v>
      </c>
      <c r="X13" s="331">
        <f t="shared" si="1"/>
        <v>1757</v>
      </c>
      <c r="Y13" s="331">
        <f t="shared" si="1"/>
        <v>2443</v>
      </c>
      <c r="Z13" s="331">
        <f t="shared" si="1"/>
        <v>3188</v>
      </c>
      <c r="AA13" s="331">
        <f t="shared" si="1"/>
        <v>3912</v>
      </c>
      <c r="AB13" s="331"/>
      <c r="AC13" s="331">
        <f t="shared" si="2"/>
        <v>1191</v>
      </c>
      <c r="AD13" s="331">
        <f t="shared" si="2"/>
        <v>1112</v>
      </c>
      <c r="AE13" s="146">
        <f t="shared" si="2"/>
        <v>1004</v>
      </c>
      <c r="AF13" s="203" t="s">
        <v>67</v>
      </c>
      <c r="AG13" s="806">
        <f t="shared" si="3"/>
        <v>-9.712230215827333</v>
      </c>
    </row>
    <row r="14" spans="1:33" ht="12.75" customHeight="1">
      <c r="A14" s="11"/>
      <c r="B14" s="13" t="s">
        <v>73</v>
      </c>
      <c r="C14" s="69">
        <v>78</v>
      </c>
      <c r="D14" s="70">
        <v>98</v>
      </c>
      <c r="E14" s="330">
        <v>35</v>
      </c>
      <c r="F14" s="330">
        <v>30</v>
      </c>
      <c r="G14" s="330">
        <v>28</v>
      </c>
      <c r="H14" s="330">
        <v>12</v>
      </c>
      <c r="I14" s="77">
        <v>4</v>
      </c>
      <c r="J14" s="330">
        <v>997</v>
      </c>
      <c r="K14" s="330">
        <v>907</v>
      </c>
      <c r="L14" s="330">
        <v>966</v>
      </c>
      <c r="M14" s="330">
        <v>907</v>
      </c>
      <c r="N14" s="330">
        <v>1226</v>
      </c>
      <c r="O14" s="330">
        <v>987</v>
      </c>
      <c r="P14" s="77">
        <v>928</v>
      </c>
      <c r="Q14" s="528">
        <v>4322</v>
      </c>
      <c r="R14" s="330">
        <v>4421</v>
      </c>
      <c r="S14" s="330">
        <v>4709</v>
      </c>
      <c r="T14" s="330">
        <v>4534</v>
      </c>
      <c r="U14" s="330">
        <v>4631</v>
      </c>
      <c r="V14" s="330">
        <v>4613</v>
      </c>
      <c r="W14" s="77">
        <v>4287</v>
      </c>
      <c r="X14" s="330">
        <f t="shared" si="1"/>
        <v>5397</v>
      </c>
      <c r="Y14" s="330">
        <f t="shared" si="1"/>
        <v>5426</v>
      </c>
      <c r="Z14" s="330">
        <f t="shared" si="1"/>
        <v>5710</v>
      </c>
      <c r="AA14" s="330">
        <f t="shared" si="1"/>
        <v>5471</v>
      </c>
      <c r="AB14" s="330"/>
      <c r="AC14" s="330">
        <f t="shared" si="2"/>
        <v>5885</v>
      </c>
      <c r="AD14" s="330">
        <f t="shared" si="2"/>
        <v>5612</v>
      </c>
      <c r="AE14" s="77">
        <f t="shared" si="2"/>
        <v>5219</v>
      </c>
      <c r="AF14" s="206" t="s">
        <v>73</v>
      </c>
      <c r="AG14" s="807">
        <f t="shared" si="3"/>
        <v>-7.0028510334996525</v>
      </c>
    </row>
    <row r="15" spans="1:33" ht="12.75" customHeight="1">
      <c r="A15" s="11"/>
      <c r="B15" s="110" t="s">
        <v>57</v>
      </c>
      <c r="C15" s="126">
        <v>14</v>
      </c>
      <c r="D15" s="127">
        <v>26</v>
      </c>
      <c r="E15" s="331">
        <v>21</v>
      </c>
      <c r="F15" s="331">
        <v>36</v>
      </c>
      <c r="G15" s="331">
        <v>26</v>
      </c>
      <c r="H15" s="331">
        <v>1</v>
      </c>
      <c r="I15" s="146">
        <v>0</v>
      </c>
      <c r="J15" s="331">
        <v>42</v>
      </c>
      <c r="K15" s="331">
        <v>53</v>
      </c>
      <c r="L15" s="331">
        <v>103</v>
      </c>
      <c r="M15" s="331">
        <v>103</v>
      </c>
      <c r="N15" s="331">
        <v>96</v>
      </c>
      <c r="O15" s="331">
        <v>85</v>
      </c>
      <c r="P15" s="146">
        <v>120</v>
      </c>
      <c r="Q15" s="529">
        <v>1</v>
      </c>
      <c r="R15" s="331">
        <v>17</v>
      </c>
      <c r="S15" s="331">
        <v>37</v>
      </c>
      <c r="T15" s="331">
        <v>101</v>
      </c>
      <c r="U15" s="331">
        <v>22</v>
      </c>
      <c r="V15" s="331">
        <v>26</v>
      </c>
      <c r="W15" s="146">
        <v>48</v>
      </c>
      <c r="X15" s="331">
        <f t="shared" si="1"/>
        <v>57</v>
      </c>
      <c r="Y15" s="331">
        <f t="shared" si="1"/>
        <v>96</v>
      </c>
      <c r="Z15" s="331">
        <f t="shared" si="1"/>
        <v>161</v>
      </c>
      <c r="AA15" s="331">
        <f t="shared" si="1"/>
        <v>240</v>
      </c>
      <c r="AB15" s="331"/>
      <c r="AC15" s="331">
        <f t="shared" si="2"/>
        <v>144</v>
      </c>
      <c r="AD15" s="331">
        <f t="shared" si="2"/>
        <v>112</v>
      </c>
      <c r="AE15" s="146">
        <f t="shared" si="2"/>
        <v>168</v>
      </c>
      <c r="AF15" s="203" t="s">
        <v>57</v>
      </c>
      <c r="AG15" s="806">
        <f t="shared" si="3"/>
        <v>50</v>
      </c>
    </row>
    <row r="16" spans="1:33" ht="12.75" customHeight="1">
      <c r="A16" s="11"/>
      <c r="B16" s="13" t="s">
        <v>76</v>
      </c>
      <c r="C16" s="69">
        <v>475</v>
      </c>
      <c r="D16" s="70">
        <v>554</v>
      </c>
      <c r="E16" s="330">
        <v>485</v>
      </c>
      <c r="F16" s="330">
        <v>658</v>
      </c>
      <c r="G16" s="330">
        <v>600</v>
      </c>
      <c r="H16" s="330">
        <v>130</v>
      </c>
      <c r="I16" s="77">
        <v>88</v>
      </c>
      <c r="J16" s="330">
        <v>70</v>
      </c>
      <c r="K16" s="330">
        <v>106</v>
      </c>
      <c r="L16" s="330">
        <v>136</v>
      </c>
      <c r="M16" s="330">
        <v>94</v>
      </c>
      <c r="N16" s="330">
        <v>116</v>
      </c>
      <c r="O16" s="330">
        <v>107</v>
      </c>
      <c r="P16" s="77">
        <v>48</v>
      </c>
      <c r="Q16" s="528">
        <v>284</v>
      </c>
      <c r="R16" s="330">
        <v>205</v>
      </c>
      <c r="S16" s="330">
        <v>327</v>
      </c>
      <c r="T16" s="330">
        <v>311</v>
      </c>
      <c r="U16" s="330">
        <v>436</v>
      </c>
      <c r="V16" s="330">
        <v>130</v>
      </c>
      <c r="W16" s="77">
        <v>36</v>
      </c>
      <c r="X16" s="330">
        <f t="shared" si="1"/>
        <v>829</v>
      </c>
      <c r="Y16" s="330">
        <f t="shared" si="1"/>
        <v>865</v>
      </c>
      <c r="Z16" s="330">
        <f t="shared" si="1"/>
        <v>948</v>
      </c>
      <c r="AA16" s="330">
        <f t="shared" si="1"/>
        <v>1063</v>
      </c>
      <c r="AB16" s="330"/>
      <c r="AC16" s="330">
        <f t="shared" si="2"/>
        <v>1152</v>
      </c>
      <c r="AD16" s="330">
        <f t="shared" si="2"/>
        <v>367</v>
      </c>
      <c r="AE16" s="77">
        <f t="shared" si="2"/>
        <v>172</v>
      </c>
      <c r="AF16" s="206" t="s">
        <v>76</v>
      </c>
      <c r="AG16" s="807">
        <f t="shared" si="3"/>
        <v>-53.13351498637602</v>
      </c>
    </row>
    <row r="17" spans="1:33" ht="12.75" customHeight="1">
      <c r="A17" s="11"/>
      <c r="B17" s="110" t="s">
        <v>68</v>
      </c>
      <c r="C17" s="126">
        <v>85</v>
      </c>
      <c r="D17" s="127">
        <v>45</v>
      </c>
      <c r="E17" s="331">
        <v>44</v>
      </c>
      <c r="F17" s="331">
        <v>50</v>
      </c>
      <c r="G17" s="331">
        <v>61</v>
      </c>
      <c r="H17" s="331">
        <v>57</v>
      </c>
      <c r="I17" s="146">
        <v>38</v>
      </c>
      <c r="J17" s="331">
        <v>101</v>
      </c>
      <c r="K17" s="331">
        <v>91</v>
      </c>
      <c r="L17" s="331">
        <v>122</v>
      </c>
      <c r="M17" s="331">
        <v>132</v>
      </c>
      <c r="N17" s="331">
        <v>162</v>
      </c>
      <c r="O17" s="331">
        <v>318</v>
      </c>
      <c r="P17" s="146">
        <v>80</v>
      </c>
      <c r="Q17" s="529">
        <v>1323</v>
      </c>
      <c r="R17" s="331">
        <v>524</v>
      </c>
      <c r="S17" s="331">
        <v>308</v>
      </c>
      <c r="T17" s="331">
        <v>444</v>
      </c>
      <c r="U17" s="331">
        <v>352</v>
      </c>
      <c r="V17" s="331">
        <v>637</v>
      </c>
      <c r="W17" s="146">
        <v>285</v>
      </c>
      <c r="X17" s="331">
        <f t="shared" si="1"/>
        <v>1509</v>
      </c>
      <c r="Y17" s="331">
        <f t="shared" si="1"/>
        <v>660</v>
      </c>
      <c r="Z17" s="331">
        <f t="shared" si="1"/>
        <v>474</v>
      </c>
      <c r="AA17" s="331">
        <f t="shared" si="1"/>
        <v>626</v>
      </c>
      <c r="AB17" s="331"/>
      <c r="AC17" s="331">
        <f t="shared" si="2"/>
        <v>575</v>
      </c>
      <c r="AD17" s="331">
        <f t="shared" si="2"/>
        <v>1012</v>
      </c>
      <c r="AE17" s="146">
        <f t="shared" si="2"/>
        <v>403</v>
      </c>
      <c r="AF17" s="203" t="s">
        <v>68</v>
      </c>
      <c r="AG17" s="806">
        <f t="shared" si="3"/>
        <v>-60.177865612648226</v>
      </c>
    </row>
    <row r="18" spans="1:33" ht="12.75" customHeight="1">
      <c r="A18" s="11"/>
      <c r="B18" s="13" t="s">
        <v>74</v>
      </c>
      <c r="C18" s="69"/>
      <c r="D18" s="70"/>
      <c r="E18" s="330"/>
      <c r="F18" s="330"/>
      <c r="G18" s="330"/>
      <c r="H18" s="330"/>
      <c r="I18" s="77"/>
      <c r="J18" s="330">
        <v>716</v>
      </c>
      <c r="K18" s="330">
        <v>1069</v>
      </c>
      <c r="L18" s="330">
        <v>867</v>
      </c>
      <c r="M18" s="330">
        <v>861</v>
      </c>
      <c r="N18" s="330">
        <v>1172</v>
      </c>
      <c r="O18" s="330">
        <v>849</v>
      </c>
      <c r="P18" s="77">
        <v>723</v>
      </c>
      <c r="Q18" s="528">
        <v>2645</v>
      </c>
      <c r="R18" s="330">
        <v>2781</v>
      </c>
      <c r="S18" s="330">
        <v>2765</v>
      </c>
      <c r="T18" s="330">
        <v>2942</v>
      </c>
      <c r="U18" s="330">
        <v>2299</v>
      </c>
      <c r="V18" s="330">
        <v>1795</v>
      </c>
      <c r="W18" s="77">
        <v>1687</v>
      </c>
      <c r="X18" s="330">
        <f t="shared" si="1"/>
        <v>3361</v>
      </c>
      <c r="Y18" s="330">
        <f t="shared" si="1"/>
        <v>3850</v>
      </c>
      <c r="Z18" s="330">
        <f t="shared" si="1"/>
        <v>3632</v>
      </c>
      <c r="AA18" s="330">
        <f t="shared" si="1"/>
        <v>3803</v>
      </c>
      <c r="AB18" s="330"/>
      <c r="AC18" s="330">
        <f t="shared" si="2"/>
        <v>3471</v>
      </c>
      <c r="AD18" s="330">
        <f t="shared" si="2"/>
        <v>2644</v>
      </c>
      <c r="AE18" s="77">
        <f t="shared" si="2"/>
        <v>2410</v>
      </c>
      <c r="AF18" s="206" t="s">
        <v>74</v>
      </c>
      <c r="AG18" s="807">
        <f t="shared" si="3"/>
        <v>-8.850226928895609</v>
      </c>
    </row>
    <row r="19" spans="1:33" ht="12.75" customHeight="1">
      <c r="A19" s="11"/>
      <c r="B19" s="110" t="s">
        <v>75</v>
      </c>
      <c r="C19" s="126">
        <v>107</v>
      </c>
      <c r="D19" s="127">
        <v>75</v>
      </c>
      <c r="E19" s="331">
        <v>79</v>
      </c>
      <c r="F19" s="331">
        <v>39</v>
      </c>
      <c r="G19" s="331">
        <v>9</v>
      </c>
      <c r="H19" s="331">
        <v>2</v>
      </c>
      <c r="I19" s="146">
        <v>1</v>
      </c>
      <c r="J19" s="331">
        <v>1082</v>
      </c>
      <c r="K19" s="331">
        <v>1214</v>
      </c>
      <c r="L19" s="331">
        <v>1221</v>
      </c>
      <c r="M19" s="331">
        <v>1335</v>
      </c>
      <c r="N19" s="331">
        <v>1689</v>
      </c>
      <c r="O19" s="331">
        <v>1659</v>
      </c>
      <c r="P19" s="146">
        <v>1240</v>
      </c>
      <c r="Q19" s="529">
        <v>3670</v>
      </c>
      <c r="R19" s="331">
        <v>4153</v>
      </c>
      <c r="S19" s="331">
        <v>4550</v>
      </c>
      <c r="T19" s="331">
        <v>4797</v>
      </c>
      <c r="U19" s="331">
        <v>4926</v>
      </c>
      <c r="V19" s="331">
        <v>5773</v>
      </c>
      <c r="W19" s="146">
        <v>4666</v>
      </c>
      <c r="X19" s="331">
        <f t="shared" si="1"/>
        <v>4859</v>
      </c>
      <c r="Y19" s="331">
        <f t="shared" si="1"/>
        <v>5442</v>
      </c>
      <c r="Z19" s="331">
        <f t="shared" si="1"/>
        <v>5850</v>
      </c>
      <c r="AA19" s="331">
        <f t="shared" si="1"/>
        <v>6171</v>
      </c>
      <c r="AB19" s="331"/>
      <c r="AC19" s="331">
        <f t="shared" si="2"/>
        <v>6624</v>
      </c>
      <c r="AD19" s="331">
        <f t="shared" si="2"/>
        <v>7434</v>
      </c>
      <c r="AE19" s="146">
        <f t="shared" si="2"/>
        <v>5907</v>
      </c>
      <c r="AF19" s="203" t="s">
        <v>75</v>
      </c>
      <c r="AG19" s="806">
        <f t="shared" si="3"/>
        <v>-20.5407586763519</v>
      </c>
    </row>
    <row r="20" spans="1:33" ht="12.75" customHeight="1">
      <c r="A20" s="11"/>
      <c r="B20" s="13" t="s">
        <v>77</v>
      </c>
      <c r="C20" s="69">
        <v>40</v>
      </c>
      <c r="D20" s="70">
        <v>32</v>
      </c>
      <c r="E20" s="330">
        <v>52</v>
      </c>
      <c r="F20" s="330">
        <v>79</v>
      </c>
      <c r="G20" s="330">
        <v>41</v>
      </c>
      <c r="H20" s="330">
        <v>26</v>
      </c>
      <c r="I20" s="77">
        <v>31</v>
      </c>
      <c r="J20" s="330">
        <v>1586</v>
      </c>
      <c r="K20" s="330">
        <v>1699</v>
      </c>
      <c r="L20" s="330">
        <v>1974</v>
      </c>
      <c r="M20" s="330">
        <v>1624</v>
      </c>
      <c r="N20" s="330">
        <v>1932</v>
      </c>
      <c r="O20" s="330">
        <v>1770</v>
      </c>
      <c r="P20" s="77">
        <v>1829</v>
      </c>
      <c r="Q20" s="528">
        <v>3237</v>
      </c>
      <c r="R20" s="330">
        <v>3311</v>
      </c>
      <c r="S20" s="330">
        <v>2796</v>
      </c>
      <c r="T20" s="330">
        <v>2770</v>
      </c>
      <c r="U20" s="330">
        <v>2770</v>
      </c>
      <c r="V20" s="330">
        <v>1473</v>
      </c>
      <c r="W20" s="77">
        <v>2442</v>
      </c>
      <c r="X20" s="330">
        <f t="shared" si="1"/>
        <v>4863</v>
      </c>
      <c r="Y20" s="330">
        <f t="shared" si="1"/>
        <v>5042</v>
      </c>
      <c r="Z20" s="330">
        <f t="shared" si="1"/>
        <v>4822</v>
      </c>
      <c r="AA20" s="330">
        <f t="shared" si="1"/>
        <v>4473</v>
      </c>
      <c r="AB20" s="330"/>
      <c r="AC20" s="330">
        <f t="shared" si="2"/>
        <v>4743</v>
      </c>
      <c r="AD20" s="330">
        <f t="shared" si="2"/>
        <v>3269</v>
      </c>
      <c r="AE20" s="77">
        <f t="shared" si="2"/>
        <v>4302</v>
      </c>
      <c r="AF20" s="206" t="s">
        <v>77</v>
      </c>
      <c r="AG20" s="807">
        <f t="shared" si="3"/>
        <v>31.599877638421532</v>
      </c>
    </row>
    <row r="21" spans="1:33" ht="12.75" customHeight="1">
      <c r="A21" s="11"/>
      <c r="B21" s="110" t="s">
        <v>55</v>
      </c>
      <c r="C21" s="126">
        <v>59</v>
      </c>
      <c r="D21" s="127">
        <v>66</v>
      </c>
      <c r="E21" s="331">
        <v>47</v>
      </c>
      <c r="F21" s="331">
        <v>61</v>
      </c>
      <c r="G21" s="331">
        <v>64</v>
      </c>
      <c r="H21" s="331">
        <v>41</v>
      </c>
      <c r="I21" s="146">
        <v>248</v>
      </c>
      <c r="J21" s="537" t="s">
        <v>91</v>
      </c>
      <c r="K21" s="537" t="s">
        <v>91</v>
      </c>
      <c r="L21" s="537" t="s">
        <v>91</v>
      </c>
      <c r="M21" s="537" t="s">
        <v>91</v>
      </c>
      <c r="N21" s="537" t="s">
        <v>91</v>
      </c>
      <c r="O21" s="537" t="s">
        <v>91</v>
      </c>
      <c r="P21" s="538"/>
      <c r="Q21" s="812" t="s">
        <v>91</v>
      </c>
      <c r="R21" s="537" t="s">
        <v>91</v>
      </c>
      <c r="S21" s="537" t="s">
        <v>91</v>
      </c>
      <c r="T21" s="537" t="s">
        <v>91</v>
      </c>
      <c r="U21" s="537" t="s">
        <v>91</v>
      </c>
      <c r="V21" s="537" t="s">
        <v>91</v>
      </c>
      <c r="W21" s="538" t="s">
        <v>91</v>
      </c>
      <c r="X21" s="331">
        <f>C21+J21+Q21</f>
        <v>57</v>
      </c>
      <c r="Y21" s="331">
        <f>D21</f>
        <v>66</v>
      </c>
      <c r="Z21" s="331">
        <f>E21</f>
        <v>47</v>
      </c>
      <c r="AA21" s="331">
        <f>F21</f>
        <v>61</v>
      </c>
      <c r="AB21" s="331"/>
      <c r="AC21" s="537">
        <f>G21</f>
        <v>64</v>
      </c>
      <c r="AD21" s="537">
        <v>41</v>
      </c>
      <c r="AE21" s="538">
        <v>248</v>
      </c>
      <c r="AF21" s="203" t="s">
        <v>55</v>
      </c>
      <c r="AG21" s="806">
        <f t="shared" si="3"/>
        <v>504.8780487804878</v>
      </c>
    </row>
    <row r="22" spans="1:33" ht="12.75" customHeight="1">
      <c r="A22" s="11"/>
      <c r="B22" s="13" t="s">
        <v>59</v>
      </c>
      <c r="C22" s="69">
        <v>2</v>
      </c>
      <c r="D22" s="70">
        <v>13</v>
      </c>
      <c r="E22" s="330">
        <v>116</v>
      </c>
      <c r="F22" s="330">
        <v>154</v>
      </c>
      <c r="G22" s="330">
        <v>26</v>
      </c>
      <c r="H22" s="330">
        <v>5</v>
      </c>
      <c r="I22" s="77">
        <v>0</v>
      </c>
      <c r="J22" s="330">
        <v>151</v>
      </c>
      <c r="K22" s="330">
        <v>127</v>
      </c>
      <c r="L22" s="330">
        <v>38</v>
      </c>
      <c r="M22" s="330">
        <v>29</v>
      </c>
      <c r="N22" s="330">
        <v>140</v>
      </c>
      <c r="O22" s="330">
        <v>30</v>
      </c>
      <c r="P22" s="77">
        <v>82</v>
      </c>
      <c r="Q22" s="528">
        <v>89</v>
      </c>
      <c r="R22" s="330">
        <v>24</v>
      </c>
      <c r="S22" s="330">
        <v>52</v>
      </c>
      <c r="T22" s="330">
        <v>17</v>
      </c>
      <c r="U22" s="330">
        <v>57</v>
      </c>
      <c r="V22" s="330">
        <v>22</v>
      </c>
      <c r="W22" s="77">
        <v>47</v>
      </c>
      <c r="X22" s="330">
        <f aca="true" t="shared" si="4" ref="X22:AA39">C22+J22+Q22</f>
        <v>242</v>
      </c>
      <c r="Y22" s="330">
        <f t="shared" si="4"/>
        <v>164</v>
      </c>
      <c r="Z22" s="330">
        <f t="shared" si="4"/>
        <v>206</v>
      </c>
      <c r="AA22" s="330">
        <f t="shared" si="4"/>
        <v>200</v>
      </c>
      <c r="AB22" s="330"/>
      <c r="AC22" s="330">
        <f aca="true" t="shared" si="5" ref="AC22:AE30">G22+N22+U22</f>
        <v>223</v>
      </c>
      <c r="AD22" s="330">
        <f t="shared" si="5"/>
        <v>57</v>
      </c>
      <c r="AE22" s="77">
        <f t="shared" si="5"/>
        <v>129</v>
      </c>
      <c r="AF22" s="206" t="s">
        <v>59</v>
      </c>
      <c r="AG22" s="807">
        <f t="shared" si="3"/>
        <v>126.31578947368419</v>
      </c>
    </row>
    <row r="23" spans="1:33" ht="12.75" customHeight="1">
      <c r="A23" s="11"/>
      <c r="B23" s="110" t="s">
        <v>60</v>
      </c>
      <c r="C23" s="126">
        <v>219</v>
      </c>
      <c r="D23" s="127">
        <v>334</v>
      </c>
      <c r="E23" s="331">
        <v>189</v>
      </c>
      <c r="F23" s="331">
        <v>61</v>
      </c>
      <c r="G23" s="331">
        <v>95</v>
      </c>
      <c r="H23" s="331">
        <v>21</v>
      </c>
      <c r="I23" s="146">
        <v>4</v>
      </c>
      <c r="J23" s="331">
        <v>53</v>
      </c>
      <c r="K23" s="331">
        <v>18</v>
      </c>
      <c r="L23" s="331">
        <v>30</v>
      </c>
      <c r="M23" s="331">
        <v>141</v>
      </c>
      <c r="N23" s="331">
        <v>95</v>
      </c>
      <c r="O23" s="331">
        <v>91</v>
      </c>
      <c r="P23" s="146">
        <v>86</v>
      </c>
      <c r="Q23" s="529">
        <v>67</v>
      </c>
      <c r="R23" s="331">
        <v>80</v>
      </c>
      <c r="S23" s="331">
        <v>60</v>
      </c>
      <c r="T23" s="331">
        <v>25</v>
      </c>
      <c r="U23" s="331">
        <v>4</v>
      </c>
      <c r="V23" s="331">
        <v>1</v>
      </c>
      <c r="W23" s="146">
        <v>4</v>
      </c>
      <c r="X23" s="331">
        <f t="shared" si="4"/>
        <v>339</v>
      </c>
      <c r="Y23" s="331">
        <f t="shared" si="4"/>
        <v>432</v>
      </c>
      <c r="Z23" s="331">
        <f t="shared" si="4"/>
        <v>279</v>
      </c>
      <c r="AA23" s="331">
        <f t="shared" si="4"/>
        <v>227</v>
      </c>
      <c r="AB23" s="331"/>
      <c r="AC23" s="331">
        <f t="shared" si="5"/>
        <v>194</v>
      </c>
      <c r="AD23" s="331">
        <f t="shared" si="5"/>
        <v>113</v>
      </c>
      <c r="AE23" s="146">
        <f t="shared" si="5"/>
        <v>94</v>
      </c>
      <c r="AF23" s="203" t="s">
        <v>60</v>
      </c>
      <c r="AG23" s="806">
        <f t="shared" si="3"/>
        <v>-16.8141592920354</v>
      </c>
    </row>
    <row r="24" spans="1:33" ht="12.75" customHeight="1">
      <c r="A24" s="11"/>
      <c r="B24" s="13" t="s">
        <v>78</v>
      </c>
      <c r="C24" s="69"/>
      <c r="D24" s="70"/>
      <c r="E24" s="330"/>
      <c r="F24" s="330"/>
      <c r="G24" s="330"/>
      <c r="H24" s="330"/>
      <c r="I24" s="77"/>
      <c r="J24" s="330">
        <v>16</v>
      </c>
      <c r="K24" s="330">
        <v>22</v>
      </c>
      <c r="L24" s="330">
        <v>14</v>
      </c>
      <c r="M24" s="330">
        <v>20</v>
      </c>
      <c r="N24" s="330">
        <v>19</v>
      </c>
      <c r="O24" s="330">
        <v>34</v>
      </c>
      <c r="P24" s="77">
        <v>15</v>
      </c>
      <c r="Q24" s="528">
        <v>110</v>
      </c>
      <c r="R24" s="330">
        <v>136</v>
      </c>
      <c r="S24" s="330">
        <v>154</v>
      </c>
      <c r="T24" s="330">
        <v>156</v>
      </c>
      <c r="U24" s="330">
        <v>206</v>
      </c>
      <c r="V24" s="330">
        <v>175</v>
      </c>
      <c r="W24" s="77">
        <v>159</v>
      </c>
      <c r="X24" s="330">
        <f t="shared" si="4"/>
        <v>126</v>
      </c>
      <c r="Y24" s="330">
        <f t="shared" si="4"/>
        <v>158</v>
      </c>
      <c r="Z24" s="330">
        <f t="shared" si="4"/>
        <v>168</v>
      </c>
      <c r="AA24" s="330">
        <f t="shared" si="4"/>
        <v>176</v>
      </c>
      <c r="AB24" s="330"/>
      <c r="AC24" s="330">
        <f t="shared" si="5"/>
        <v>225</v>
      </c>
      <c r="AD24" s="330">
        <f t="shared" si="5"/>
        <v>209</v>
      </c>
      <c r="AE24" s="77">
        <f t="shared" si="5"/>
        <v>174</v>
      </c>
      <c r="AF24" s="206" t="s">
        <v>78</v>
      </c>
      <c r="AG24" s="807">
        <f t="shared" si="3"/>
        <v>-16.74641148325358</v>
      </c>
    </row>
    <row r="25" spans="1:33" ht="12.75" customHeight="1">
      <c r="A25" s="11"/>
      <c r="B25" s="110" t="s">
        <v>58</v>
      </c>
      <c r="C25" s="126"/>
      <c r="D25" s="127"/>
      <c r="E25" s="331"/>
      <c r="F25" s="331"/>
      <c r="G25" s="331"/>
      <c r="H25" s="331"/>
      <c r="I25" s="146">
        <v>8</v>
      </c>
      <c r="J25" s="331"/>
      <c r="K25" s="331"/>
      <c r="L25" s="331"/>
      <c r="M25" s="331"/>
      <c r="N25" s="331"/>
      <c r="O25" s="331"/>
      <c r="P25" s="146">
        <v>105</v>
      </c>
      <c r="Q25" s="529"/>
      <c r="R25" s="331"/>
      <c r="S25" s="331"/>
      <c r="T25" s="331"/>
      <c r="U25" s="331"/>
      <c r="V25" s="331"/>
      <c r="W25" s="146">
        <v>167</v>
      </c>
      <c r="X25" s="331"/>
      <c r="Y25" s="331">
        <v>600</v>
      </c>
      <c r="Z25" s="331">
        <v>814</v>
      </c>
      <c r="AA25" s="331">
        <v>734</v>
      </c>
      <c r="AB25" s="331"/>
      <c r="AC25" s="331">
        <v>748</v>
      </c>
      <c r="AD25" s="331">
        <v>666</v>
      </c>
      <c r="AE25" s="146">
        <f t="shared" si="5"/>
        <v>280</v>
      </c>
      <c r="AF25" s="203" t="s">
        <v>58</v>
      </c>
      <c r="AG25" s="806">
        <f t="shared" si="3"/>
        <v>-57.95795795795796</v>
      </c>
    </row>
    <row r="26" spans="1:33" ht="12.75" customHeight="1">
      <c r="A26" s="11"/>
      <c r="B26" s="13" t="s">
        <v>61</v>
      </c>
      <c r="C26" s="69">
        <v>21</v>
      </c>
      <c r="D26" s="70">
        <v>23</v>
      </c>
      <c r="E26" s="330">
        <v>10</v>
      </c>
      <c r="F26" s="330">
        <v>13</v>
      </c>
      <c r="G26" s="330">
        <v>21</v>
      </c>
      <c r="H26" s="330">
        <v>26</v>
      </c>
      <c r="I26" s="77">
        <v>15</v>
      </c>
      <c r="J26" s="330">
        <v>0</v>
      </c>
      <c r="K26" s="330">
        <v>0</v>
      </c>
      <c r="L26" s="330">
        <v>0</v>
      </c>
      <c r="M26" s="330">
        <v>0</v>
      </c>
      <c r="N26" s="330">
        <v>0</v>
      </c>
      <c r="O26" s="330">
        <v>0</v>
      </c>
      <c r="P26" s="77">
        <v>0</v>
      </c>
      <c r="Q26" s="528">
        <v>0</v>
      </c>
      <c r="R26" s="330">
        <v>0</v>
      </c>
      <c r="S26" s="330">
        <v>0</v>
      </c>
      <c r="T26" s="330">
        <v>0</v>
      </c>
      <c r="U26" s="330">
        <v>1</v>
      </c>
      <c r="V26" s="330">
        <v>3</v>
      </c>
      <c r="W26" s="77">
        <v>9</v>
      </c>
      <c r="X26" s="330">
        <f t="shared" si="4"/>
        <v>21</v>
      </c>
      <c r="Y26" s="330">
        <f t="shared" si="4"/>
        <v>23</v>
      </c>
      <c r="Z26" s="330">
        <f t="shared" si="4"/>
        <v>10</v>
      </c>
      <c r="AA26" s="330">
        <f t="shared" si="4"/>
        <v>13</v>
      </c>
      <c r="AB26" s="330"/>
      <c r="AC26" s="330">
        <f aca="true" t="shared" si="6" ref="AC26:AE39">G26+N26+U26</f>
        <v>22</v>
      </c>
      <c r="AD26" s="330">
        <f t="shared" si="6"/>
        <v>29</v>
      </c>
      <c r="AE26" s="77">
        <f t="shared" si="5"/>
        <v>24</v>
      </c>
      <c r="AF26" s="206" t="s">
        <v>61</v>
      </c>
      <c r="AG26" s="807">
        <f t="shared" si="3"/>
        <v>-17.241379310344826</v>
      </c>
    </row>
    <row r="27" spans="1:33" ht="12.75" customHeight="1">
      <c r="A27" s="11"/>
      <c r="B27" s="111" t="s">
        <v>69</v>
      </c>
      <c r="C27" s="126">
        <v>7</v>
      </c>
      <c r="D27" s="127">
        <v>1</v>
      </c>
      <c r="E27" s="331">
        <v>4</v>
      </c>
      <c r="F27" s="331"/>
      <c r="G27" s="331"/>
      <c r="H27" s="331"/>
      <c r="I27" s="146"/>
      <c r="J27" s="331">
        <v>242</v>
      </c>
      <c r="K27" s="331">
        <v>531</v>
      </c>
      <c r="L27" s="331">
        <v>47</v>
      </c>
      <c r="M27" s="331">
        <v>459</v>
      </c>
      <c r="N27" s="331">
        <v>487</v>
      </c>
      <c r="O27" s="331">
        <v>110</v>
      </c>
      <c r="P27" s="146">
        <v>260</v>
      </c>
      <c r="Q27" s="529">
        <v>691</v>
      </c>
      <c r="R27" s="331">
        <v>612</v>
      </c>
      <c r="S27" s="331">
        <v>745</v>
      </c>
      <c r="T27" s="331">
        <v>699</v>
      </c>
      <c r="U27" s="331">
        <v>724</v>
      </c>
      <c r="V27" s="331">
        <v>1052</v>
      </c>
      <c r="W27" s="146">
        <v>312</v>
      </c>
      <c r="X27" s="331">
        <f t="shared" si="4"/>
        <v>940</v>
      </c>
      <c r="Y27" s="331">
        <f t="shared" si="4"/>
        <v>1144</v>
      </c>
      <c r="Z27" s="331">
        <f t="shared" si="4"/>
        <v>796</v>
      </c>
      <c r="AA27" s="331">
        <f t="shared" si="4"/>
        <v>1158</v>
      </c>
      <c r="AB27" s="331"/>
      <c r="AC27" s="331">
        <f t="shared" si="6"/>
        <v>1211</v>
      </c>
      <c r="AD27" s="331">
        <f t="shared" si="6"/>
        <v>1162</v>
      </c>
      <c r="AE27" s="146">
        <f t="shared" si="5"/>
        <v>572</v>
      </c>
      <c r="AF27" s="207" t="s">
        <v>69</v>
      </c>
      <c r="AG27" s="808">
        <f t="shared" si="3"/>
        <v>-50.774526678141136</v>
      </c>
    </row>
    <row r="28" spans="1:33" ht="12.75" customHeight="1">
      <c r="A28" s="11"/>
      <c r="B28" s="13" t="s">
        <v>79</v>
      </c>
      <c r="C28" s="69">
        <v>19</v>
      </c>
      <c r="D28" s="70">
        <v>28</v>
      </c>
      <c r="E28" s="330">
        <v>22</v>
      </c>
      <c r="F28" s="330">
        <v>13</v>
      </c>
      <c r="G28" s="330">
        <v>12</v>
      </c>
      <c r="H28" s="330"/>
      <c r="I28" s="77">
        <v>10</v>
      </c>
      <c r="J28" s="330">
        <v>145</v>
      </c>
      <c r="K28" s="330">
        <v>124</v>
      </c>
      <c r="L28" s="330">
        <v>91</v>
      </c>
      <c r="M28" s="330">
        <v>100</v>
      </c>
      <c r="N28" s="330">
        <v>155</v>
      </c>
      <c r="O28" s="330">
        <v>116</v>
      </c>
      <c r="P28" s="77">
        <v>119</v>
      </c>
      <c r="Q28" s="528">
        <v>765</v>
      </c>
      <c r="R28" s="330">
        <v>506</v>
      </c>
      <c r="S28" s="330">
        <v>714</v>
      </c>
      <c r="T28" s="330">
        <v>657</v>
      </c>
      <c r="U28" s="330">
        <v>783</v>
      </c>
      <c r="V28" s="330">
        <v>528</v>
      </c>
      <c r="W28" s="77">
        <v>580</v>
      </c>
      <c r="X28" s="330">
        <f t="shared" si="4"/>
        <v>929</v>
      </c>
      <c r="Y28" s="330">
        <f t="shared" si="4"/>
        <v>658</v>
      </c>
      <c r="Z28" s="330">
        <f t="shared" si="4"/>
        <v>827</v>
      </c>
      <c r="AA28" s="330">
        <f t="shared" si="4"/>
        <v>770</v>
      </c>
      <c r="AB28" s="330"/>
      <c r="AC28" s="330">
        <f t="shared" si="6"/>
        <v>950</v>
      </c>
      <c r="AD28" s="330">
        <f t="shared" si="6"/>
        <v>644</v>
      </c>
      <c r="AE28" s="77">
        <f t="shared" si="5"/>
        <v>709</v>
      </c>
      <c r="AF28" s="206" t="s">
        <v>79</v>
      </c>
      <c r="AG28" s="807">
        <f t="shared" si="3"/>
        <v>10.09316770186335</v>
      </c>
    </row>
    <row r="29" spans="1:33" ht="12.75" customHeight="1">
      <c r="A29" s="11"/>
      <c r="B29" s="110" t="s">
        <v>62</v>
      </c>
      <c r="C29" s="126">
        <v>1841</v>
      </c>
      <c r="D29" s="127">
        <v>1505</v>
      </c>
      <c r="E29" s="331">
        <v>1501</v>
      </c>
      <c r="F29" s="331">
        <v>2352</v>
      </c>
      <c r="G29" s="331">
        <v>2891</v>
      </c>
      <c r="H29" s="331">
        <v>1817</v>
      </c>
      <c r="I29" s="146">
        <v>1877</v>
      </c>
      <c r="J29" s="331"/>
      <c r="K29" s="331"/>
      <c r="L29" s="331"/>
      <c r="M29" s="331">
        <v>0</v>
      </c>
      <c r="N29" s="331">
        <v>0</v>
      </c>
      <c r="O29" s="331">
        <v>2</v>
      </c>
      <c r="P29" s="146">
        <v>21</v>
      </c>
      <c r="Q29" s="529"/>
      <c r="R29" s="331"/>
      <c r="S29" s="331"/>
      <c r="T29" s="331"/>
      <c r="U29" s="331"/>
      <c r="V29" s="331"/>
      <c r="W29" s="146"/>
      <c r="X29" s="331">
        <f t="shared" si="4"/>
        <v>1841</v>
      </c>
      <c r="Y29" s="331">
        <f t="shared" si="4"/>
        <v>1505</v>
      </c>
      <c r="Z29" s="331">
        <f t="shared" si="4"/>
        <v>1501</v>
      </c>
      <c r="AA29" s="331">
        <f t="shared" si="4"/>
        <v>2352</v>
      </c>
      <c r="AB29" s="331"/>
      <c r="AC29" s="331">
        <f t="shared" si="6"/>
        <v>2891</v>
      </c>
      <c r="AD29" s="331">
        <f t="shared" si="6"/>
        <v>1819</v>
      </c>
      <c r="AE29" s="146">
        <f t="shared" si="5"/>
        <v>1898</v>
      </c>
      <c r="AF29" s="203" t="s">
        <v>62</v>
      </c>
      <c r="AG29" s="806">
        <f t="shared" si="3"/>
        <v>4.343045629466744</v>
      </c>
    </row>
    <row r="30" spans="1:33" ht="12.75" customHeight="1">
      <c r="A30" s="11"/>
      <c r="B30" s="13" t="s">
        <v>80</v>
      </c>
      <c r="C30" s="69">
        <v>393</v>
      </c>
      <c r="D30" s="70">
        <v>298</v>
      </c>
      <c r="E30" s="330">
        <v>140</v>
      </c>
      <c r="F30" s="330"/>
      <c r="G30" s="330"/>
      <c r="H30" s="330"/>
      <c r="I30" s="77"/>
      <c r="J30" s="330">
        <v>331</v>
      </c>
      <c r="K30" s="330">
        <v>323</v>
      </c>
      <c r="L30" s="330">
        <v>312</v>
      </c>
      <c r="M30" s="330">
        <v>407</v>
      </c>
      <c r="N30" s="330">
        <v>438</v>
      </c>
      <c r="O30" s="330">
        <v>311</v>
      </c>
      <c r="P30" s="77">
        <v>238</v>
      </c>
      <c r="Q30" s="528">
        <v>310</v>
      </c>
      <c r="R30" s="330">
        <v>405</v>
      </c>
      <c r="S30" s="330">
        <v>267</v>
      </c>
      <c r="T30" s="330">
        <v>320</v>
      </c>
      <c r="U30" s="330">
        <v>358</v>
      </c>
      <c r="V30" s="330">
        <v>318</v>
      </c>
      <c r="W30" s="77">
        <v>254</v>
      </c>
      <c r="X30" s="330">
        <f t="shared" si="4"/>
        <v>1034</v>
      </c>
      <c r="Y30" s="330">
        <f t="shared" si="4"/>
        <v>1026</v>
      </c>
      <c r="Z30" s="330">
        <f t="shared" si="4"/>
        <v>719</v>
      </c>
      <c r="AA30" s="330">
        <f t="shared" si="4"/>
        <v>727</v>
      </c>
      <c r="AB30" s="330"/>
      <c r="AC30" s="330">
        <f t="shared" si="6"/>
        <v>796</v>
      </c>
      <c r="AD30" s="330">
        <f t="shared" si="6"/>
        <v>629</v>
      </c>
      <c r="AE30" s="77">
        <f t="shared" si="5"/>
        <v>492</v>
      </c>
      <c r="AF30" s="206" t="s">
        <v>80</v>
      </c>
      <c r="AG30" s="807">
        <f t="shared" si="3"/>
        <v>-21.78060413354531</v>
      </c>
    </row>
    <row r="31" spans="1:33" ht="12.75" customHeight="1">
      <c r="A31" s="11"/>
      <c r="B31" s="110" t="s">
        <v>63</v>
      </c>
      <c r="C31" s="126"/>
      <c r="D31" s="127"/>
      <c r="E31" s="331">
        <v>1161</v>
      </c>
      <c r="F31" s="331">
        <v>1790</v>
      </c>
      <c r="G31" s="331">
        <v>2686</v>
      </c>
      <c r="H31" s="331">
        <v>877</v>
      </c>
      <c r="I31" s="146">
        <v>717</v>
      </c>
      <c r="J31" s="331"/>
      <c r="K31" s="331"/>
      <c r="L31" s="331">
        <v>519</v>
      </c>
      <c r="M31" s="331">
        <v>674</v>
      </c>
      <c r="N31" s="331">
        <v>522</v>
      </c>
      <c r="O31" s="331">
        <v>8</v>
      </c>
      <c r="P31" s="146">
        <v>8</v>
      </c>
      <c r="Q31" s="529"/>
      <c r="R31" s="331"/>
      <c r="S31" s="331">
        <v>828</v>
      </c>
      <c r="T31" s="331">
        <v>525</v>
      </c>
      <c r="U31" s="331">
        <v>968</v>
      </c>
      <c r="V31" s="331">
        <v>204</v>
      </c>
      <c r="W31" s="146">
        <v>97</v>
      </c>
      <c r="X31" s="331"/>
      <c r="Y31" s="331"/>
      <c r="Z31" s="331">
        <f t="shared" si="4"/>
        <v>2508</v>
      </c>
      <c r="AA31" s="331">
        <f t="shared" si="4"/>
        <v>2989</v>
      </c>
      <c r="AB31" s="331"/>
      <c r="AC31" s="331">
        <f t="shared" si="6"/>
        <v>4176</v>
      </c>
      <c r="AD31" s="331">
        <f t="shared" si="6"/>
        <v>1089</v>
      </c>
      <c r="AE31" s="146">
        <f t="shared" si="6"/>
        <v>822</v>
      </c>
      <c r="AF31" s="203" t="s">
        <v>63</v>
      </c>
      <c r="AG31" s="806">
        <f t="shared" si="3"/>
        <v>-24.51790633608816</v>
      </c>
    </row>
    <row r="32" spans="1:33" ht="12.75" customHeight="1">
      <c r="A32" s="11"/>
      <c r="B32" s="13" t="s">
        <v>65</v>
      </c>
      <c r="C32" s="69">
        <v>12</v>
      </c>
      <c r="D32" s="70">
        <v>16</v>
      </c>
      <c r="E32" s="330">
        <v>16</v>
      </c>
      <c r="F32" s="330">
        <v>9</v>
      </c>
      <c r="G32" s="330">
        <v>8</v>
      </c>
      <c r="H32" s="330">
        <v>9</v>
      </c>
      <c r="I32" s="77">
        <v>1</v>
      </c>
      <c r="J32" s="330">
        <v>29</v>
      </c>
      <c r="K32" s="330">
        <v>21</v>
      </c>
      <c r="L32" s="330">
        <v>24</v>
      </c>
      <c r="M32" s="330">
        <v>41</v>
      </c>
      <c r="N32" s="330">
        <v>59</v>
      </c>
      <c r="O32" s="330">
        <v>51</v>
      </c>
      <c r="P32" s="77">
        <v>46</v>
      </c>
      <c r="Q32" s="528">
        <v>88</v>
      </c>
      <c r="R32" s="330">
        <v>77</v>
      </c>
      <c r="S32" s="330">
        <v>108</v>
      </c>
      <c r="T32" s="330">
        <v>99</v>
      </c>
      <c r="U32" s="330">
        <v>131</v>
      </c>
      <c r="V32" s="330">
        <v>75</v>
      </c>
      <c r="W32" s="77">
        <v>96</v>
      </c>
      <c r="X32" s="330">
        <f t="shared" si="4"/>
        <v>129</v>
      </c>
      <c r="Y32" s="330">
        <f t="shared" si="4"/>
        <v>114</v>
      </c>
      <c r="Z32" s="330">
        <f t="shared" si="4"/>
        <v>148</v>
      </c>
      <c r="AA32" s="330">
        <f t="shared" si="4"/>
        <v>149</v>
      </c>
      <c r="AB32" s="330"/>
      <c r="AC32" s="330">
        <f t="shared" si="6"/>
        <v>198</v>
      </c>
      <c r="AD32" s="330">
        <f t="shared" si="6"/>
        <v>135</v>
      </c>
      <c r="AE32" s="77">
        <f t="shared" si="6"/>
        <v>143</v>
      </c>
      <c r="AF32" s="206" t="s">
        <v>65</v>
      </c>
      <c r="AG32" s="807">
        <f t="shared" si="3"/>
        <v>5.925925925925938</v>
      </c>
    </row>
    <row r="33" spans="1:33" ht="12.75" customHeight="1">
      <c r="A33" s="11"/>
      <c r="B33" s="110" t="s">
        <v>64</v>
      </c>
      <c r="C33" s="126">
        <v>0</v>
      </c>
      <c r="D33" s="127">
        <v>2</v>
      </c>
      <c r="E33" s="331">
        <v>2</v>
      </c>
      <c r="F33" s="331"/>
      <c r="G33" s="331">
        <v>5</v>
      </c>
      <c r="H33" s="331">
        <v>7</v>
      </c>
      <c r="I33" s="146">
        <v>0</v>
      </c>
      <c r="J33" s="331">
        <v>70</v>
      </c>
      <c r="K33" s="331">
        <v>133</v>
      </c>
      <c r="L33" s="331">
        <v>199</v>
      </c>
      <c r="M33" s="331">
        <v>145</v>
      </c>
      <c r="N33" s="331">
        <v>246</v>
      </c>
      <c r="O33" s="331">
        <v>225</v>
      </c>
      <c r="P33" s="146">
        <v>105</v>
      </c>
      <c r="Q33" s="529">
        <v>186</v>
      </c>
      <c r="R33" s="331">
        <v>142</v>
      </c>
      <c r="S33" s="331">
        <v>319</v>
      </c>
      <c r="T33" s="331">
        <v>188</v>
      </c>
      <c r="U33" s="331">
        <v>345</v>
      </c>
      <c r="V33" s="331">
        <v>442</v>
      </c>
      <c r="W33" s="146">
        <v>323</v>
      </c>
      <c r="X33" s="331">
        <f t="shared" si="4"/>
        <v>256</v>
      </c>
      <c r="Y33" s="331">
        <f t="shared" si="4"/>
        <v>277</v>
      </c>
      <c r="Z33" s="331">
        <f t="shared" si="4"/>
        <v>520</v>
      </c>
      <c r="AA33" s="331">
        <f t="shared" si="4"/>
        <v>333</v>
      </c>
      <c r="AB33" s="331"/>
      <c r="AC33" s="331">
        <f t="shared" si="6"/>
        <v>596</v>
      </c>
      <c r="AD33" s="331">
        <f t="shared" si="6"/>
        <v>674</v>
      </c>
      <c r="AE33" s="146">
        <f t="shared" si="6"/>
        <v>428</v>
      </c>
      <c r="AF33" s="203" t="s">
        <v>64</v>
      </c>
      <c r="AG33" s="806">
        <f t="shared" si="3"/>
        <v>-36.49851632047477</v>
      </c>
    </row>
    <row r="34" spans="1:33" ht="12.75" customHeight="1">
      <c r="A34" s="11"/>
      <c r="B34" s="13" t="s">
        <v>81</v>
      </c>
      <c r="C34" s="69">
        <v>98</v>
      </c>
      <c r="D34" s="70">
        <v>81</v>
      </c>
      <c r="E34" s="330">
        <v>89</v>
      </c>
      <c r="F34" s="330">
        <v>86</v>
      </c>
      <c r="G34" s="330">
        <v>72</v>
      </c>
      <c r="H34" s="330">
        <v>21</v>
      </c>
      <c r="I34" s="77">
        <v>16</v>
      </c>
      <c r="J34" s="330">
        <v>155</v>
      </c>
      <c r="K34" s="330">
        <v>125</v>
      </c>
      <c r="L34" s="330">
        <v>127</v>
      </c>
      <c r="M34" s="330">
        <v>163</v>
      </c>
      <c r="N34" s="330">
        <v>261</v>
      </c>
      <c r="O34" s="330">
        <v>302</v>
      </c>
      <c r="P34" s="77">
        <v>247</v>
      </c>
      <c r="Q34" s="528">
        <v>256</v>
      </c>
      <c r="R34" s="330">
        <v>207</v>
      </c>
      <c r="S34" s="330">
        <v>222</v>
      </c>
      <c r="T34" s="330">
        <v>247</v>
      </c>
      <c r="U34" s="330">
        <v>270</v>
      </c>
      <c r="V34" s="330">
        <v>266</v>
      </c>
      <c r="W34" s="77">
        <v>256</v>
      </c>
      <c r="X34" s="330">
        <f t="shared" si="4"/>
        <v>509</v>
      </c>
      <c r="Y34" s="330">
        <f t="shared" si="4"/>
        <v>413</v>
      </c>
      <c r="Z34" s="330">
        <f t="shared" si="4"/>
        <v>438</v>
      </c>
      <c r="AA34" s="330">
        <f t="shared" si="4"/>
        <v>496</v>
      </c>
      <c r="AB34" s="330"/>
      <c r="AC34" s="330">
        <f t="shared" si="6"/>
        <v>603</v>
      </c>
      <c r="AD34" s="330">
        <f t="shared" si="6"/>
        <v>589</v>
      </c>
      <c r="AE34" s="77">
        <f t="shared" si="6"/>
        <v>519</v>
      </c>
      <c r="AF34" s="206" t="s">
        <v>81</v>
      </c>
      <c r="AG34" s="807">
        <f t="shared" si="3"/>
        <v>-11.88455008488964</v>
      </c>
    </row>
    <row r="35" spans="1:33" ht="12.75" customHeight="1">
      <c r="A35" s="11"/>
      <c r="B35" s="110" t="s">
        <v>82</v>
      </c>
      <c r="C35" s="126">
        <v>134</v>
      </c>
      <c r="D35" s="127">
        <v>30</v>
      </c>
      <c r="E35" s="331">
        <v>84</v>
      </c>
      <c r="F35" s="331">
        <v>90</v>
      </c>
      <c r="G35" s="331">
        <v>134</v>
      </c>
      <c r="H35" s="331">
        <v>134</v>
      </c>
      <c r="I35" s="146">
        <v>235</v>
      </c>
      <c r="J35" s="331">
        <v>338</v>
      </c>
      <c r="K35" s="331">
        <v>290</v>
      </c>
      <c r="L35" s="331">
        <v>330</v>
      </c>
      <c r="M35" s="331">
        <v>205</v>
      </c>
      <c r="N35" s="331">
        <v>396</v>
      </c>
      <c r="O35" s="331">
        <v>260</v>
      </c>
      <c r="P35" s="146">
        <v>317</v>
      </c>
      <c r="Q35" s="529">
        <v>661</v>
      </c>
      <c r="R35" s="331">
        <v>852</v>
      </c>
      <c r="S35" s="331">
        <v>934</v>
      </c>
      <c r="T35" s="331">
        <v>696</v>
      </c>
      <c r="U35" s="331">
        <v>680</v>
      </c>
      <c r="V35" s="331">
        <v>782</v>
      </c>
      <c r="W35" s="146">
        <v>1105</v>
      </c>
      <c r="X35" s="331">
        <f t="shared" si="4"/>
        <v>1133</v>
      </c>
      <c r="Y35" s="331">
        <f t="shared" si="4"/>
        <v>1172</v>
      </c>
      <c r="Z35" s="331">
        <f t="shared" si="4"/>
        <v>1348</v>
      </c>
      <c r="AA35" s="331">
        <f t="shared" si="4"/>
        <v>991</v>
      </c>
      <c r="AB35" s="331"/>
      <c r="AC35" s="331">
        <f t="shared" si="6"/>
        <v>1210</v>
      </c>
      <c r="AD35" s="331">
        <f t="shared" si="6"/>
        <v>1176</v>
      </c>
      <c r="AE35" s="146">
        <f t="shared" si="6"/>
        <v>1657</v>
      </c>
      <c r="AF35" s="203" t="s">
        <v>82</v>
      </c>
      <c r="AG35" s="806">
        <f t="shared" si="3"/>
        <v>40.90136054421768</v>
      </c>
    </row>
    <row r="36" spans="1:33" ht="12.75" customHeight="1">
      <c r="A36" s="11"/>
      <c r="B36" s="14" t="s">
        <v>70</v>
      </c>
      <c r="C36" s="74">
        <v>9000</v>
      </c>
      <c r="D36" s="75">
        <v>7853</v>
      </c>
      <c r="E36" s="332">
        <v>7353</v>
      </c>
      <c r="F36" s="332">
        <v>7530</v>
      </c>
      <c r="G36" s="332">
        <v>4383</v>
      </c>
      <c r="H36" s="332">
        <v>3160</v>
      </c>
      <c r="I36" s="78">
        <v>3169</v>
      </c>
      <c r="J36" s="332">
        <v>3183</v>
      </c>
      <c r="K36" s="332">
        <v>4487</v>
      </c>
      <c r="L36" s="332">
        <v>4333</v>
      </c>
      <c r="M36" s="332">
        <v>5558</v>
      </c>
      <c r="N36" s="332">
        <v>5346</v>
      </c>
      <c r="O36" s="332">
        <v>4447</v>
      </c>
      <c r="P36" s="78">
        <v>4326</v>
      </c>
      <c r="Q36" s="530">
        <v>2588</v>
      </c>
      <c r="R36" s="332">
        <v>2630</v>
      </c>
      <c r="S36" s="332">
        <v>2611</v>
      </c>
      <c r="T36" s="332">
        <v>2339</v>
      </c>
      <c r="U36" s="332">
        <v>2867</v>
      </c>
      <c r="V36" s="332">
        <v>2800</v>
      </c>
      <c r="W36" s="78">
        <v>1954</v>
      </c>
      <c r="X36" s="330">
        <f t="shared" si="4"/>
        <v>14771</v>
      </c>
      <c r="Y36" s="330">
        <f t="shared" si="4"/>
        <v>14970</v>
      </c>
      <c r="Z36" s="330">
        <f t="shared" si="4"/>
        <v>14297</v>
      </c>
      <c r="AA36" s="330">
        <f t="shared" si="4"/>
        <v>15427</v>
      </c>
      <c r="AB36" s="330"/>
      <c r="AC36" s="332">
        <f t="shared" si="6"/>
        <v>12596</v>
      </c>
      <c r="AD36" s="332">
        <f t="shared" si="6"/>
        <v>10407</v>
      </c>
      <c r="AE36" s="78">
        <f t="shared" si="6"/>
        <v>9449</v>
      </c>
      <c r="AF36" s="208" t="s">
        <v>70</v>
      </c>
      <c r="AG36" s="809">
        <f t="shared" si="3"/>
        <v>-9.20534255789373</v>
      </c>
    </row>
    <row r="37" spans="1:33" ht="12.75" customHeight="1">
      <c r="A37" s="11"/>
      <c r="B37" s="110" t="s">
        <v>52</v>
      </c>
      <c r="C37" s="150">
        <v>38</v>
      </c>
      <c r="D37" s="151">
        <v>54</v>
      </c>
      <c r="E37" s="331">
        <v>30</v>
      </c>
      <c r="F37" s="331">
        <v>23</v>
      </c>
      <c r="G37" s="331">
        <v>26</v>
      </c>
      <c r="H37" s="331">
        <v>6</v>
      </c>
      <c r="I37" s="146">
        <v>10</v>
      </c>
      <c r="J37" s="331">
        <v>11</v>
      </c>
      <c r="K37" s="331">
        <v>17</v>
      </c>
      <c r="L37" s="331">
        <v>12</v>
      </c>
      <c r="M37" s="331">
        <v>12</v>
      </c>
      <c r="N37" s="331">
        <v>11</v>
      </c>
      <c r="O37" s="331">
        <v>2</v>
      </c>
      <c r="P37" s="146">
        <v>7</v>
      </c>
      <c r="Q37" s="529">
        <v>7</v>
      </c>
      <c r="R37" s="331">
        <v>35</v>
      </c>
      <c r="S37" s="331">
        <v>14</v>
      </c>
      <c r="T37" s="331">
        <v>11</v>
      </c>
      <c r="U37" s="331">
        <v>7</v>
      </c>
      <c r="V37" s="331">
        <v>0</v>
      </c>
      <c r="W37" s="146">
        <v>11</v>
      </c>
      <c r="X37" s="334">
        <f t="shared" si="4"/>
        <v>56</v>
      </c>
      <c r="Y37" s="334">
        <f t="shared" si="4"/>
        <v>106</v>
      </c>
      <c r="Z37" s="334">
        <f t="shared" si="4"/>
        <v>56</v>
      </c>
      <c r="AA37" s="334">
        <f t="shared" si="4"/>
        <v>46</v>
      </c>
      <c r="AB37" s="331"/>
      <c r="AC37" s="331">
        <f t="shared" si="6"/>
        <v>44</v>
      </c>
      <c r="AD37" s="331">
        <f t="shared" si="6"/>
        <v>8</v>
      </c>
      <c r="AE37" s="146">
        <f t="shared" si="6"/>
        <v>28</v>
      </c>
      <c r="AF37" s="203" t="s">
        <v>52</v>
      </c>
      <c r="AG37" s="806">
        <f t="shared" si="3"/>
        <v>250</v>
      </c>
    </row>
    <row r="38" spans="1:33" ht="12.75" customHeight="1">
      <c r="A38" s="11"/>
      <c r="B38" s="13" t="s">
        <v>83</v>
      </c>
      <c r="C38" s="79">
        <v>127</v>
      </c>
      <c r="D38" s="72">
        <v>138</v>
      </c>
      <c r="E38" s="330">
        <v>105</v>
      </c>
      <c r="F38" s="330">
        <v>55</v>
      </c>
      <c r="G38" s="330">
        <v>58</v>
      </c>
      <c r="H38" s="330">
        <v>55</v>
      </c>
      <c r="I38" s="77">
        <v>37</v>
      </c>
      <c r="J38" s="330">
        <v>308</v>
      </c>
      <c r="K38" s="330">
        <v>430</v>
      </c>
      <c r="L38" s="330">
        <v>315</v>
      </c>
      <c r="M38" s="330">
        <v>462</v>
      </c>
      <c r="N38" s="330">
        <v>483</v>
      </c>
      <c r="O38" s="330">
        <v>396</v>
      </c>
      <c r="P38" s="77">
        <v>466</v>
      </c>
      <c r="Q38" s="528">
        <v>502</v>
      </c>
      <c r="R38" s="330">
        <v>600</v>
      </c>
      <c r="S38" s="330">
        <v>423</v>
      </c>
      <c r="T38" s="330">
        <v>621</v>
      </c>
      <c r="U38" s="330">
        <v>691</v>
      </c>
      <c r="V38" s="330">
        <v>709</v>
      </c>
      <c r="W38" s="77">
        <v>979</v>
      </c>
      <c r="X38" s="330">
        <f t="shared" si="4"/>
        <v>937</v>
      </c>
      <c r="Y38" s="330">
        <f t="shared" si="4"/>
        <v>1168</v>
      </c>
      <c r="Z38" s="330">
        <f t="shared" si="4"/>
        <v>843</v>
      </c>
      <c r="AA38" s="330">
        <f t="shared" si="4"/>
        <v>1138</v>
      </c>
      <c r="AB38" s="330"/>
      <c r="AC38" s="330">
        <f t="shared" si="6"/>
        <v>1232</v>
      </c>
      <c r="AD38" s="330">
        <f t="shared" si="6"/>
        <v>1160</v>
      </c>
      <c r="AE38" s="77">
        <f t="shared" si="6"/>
        <v>1482</v>
      </c>
      <c r="AF38" s="206" t="s">
        <v>83</v>
      </c>
      <c r="AG38" s="807">
        <f t="shared" si="3"/>
        <v>27.758620689655174</v>
      </c>
    </row>
    <row r="39" spans="1:33" ht="12.75" customHeight="1">
      <c r="A39" s="11"/>
      <c r="B39" s="112" t="s">
        <v>53</v>
      </c>
      <c r="C39" s="152">
        <v>777</v>
      </c>
      <c r="D39" s="153">
        <v>822</v>
      </c>
      <c r="E39" s="333">
        <v>521</v>
      </c>
      <c r="F39" s="333">
        <v>408</v>
      </c>
      <c r="G39" s="333">
        <v>470</v>
      </c>
      <c r="H39" s="333">
        <v>514</v>
      </c>
      <c r="I39" s="148">
        <v>453</v>
      </c>
      <c r="J39" s="333">
        <v>111</v>
      </c>
      <c r="K39" s="333">
        <v>99</v>
      </c>
      <c r="L39" s="333">
        <v>124</v>
      </c>
      <c r="M39" s="333">
        <v>133</v>
      </c>
      <c r="N39" s="333">
        <v>154</v>
      </c>
      <c r="O39" s="333">
        <v>191</v>
      </c>
      <c r="P39" s="148">
        <v>115</v>
      </c>
      <c r="Q39" s="533">
        <v>487</v>
      </c>
      <c r="R39" s="333">
        <v>402</v>
      </c>
      <c r="S39" s="333">
        <v>431</v>
      </c>
      <c r="T39" s="333">
        <v>397</v>
      </c>
      <c r="U39" s="333">
        <v>727</v>
      </c>
      <c r="V39" s="333">
        <v>418</v>
      </c>
      <c r="W39" s="148">
        <v>372</v>
      </c>
      <c r="X39" s="333">
        <f t="shared" si="4"/>
        <v>1375</v>
      </c>
      <c r="Y39" s="333">
        <f t="shared" si="4"/>
        <v>1323</v>
      </c>
      <c r="Z39" s="333">
        <f t="shared" si="4"/>
        <v>1076</v>
      </c>
      <c r="AA39" s="333">
        <f t="shared" si="4"/>
        <v>938</v>
      </c>
      <c r="AB39" s="333"/>
      <c r="AC39" s="333">
        <f t="shared" si="6"/>
        <v>1351</v>
      </c>
      <c r="AD39" s="333">
        <f t="shared" si="6"/>
        <v>1123</v>
      </c>
      <c r="AE39" s="148">
        <f t="shared" si="6"/>
        <v>940</v>
      </c>
      <c r="AF39" s="204" t="s">
        <v>53</v>
      </c>
      <c r="AG39" s="810">
        <f t="shared" si="3"/>
        <v>-16.295636687444343</v>
      </c>
    </row>
    <row r="40" spans="2:32" ht="27.75" customHeight="1">
      <c r="B40" s="879" t="s">
        <v>174</v>
      </c>
      <c r="C40" s="879"/>
      <c r="D40" s="879"/>
      <c r="E40" s="879"/>
      <c r="F40" s="879"/>
      <c r="G40" s="879"/>
      <c r="H40" s="879"/>
      <c r="I40" s="879"/>
      <c r="J40" s="879"/>
      <c r="K40" s="879"/>
      <c r="L40" s="879"/>
      <c r="M40" s="879"/>
      <c r="N40" s="879"/>
      <c r="O40" s="879"/>
      <c r="P40" s="879"/>
      <c r="Q40" s="879"/>
      <c r="R40" s="879"/>
      <c r="S40" s="879"/>
      <c r="T40" s="879"/>
      <c r="U40" s="879"/>
      <c r="V40" s="879"/>
      <c r="W40" s="879"/>
      <c r="X40" s="879"/>
      <c r="Y40" s="879"/>
      <c r="Z40" s="879"/>
      <c r="AA40" s="879"/>
      <c r="AB40" s="879"/>
      <c r="AC40" s="879"/>
      <c r="AD40" s="879"/>
      <c r="AE40" s="879"/>
      <c r="AF40" s="879"/>
    </row>
    <row r="41" ht="12.75">
      <c r="B41" s="6" t="s">
        <v>92</v>
      </c>
    </row>
    <row r="42" ht="12.75">
      <c r="B42" s="125" t="s">
        <v>181</v>
      </c>
    </row>
  </sheetData>
  <mergeCells count="11">
    <mergeCell ref="B2:AF2"/>
    <mergeCell ref="B3:AF3"/>
    <mergeCell ref="C4:I4"/>
    <mergeCell ref="J4:P4"/>
    <mergeCell ref="Q4:W4"/>
    <mergeCell ref="AC4:AE4"/>
    <mergeCell ref="J5:P5"/>
    <mergeCell ref="Q5:W5"/>
    <mergeCell ref="AC5:AE5"/>
    <mergeCell ref="B40:AF40"/>
    <mergeCell ref="C5:I5"/>
  </mergeCells>
  <printOptions horizontalCentered="1"/>
  <pageMargins left="0.6692913385826772" right="0.6692913385826772" top="0.3937007874015748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georgpi</dc:creator>
  <cp:keywords/>
  <dc:description/>
  <cp:lastModifiedBy>Prottlu</cp:lastModifiedBy>
  <cp:lastPrinted>2010-05-05T15:13:03Z</cp:lastPrinted>
  <dcterms:created xsi:type="dcterms:W3CDTF">2003-09-05T14:33:05Z</dcterms:created>
  <dcterms:modified xsi:type="dcterms:W3CDTF">2011-06-01T13:53:27Z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