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1" activeTab="0"/>
  </bookViews>
  <sheets>
    <sheet name="T3.6" sheetId="1" r:id="rId1"/>
    <sheet name="motorisation" sheetId="2" r:id="rId2"/>
    <sheet name="stock_cars" sheetId="3" r:id="rId3"/>
    <sheet name="stock_bus" sheetId="4" r:id="rId4"/>
    <sheet name="stock_goods" sheetId="5" r:id="rId5"/>
    <sheet name="stock_mbike" sheetId="6" r:id="rId6"/>
    <sheet name="car_reg" sheetId="7" r:id="rId7"/>
    <sheet name="comm_reg" sheetId="8" r:id="rId8"/>
    <sheet name="bus_reg" sheetId="9" r:id="rId9"/>
    <sheet name="mbike_reg" sheetId="10" r:id="rId10"/>
    <sheet name="moped_del" sheetId="11" r:id="rId11"/>
    <sheet name="sea_fleet_eu" sheetId="12" r:id="rId12"/>
    <sheet name="sea_world_region" sheetId="13" r:id="rId13"/>
    <sheet name="sea_world_type" sheetId="14" r:id="rId14"/>
    <sheet name="aircraft_passeng" sheetId="15" r:id="rId15"/>
    <sheet name="aircraft_other" sheetId="16" r:id="rId16"/>
    <sheet name="stock_loco" sheetId="17" r:id="rId17"/>
    <sheet name="stock_railcar" sheetId="18" r:id="rId18"/>
    <sheet name="stock_railgood" sheetId="19" r:id="rId19"/>
    <sheet name="population" sheetId="20" r:id="rId20"/>
  </sheets>
  <definedNames>
    <definedName name="A" localSheetId="0">'T3.6'!$A$65501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5">'aircraft_other'!$B$1:$H$48</definedName>
    <definedName name="_xlnm.Print_Area" localSheetId="14">'aircraft_passeng'!$B$1:$H$46</definedName>
    <definedName name="_xlnm.Print_Area" localSheetId="8">'bus_reg'!$B$1:$O$40</definedName>
    <definedName name="_xlnm.Print_Area" localSheetId="6">'car_reg'!$B$1:$N$42</definedName>
    <definedName name="_xlnm.Print_Area" localSheetId="7">'comm_reg'!$B$1:$O$43</definedName>
    <definedName name="_xlnm.Print_Area" localSheetId="9">'mbike_reg'!$B$1:$L$40</definedName>
    <definedName name="_xlnm.Print_Area" localSheetId="10">'moped_del'!$B$1:$L$37</definedName>
    <definedName name="_xlnm.Print_Area" localSheetId="1">'motorisation'!$B$1:$X$42</definedName>
    <definedName name="_xlnm.Print_Area" localSheetId="19">'population'!$A$1</definedName>
    <definedName name="_xlnm.Print_Area" localSheetId="11">'sea_fleet_eu'!$B$1:$K$46</definedName>
    <definedName name="_xlnm.Print_Area" localSheetId="12">'sea_world_region'!$B$1:$K$24</definedName>
    <definedName name="_xlnm.Print_Area" localSheetId="13">'sea_world_type'!$B$1:$J$34</definedName>
    <definedName name="_xlnm.Print_Area" localSheetId="3">'stock_bus'!$B$1:$X$44</definedName>
    <definedName name="_xlnm.Print_Area" localSheetId="2">'stock_cars'!$B$1:$X$44</definedName>
    <definedName name="_xlnm.Print_Area" localSheetId="4">'stock_goods'!$B$1:$X$45</definedName>
    <definedName name="_xlnm.Print_Area" localSheetId="16">'stock_loco'!$B$1:$N$45</definedName>
    <definedName name="_xlnm.Print_Area" localSheetId="5">'stock_mbike'!$B$1:$Q$46</definedName>
    <definedName name="_xlnm.Print_Area" localSheetId="17">'stock_railcar'!$B$1:$N$45</definedName>
    <definedName name="_xlnm.Print_Area" localSheetId="18">'stock_railgood'!$B$1:$N$45</definedName>
    <definedName name="_xlnm.Print_Area" localSheetId="0">'T3.6'!$A$1:$D$33</definedName>
    <definedName name="TABLE" localSheetId="16">'stock_loco'!#REF!</definedName>
    <definedName name="TABLE_2" localSheetId="16">'stock_loco'!#REF!</definedName>
  </definedNames>
  <calcPr fullCalcOnLoad="1"/>
</workbook>
</file>

<file path=xl/sharedStrings.xml><?xml version="1.0" encoding="utf-8"?>
<sst xmlns="http://schemas.openxmlformats.org/spreadsheetml/2006/main" count="1656" uniqueCount="258">
  <si>
    <t>Notes:</t>
  </si>
  <si>
    <t>MK</t>
  </si>
  <si>
    <r>
      <t>Notes</t>
    </r>
    <r>
      <rPr>
        <sz val="8"/>
        <rFont val="Arial"/>
        <family val="2"/>
      </rPr>
      <t>:</t>
    </r>
  </si>
  <si>
    <t>(2)</t>
  </si>
  <si>
    <t>change</t>
  </si>
  <si>
    <r>
      <t>CY</t>
    </r>
    <r>
      <rPr>
        <sz val="8"/>
        <rFont val="Arial"/>
        <family val="2"/>
      </rPr>
      <t>: new and used</t>
    </r>
  </si>
  <si>
    <t>thousand</t>
  </si>
  <si>
    <t>Light commercial vehicles</t>
  </si>
  <si>
    <t>Commercial Vehicles</t>
  </si>
  <si>
    <t>Heavy Commercial Vehicles</t>
  </si>
  <si>
    <t>&lt; 3.5t</t>
  </si>
  <si>
    <t>&gt; 3,5t &amp; &lt; 16t</t>
  </si>
  <si>
    <t>&gt; 16t</t>
  </si>
  <si>
    <r>
      <t xml:space="preserve">**: </t>
    </r>
    <r>
      <rPr>
        <sz val="8"/>
        <rFont val="Arial"/>
        <family val="2"/>
      </rPr>
      <t>foreign flag share includes ships registered by EU countries in other EU countries</t>
    </r>
  </si>
  <si>
    <t xml:space="preserve">Stock of coaches and railcars and trailers  </t>
  </si>
  <si>
    <t>Road : Motorization</t>
  </si>
  <si>
    <t>Number of passenger cars per 1000 inhabitants</t>
  </si>
  <si>
    <t>Road : Passenger Cars</t>
  </si>
  <si>
    <t>Stock of vehicles</t>
  </si>
  <si>
    <t>Road : Buses and Coaches</t>
  </si>
  <si>
    <t xml:space="preserve">    Road : Goods Vehicles</t>
  </si>
  <si>
    <t>Road : Powered Two-wheelers</t>
  </si>
  <si>
    <t>Rail : Locomotives and Railcars</t>
  </si>
  <si>
    <t>Rail : Passenger Transport Vehicles</t>
  </si>
  <si>
    <t>Rail : Goods Transport Wagons</t>
  </si>
  <si>
    <t>Sea : EU Merchant Fleet</t>
  </si>
  <si>
    <t>Ships of 1000 grt and over</t>
  </si>
  <si>
    <t>Total fleet controlled</t>
  </si>
  <si>
    <t>National flag</t>
  </si>
  <si>
    <t>Share of foreign flag in total fleet %</t>
  </si>
  <si>
    <t>Number</t>
  </si>
  <si>
    <t>mio dwt</t>
  </si>
  <si>
    <t>Sea : World Merchant Fleet</t>
  </si>
  <si>
    <t>Europe*</t>
  </si>
  <si>
    <t>North America</t>
  </si>
  <si>
    <t>Latin America</t>
  </si>
  <si>
    <t>Asia/Oceania</t>
  </si>
  <si>
    <t>Africa</t>
  </si>
  <si>
    <t>Unknown</t>
  </si>
  <si>
    <t>by type of ship</t>
  </si>
  <si>
    <t xml:space="preserve">Total  registered fleet </t>
  </si>
  <si>
    <t>(ships of 300 gt and over)</t>
  </si>
  <si>
    <t>Oil tankers</t>
  </si>
  <si>
    <t>Bulk carriers</t>
  </si>
  <si>
    <t>General cargo</t>
  </si>
  <si>
    <t>Ro-Ro Cargo</t>
  </si>
  <si>
    <t>Cruise ships</t>
  </si>
  <si>
    <t>EU27</t>
  </si>
  <si>
    <t>(ships of 1000 gt and over)</t>
  </si>
  <si>
    <t xml:space="preserve">Passenger aircraft </t>
  </si>
  <si>
    <t>50 seats or less</t>
  </si>
  <si>
    <t>51 to 150 seats</t>
  </si>
  <si>
    <t>151 to 250 seats</t>
  </si>
  <si>
    <t>251 seats and more</t>
  </si>
  <si>
    <t>Freight / Cargo</t>
  </si>
  <si>
    <t>Quick-change convertible</t>
  </si>
  <si>
    <t xml:space="preserve">Special purpose / Ambulance </t>
  </si>
  <si>
    <t>Business / Corporate / Executive</t>
  </si>
  <si>
    <r>
      <t>CS</t>
    </r>
    <r>
      <rPr>
        <sz val="8"/>
        <rFont val="Arial"/>
        <family val="2"/>
      </rPr>
      <t xml:space="preserve"> : 1970: 4998;  1990: 6010</t>
    </r>
  </si>
  <si>
    <r>
      <t>CS</t>
    </r>
    <r>
      <rPr>
        <sz val="8"/>
        <rFont val="Arial"/>
        <family val="2"/>
      </rPr>
      <t xml:space="preserve"> : 1970=10145   1990=8597</t>
    </r>
  </si>
  <si>
    <r>
      <t>dwt</t>
    </r>
    <r>
      <rPr>
        <sz val="8"/>
        <rFont val="Arial"/>
        <family val="2"/>
      </rPr>
      <t xml:space="preserve"> (million)</t>
    </r>
  </si>
  <si>
    <r>
      <t>Notes:</t>
    </r>
    <r>
      <rPr>
        <sz val="8"/>
        <rFont val="Arial"/>
        <family val="2"/>
      </rPr>
      <t xml:space="preserve"> only ships of 1000 gt and over</t>
    </r>
  </si>
  <si>
    <r>
      <t>[</t>
    </r>
    <r>
      <rPr>
        <b/>
        <sz val="8"/>
        <rFont val="Arial"/>
        <family val="2"/>
      </rPr>
      <t xml:space="preserve"> gt</t>
    </r>
    <r>
      <rPr>
        <sz val="8"/>
        <rFont val="Arial"/>
        <family val="2"/>
      </rPr>
      <t xml:space="preserve"> (1000) ]</t>
    </r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</si>
  <si>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</si>
  <si>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</si>
  <si>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</si>
  <si>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</si>
  <si>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</si>
  <si>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</si>
  <si>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</si>
  <si>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</si>
  <si>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</si>
  <si>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</si>
  <si>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</si>
  <si>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</si>
  <si>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</si>
  <si>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</si>
  <si>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</si>
  <si>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</si>
  <si>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</si>
  <si>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</si>
  <si>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</si>
  <si>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</si>
  <si>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</si>
  <si>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</si>
  <si>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</si>
  <si>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</si>
  <si>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</si>
  <si>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</si>
  <si>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</si>
  <si>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</si>
  <si>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</si>
  <si>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</si>
  <si>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</si>
  <si>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</si>
  <si>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</si>
  <si>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</si>
  <si>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</si>
  <si>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World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</si>
  <si>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</si>
  <si>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</si>
  <si>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</si>
  <si>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</si>
  <si>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</si>
  <si>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</si>
  <si>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</si>
  <si>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</si>
  <si>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3.6.10</t>
  </si>
  <si>
    <t>3.6.11</t>
  </si>
  <si>
    <t>3.6.13</t>
  </si>
  <si>
    <t>3.6.14</t>
  </si>
  <si>
    <t>3.6.15</t>
  </si>
  <si>
    <t>3.6.9</t>
  </si>
  <si>
    <t>3.6.17</t>
  </si>
  <si>
    <t>(1): Heavy commercial vehicles included in previous columns</t>
  </si>
  <si>
    <t>3.6.16</t>
  </si>
  <si>
    <t>Total</t>
  </si>
  <si>
    <r>
      <t>IT</t>
    </r>
    <r>
      <rPr>
        <sz val="8"/>
        <rFont val="Arial"/>
        <family val="2"/>
      </rPr>
      <t>: all two-wheelers over 50cc</t>
    </r>
  </si>
  <si>
    <t>More than 30 000 small private planes not included.</t>
  </si>
  <si>
    <t>(1)</t>
  </si>
  <si>
    <t>Note:</t>
  </si>
  <si>
    <t xml:space="preserve">  </t>
  </si>
  <si>
    <t xml:space="preserve">Population </t>
  </si>
  <si>
    <t>at 1 January</t>
  </si>
  <si>
    <t>million</t>
  </si>
  <si>
    <t>LI</t>
  </si>
  <si>
    <t xml:space="preserve">Notes : </t>
  </si>
  <si>
    <r>
      <t>Population</t>
    </r>
    <r>
      <rPr>
        <b/>
        <sz val="8"/>
        <rFont val="Arial"/>
        <family val="2"/>
      </rPr>
      <t xml:space="preserve"> at 1 January</t>
    </r>
  </si>
  <si>
    <r>
      <t>DE:</t>
    </r>
    <r>
      <rPr>
        <sz val="8"/>
        <rFont val="Arial"/>
        <family val="2"/>
      </rPr>
      <t xml:space="preserve"> population : includes DE-E: 1970=17.1,   1980=16.7,   1990=16.1 </t>
    </r>
  </si>
  <si>
    <r>
      <t>CY:</t>
    </r>
    <r>
      <rPr>
        <sz val="8"/>
        <rFont val="Arial"/>
        <family val="2"/>
      </rPr>
      <t xml:space="preserve"> government-controlled area only</t>
    </r>
  </si>
  <si>
    <r>
      <t>FR</t>
    </r>
    <r>
      <rPr>
        <sz val="8"/>
        <rFont val="Arial"/>
        <family val="2"/>
      </rPr>
      <t>: metropolitan France only</t>
    </r>
  </si>
  <si>
    <r>
      <t xml:space="preserve">Foreign flag         </t>
    </r>
    <r>
      <rPr>
        <sz val="8"/>
        <rFont val="Arial"/>
        <family val="2"/>
      </rPr>
      <t>(inluding other EU)</t>
    </r>
  </si>
  <si>
    <t xml:space="preserve">   of which: </t>
  </si>
  <si>
    <t>Reefer</t>
  </si>
  <si>
    <t>Single-deck</t>
  </si>
  <si>
    <t>Multi-deck</t>
  </si>
  <si>
    <t>Special</t>
  </si>
  <si>
    <t xml:space="preserve">Passenger Ro-Ro </t>
  </si>
  <si>
    <t>3.6.12a</t>
  </si>
  <si>
    <t>3.6.12b</t>
  </si>
  <si>
    <r>
      <t>Passenger</t>
    </r>
    <r>
      <rPr>
        <sz val="8"/>
        <rFont val="Arial"/>
        <family val="2"/>
      </rPr>
      <t xml:space="preserve"> (not Ro-Ro) </t>
    </r>
  </si>
  <si>
    <t>No deadweight figure is given for cruise ships, since dwt is a measure of the weight admissible in the vessel.</t>
  </si>
  <si>
    <t>Ro-Ro: vehicles roll on to embark, vehicles roll off to disembark.</t>
  </si>
  <si>
    <t>Chemical tankers</t>
  </si>
  <si>
    <t>Liquid gas tankers</t>
  </si>
  <si>
    <t>Ore/ bulk / oil carriers</t>
  </si>
  <si>
    <t>Container ships</t>
  </si>
  <si>
    <t>Reefer: refrigerated ships.</t>
  </si>
  <si>
    <t>EU27 flag</t>
  </si>
  <si>
    <t>of which:  EU15</t>
  </si>
  <si>
    <t>EU15 control of total</t>
  </si>
  <si>
    <t>EU15 : Foreign flag share **</t>
  </si>
  <si>
    <r>
      <t>*:</t>
    </r>
    <r>
      <rPr>
        <sz val="8"/>
        <rFont val="Arial"/>
        <family val="2"/>
      </rPr>
      <t xml:space="preserve"> In this table Europe includes EU-27, EFTA, Monaco, Gibraltar, Andorra, Turkey, Western Balkan countries, Russia, Ukraine and Moldavia</t>
    </r>
  </si>
  <si>
    <t>of which:  EU27</t>
  </si>
  <si>
    <t>EU27 control of total</t>
  </si>
  <si>
    <t>EU27 : Foreign flag share **</t>
  </si>
  <si>
    <t>(2): Lorries included in other columns</t>
  </si>
  <si>
    <t>New vehicle registrations</t>
  </si>
  <si>
    <t>Road : Goods Vehicles</t>
  </si>
  <si>
    <t>Road : Motorcycles</t>
  </si>
  <si>
    <t>Road : Mopeds</t>
  </si>
  <si>
    <t>Air : Passenger aircraft</t>
  </si>
  <si>
    <t>Number of Civil Aircraft In Service</t>
  </si>
  <si>
    <t>Air : Freight, Special, Business aircraft</t>
  </si>
  <si>
    <t>New vehicle deliveries</t>
  </si>
  <si>
    <t>On 1st January:</t>
  </si>
  <si>
    <t>Total controlled fleet by world region</t>
  </si>
  <si>
    <t>World region</t>
  </si>
  <si>
    <t>Share of EU in Total and of Foreign Flag in EU</t>
  </si>
  <si>
    <t>Light buses and coaches</t>
  </si>
  <si>
    <t>Buses and coaches</t>
  </si>
  <si>
    <t>Heavy buses and coaches</t>
  </si>
  <si>
    <t>&lt;3.5t</t>
  </si>
  <si>
    <r>
      <t>MT</t>
    </r>
    <r>
      <rPr>
        <sz val="8"/>
        <rFont val="Arial"/>
        <family val="0"/>
      </rPr>
      <t>: including mopeds</t>
    </r>
  </si>
  <si>
    <t>1.5</t>
  </si>
  <si>
    <t>EU12</t>
  </si>
  <si>
    <t>%</t>
  </si>
  <si>
    <r>
      <t xml:space="preserve">dwt </t>
    </r>
    <r>
      <rPr>
        <sz val="8"/>
        <rFont val="Arial"/>
        <family val="2"/>
      </rPr>
      <t>(1000)</t>
    </r>
  </si>
  <si>
    <t>Data relate to main railways (UIC members)</t>
  </si>
  <si>
    <r>
      <t xml:space="preserve">Note: </t>
    </r>
    <r>
      <rPr>
        <sz val="8"/>
        <rFont val="Arial"/>
        <family val="2"/>
      </rPr>
      <t>Passenger car stock at end of year n has been divided by the population on 1 January of year n+1</t>
    </r>
  </si>
  <si>
    <t>under 100,000lbs</t>
  </si>
  <si>
    <t>over 100,000lbs</t>
  </si>
  <si>
    <t>(passenger / cargo)</t>
  </si>
  <si>
    <t>mtow</t>
  </si>
  <si>
    <t>Multi-role</t>
  </si>
  <si>
    <r>
      <t>mtow</t>
    </r>
    <r>
      <rPr>
        <sz val="8"/>
        <rFont val="Arial"/>
        <family val="0"/>
      </rPr>
      <t>: maximum take-off weight</t>
    </r>
  </si>
  <si>
    <r>
      <t>Special purpose / Ambulance</t>
    </r>
    <r>
      <rPr>
        <sz val="8"/>
        <rFont val="Arial"/>
        <family val="2"/>
      </rPr>
      <t>: contains data about Hospital / Ambulance / Medevac and Special Role / Operations / Mission aircraft.</t>
    </r>
  </si>
  <si>
    <r>
      <t>DE</t>
    </r>
    <r>
      <rPr>
        <sz val="8"/>
        <rFont val="Arial"/>
        <family val="2"/>
      </rPr>
      <t xml:space="preserve">: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</t>
    </r>
    <r>
      <rPr>
        <i/>
        <sz val="8"/>
        <rFont val="Arial"/>
        <family val="2"/>
      </rPr>
      <t>10000</t>
    </r>
    <r>
      <rPr>
        <sz val="8"/>
        <rFont val="Arial"/>
        <family val="2"/>
      </rPr>
      <t>,  1980=10761,  1990=9635</t>
    </r>
  </si>
  <si>
    <r>
      <t>DE</t>
    </r>
    <r>
      <rPr>
        <sz val="8"/>
        <rFont val="Arial"/>
        <family val="2"/>
      </rPr>
      <t xml:space="preserve">: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1970=137 984;  1980=142 202;  1990=163 158 </t>
    </r>
  </si>
  <si>
    <r>
      <t>DE</t>
    </r>
    <r>
      <rPr>
        <sz val="8"/>
        <rFont val="Arial"/>
        <family val="2"/>
      </rPr>
      <t xml:space="preserve">: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1970=5</t>
    </r>
    <r>
      <rPr>
        <i/>
        <sz val="8"/>
        <rFont val="Arial"/>
        <family val="2"/>
      </rPr>
      <t>000</t>
    </r>
    <r>
      <rPr>
        <sz val="8"/>
        <rFont val="Arial"/>
        <family val="2"/>
      </rPr>
      <t>;   1980=4506;   1990=6331</t>
    </r>
  </si>
  <si>
    <r>
      <t>Source</t>
    </r>
    <r>
      <rPr>
        <sz val="8"/>
        <rFont val="Arial"/>
        <family val="2"/>
      </rPr>
      <t>: tables 3.6.2 and 1.5</t>
    </r>
  </si>
  <si>
    <r>
      <t>Source</t>
    </r>
    <r>
      <rPr>
        <sz val="8"/>
        <rFont val="Arial"/>
        <family val="2"/>
      </rPr>
      <t xml:space="preserve">: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</si>
  <si>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</si>
  <si>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</si>
  <si>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Association des Constructeurs Européens d'Automobiles, national sources</t>
    </r>
  </si>
  <si>
    <r>
      <t>Source</t>
    </r>
    <r>
      <rPr>
        <sz val="8"/>
        <rFont val="Arial"/>
        <family val="2"/>
      </rPr>
      <t>: Association des Constructeurs Européens de Motocycles, national sources</t>
    </r>
  </si>
  <si>
    <r>
      <t>Source</t>
    </r>
    <r>
      <rPr>
        <sz val="8"/>
        <rFont val="Arial"/>
        <family val="2"/>
      </rPr>
      <t>:</t>
    </r>
    <r>
      <rPr>
        <sz val="8"/>
        <rFont val="Arial"/>
        <family val="0"/>
      </rPr>
      <t xml:space="preserve"> ISL merchant fleet data bases; aggregates based on quarterly updates from the Lloyd's Maritime Information System</t>
    </r>
  </si>
  <si>
    <r>
      <t>Source</t>
    </r>
    <r>
      <rPr>
        <sz val="8"/>
        <rFont val="Arial"/>
        <family val="2"/>
      </rPr>
      <t>: Institute for Shipping Economics and Logistics, Bremen</t>
    </r>
  </si>
  <si>
    <r>
      <t>Source</t>
    </r>
    <r>
      <rPr>
        <sz val="8"/>
        <rFont val="Arial"/>
        <family val="2"/>
      </rPr>
      <t>: Ascend</t>
    </r>
  </si>
  <si>
    <r>
      <t>Source</t>
    </r>
    <r>
      <rPr>
        <sz val="8"/>
        <rFont val="Arial"/>
        <family val="2"/>
      </rPr>
      <t>:  Union Internationale des Chemins de Fer</t>
    </r>
  </si>
  <si>
    <r>
      <t>Source</t>
    </r>
    <r>
      <rPr>
        <sz val="8"/>
        <rFont val="Arial"/>
        <family val="2"/>
      </rPr>
      <t>:  Union Internationale des Chemins de Fer, national statistics</t>
    </r>
  </si>
  <si>
    <r>
      <t>Source</t>
    </r>
    <r>
      <rPr>
        <sz val="8"/>
        <rFont val="Arial"/>
        <family val="2"/>
      </rPr>
      <t>:  Union Internationale des Chemins de Fer, national statistics, estimates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</si>
  <si>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Eurostat, national sources</t>
    </r>
  </si>
  <si>
    <r>
      <t>Note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CY</t>
    </r>
    <r>
      <rPr>
        <sz val="8"/>
        <rFont val="Arial"/>
        <family val="2"/>
      </rPr>
      <t>: new and used</t>
    </r>
  </si>
  <si>
    <r>
      <t>DK:</t>
    </r>
    <r>
      <rPr>
        <sz val="8"/>
        <rFont val="Arial"/>
        <family val="2"/>
      </rPr>
      <t xml:space="preserve"> including international registers like the Danish International Ship Register; including vessels registered at territorial dependencies.</t>
    </r>
  </si>
  <si>
    <t>Data as at January 1st, 2007</t>
  </si>
  <si>
    <r>
      <t>Russia</t>
    </r>
    <r>
      <rPr>
        <sz val="8"/>
        <rFont val="Arial"/>
        <family val="2"/>
      </rPr>
      <t xml:space="preserve">: 1523 ships, 16.907 mio dwt; </t>
    </r>
    <r>
      <rPr>
        <b/>
        <sz val="8"/>
        <rFont val="Arial"/>
        <family val="2"/>
      </rPr>
      <t>Monaco</t>
    </r>
    <r>
      <rPr>
        <sz val="8"/>
        <rFont val="Arial"/>
        <family val="2"/>
      </rPr>
      <t xml:space="preserve">: 70 ships, 2.721 mio dwt; </t>
    </r>
    <r>
      <rPr>
        <b/>
        <sz val="8"/>
        <rFont val="Arial"/>
        <family val="2"/>
      </rPr>
      <t>Ukraine</t>
    </r>
    <r>
      <rPr>
        <sz val="8"/>
        <rFont val="Arial"/>
        <family val="2"/>
      </rPr>
      <t xml:space="preserve">: 358 ships, 2.359 mio dwt; </t>
    </r>
    <r>
      <rPr>
        <b/>
        <sz val="8"/>
        <rFont val="Arial"/>
        <family val="2"/>
      </rPr>
      <t>Gibraltar</t>
    </r>
    <r>
      <rPr>
        <sz val="8"/>
        <rFont val="Arial"/>
        <family val="2"/>
      </rPr>
      <t>: 10 ships, 0.286 mio dwt</t>
    </r>
  </si>
  <si>
    <t>Cargo passenger ships</t>
  </si>
  <si>
    <t>Total fleet</t>
  </si>
  <si>
    <t>[ 15.7 ]</t>
  </si>
  <si>
    <t>[ 13.7 ]</t>
  </si>
  <si>
    <t>[ 13.0 ]</t>
  </si>
  <si>
    <t>[ 3.1 ]</t>
  </si>
  <si>
    <t>On January 1st, 2007</t>
  </si>
  <si>
    <t>[ 3.2 ]</t>
  </si>
  <si>
    <t>[ 9.3 ]</t>
  </si>
  <si>
    <r>
      <t>EU27</t>
    </r>
    <r>
      <rPr>
        <sz val="8"/>
        <rFont val="Arial"/>
        <family val="2"/>
      </rPr>
      <t>: deadweight figure for all passenger ships: 2.628 thousand tonnes</t>
    </r>
  </si>
  <si>
    <t>2007*</t>
  </si>
  <si>
    <t>at 31 December 2008</t>
  </si>
  <si>
    <t>change 07/06</t>
  </si>
  <si>
    <r>
      <t xml:space="preserve">Notes: </t>
    </r>
    <r>
      <rPr>
        <sz val="8"/>
        <rFont val="Arial"/>
        <family val="2"/>
      </rP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 As a rule, data include heavy and light goods vehicles, lorries and road tractors; due to varying concepts of such vehicles, data are not fully comparable between countries. </t>
    </r>
    <r>
      <rPr>
        <b/>
        <sz val="8"/>
        <rFont val="Arial"/>
        <family val="2"/>
      </rPr>
      <t>DE:</t>
    </r>
    <r>
      <rPr>
        <sz val="8"/>
        <rFont val="Arial"/>
        <family val="2"/>
      </rPr>
      <t xml:space="preserve"> revised series from 1997 for lorries and from 2007 for both lorries and road tractors. </t>
    </r>
    <r>
      <rPr>
        <b/>
        <sz val="8"/>
        <rFont val="Arial"/>
        <family val="2"/>
      </rPr>
      <t>EE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RO:</t>
    </r>
    <r>
      <rPr>
        <sz val="8"/>
        <rFont val="Arial"/>
        <family val="2"/>
      </rPr>
      <t xml:space="preserve"> cleaned up database in 2007.</t>
    </r>
  </si>
  <si>
    <r>
      <t xml:space="preserve">Notes: </t>
    </r>
    <r>
      <rPr>
        <sz val="8"/>
        <rFont val="Arial"/>
        <family val="2"/>
      </rP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 National vehicle stock data do not always include all powered two-wheelers and are therefore not fully comparable between countries. Tricycles and quads are sometimes included in the data. </t>
    </r>
    <r>
      <rPr>
        <b/>
        <sz val="8"/>
        <rFont val="Arial"/>
        <family val="2"/>
      </rPr>
      <t>DE:</t>
    </r>
    <r>
      <rPr>
        <sz val="8"/>
        <rFont val="Arial"/>
        <family val="2"/>
      </rPr>
      <t xml:space="preserve"> revised series from 1997. </t>
    </r>
    <r>
      <rPr>
        <b/>
        <sz val="8"/>
        <rFont val="Arial"/>
        <family val="2"/>
      </rPr>
      <t>SI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HR</t>
    </r>
    <r>
      <rPr>
        <sz val="8"/>
        <rFont val="Arial"/>
        <family val="2"/>
      </rPr>
      <t xml:space="preserve">: from 2002 including mopeds. </t>
    </r>
    <r>
      <rPr>
        <b/>
        <sz val="8"/>
        <rFont val="Arial"/>
        <family val="2"/>
      </rPr>
      <t>LV:</t>
    </r>
    <r>
      <rPr>
        <sz val="8"/>
        <rFont val="Arial"/>
        <family val="2"/>
      </rPr>
      <t xml:space="preserve"> from 2004 including mopeds. </t>
    </r>
    <r>
      <rPr>
        <b/>
        <sz val="8"/>
        <rFont val="Arial"/>
        <family val="2"/>
      </rPr>
      <t>RO:</t>
    </r>
    <r>
      <rPr>
        <sz val="8"/>
        <rFont val="Arial"/>
        <family val="2"/>
      </rPr>
      <t xml:space="preserve"> cleaned up database in 2007.</t>
    </r>
  </si>
  <si>
    <r>
      <t>Source:</t>
    </r>
    <r>
      <rPr>
        <sz val="8"/>
        <rFont val="Arial"/>
        <family val="2"/>
      </rPr>
      <t xml:space="preserve"> national statistics, own estimates </t>
    </r>
    <r>
      <rPr>
        <i/>
        <sz val="8"/>
        <rFont val="Arial"/>
        <family val="2"/>
      </rPr>
      <t>(in italics)</t>
    </r>
    <r>
      <rPr>
        <sz val="8"/>
        <rFont val="Arial"/>
        <family val="2"/>
      </rPr>
      <t>.</t>
    </r>
  </si>
  <si>
    <r>
      <t xml:space="preserve">Notes: </t>
    </r>
    <r>
      <rPr>
        <sz val="8"/>
        <rFont val="Arial"/>
        <family val="2"/>
      </rP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 Trolleybuses are usually included in the data. </t>
    </r>
    <r>
      <rPr>
        <b/>
        <sz val="8"/>
        <rFont val="Arial"/>
        <family val="2"/>
      </rPr>
      <t>DE:</t>
    </r>
    <r>
      <rPr>
        <sz val="8"/>
        <rFont val="Arial"/>
        <family val="2"/>
      </rPr>
      <t xml:space="preserve"> revised series from 1997. </t>
    </r>
    <r>
      <rPr>
        <b/>
        <sz val="8"/>
        <rFont val="Arial"/>
        <family val="2"/>
      </rPr>
      <t>EE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RO:</t>
    </r>
    <r>
      <rPr>
        <sz val="8"/>
        <rFont val="Arial"/>
        <family val="2"/>
      </rPr>
      <t xml:space="preserve"> cleaned up database in 2007.</t>
    </r>
  </si>
  <si>
    <r>
      <t xml:space="preserve">Notes: </t>
    </r>
    <r>
      <rPr>
        <sz val="8"/>
        <rFont val="Arial"/>
        <family val="2"/>
      </rP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 </t>
    </r>
    <r>
      <rPr>
        <b/>
        <sz val="8"/>
        <rFont val="Arial"/>
        <family val="2"/>
      </rPr>
      <t>DE:</t>
    </r>
    <r>
      <rPr>
        <sz val="8"/>
        <rFont val="Arial"/>
        <family val="2"/>
      </rPr>
      <t xml:space="preserve"> revised series from 1997. </t>
    </r>
    <r>
      <rPr>
        <b/>
        <sz val="8"/>
        <rFont val="Arial"/>
        <family val="2"/>
      </rPr>
      <t xml:space="preserve">EE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RO:</t>
    </r>
    <r>
      <rPr>
        <sz val="8"/>
        <rFont val="Arial"/>
        <family val="2"/>
      </rPr>
      <t xml:space="preserve"> cleaned up database in 2007.</t>
    </r>
  </si>
  <si>
    <r>
      <t>Note: CY:</t>
    </r>
    <r>
      <rPr>
        <sz val="8"/>
        <rFont val="Arial"/>
        <family val="0"/>
      </rPr>
      <t xml:space="preserve"> (1) included in column "Light buses and coaches"</t>
    </r>
  </si>
  <si>
    <t>Stock of registered vehicles</t>
  </si>
  <si>
    <t>In this table blank means none.</t>
  </si>
  <si>
    <r>
      <t>*</t>
    </r>
    <r>
      <rPr>
        <sz val="8"/>
        <rFont val="Arial"/>
        <family val="2"/>
      </rPr>
      <t>: not including private-owners' vehicles; not fully comparable with data of previous years.</t>
    </r>
  </si>
  <si>
    <t>EUROPEAN UNION</t>
  </si>
  <si>
    <t>European Commission</t>
  </si>
  <si>
    <t>Directorate-General for Energy and Transport</t>
  </si>
  <si>
    <t>ENERGY AND TRANSPORT IN FIGURES</t>
  </si>
  <si>
    <t>Part 3  :  TRANSPORT</t>
  </si>
  <si>
    <t>Chapter 3.6  :</t>
  </si>
  <si>
    <t>Means of Transport</t>
  </si>
  <si>
    <t>Road: Motorization : Number of Passenger Cars per 1000 Inhabitants</t>
  </si>
  <si>
    <t>Road: Passenger Cars : Stock of Vehicles</t>
  </si>
  <si>
    <t>Road: Buses and Coaches : Stock of Vehicles</t>
  </si>
  <si>
    <t>Road: Goods Vehicles : Stock of Vehicles</t>
  </si>
  <si>
    <t>Road: Powered Two-wheelers : Stock of Vehicles</t>
  </si>
  <si>
    <t>Road: Passenger Cars : New Vehicle Registrations</t>
  </si>
  <si>
    <t>Road: Goods Vehicles : New Vehicle Registrations</t>
  </si>
  <si>
    <t>Road: Buses and Coaches : New Vehicle Registrations</t>
  </si>
  <si>
    <t>Road: Motorcycles : New Vehicle Registrations</t>
  </si>
  <si>
    <t>Road: Mopeds : New Vehicle Deliveries</t>
  </si>
  <si>
    <t>Sea:  EU Merchant Fleet</t>
  </si>
  <si>
    <t>Sea:  World Merchant Fleet by World Region</t>
  </si>
  <si>
    <t>Sea:  World Merchant Fleet by Type of Ship</t>
  </si>
  <si>
    <t>Air:   Passenger aircraft : Number in Service</t>
  </si>
  <si>
    <t>Air:   Freight, Special,  Business aircraft : Number in Service</t>
  </si>
  <si>
    <t>Rail: Locomotives and Railcars : Stock of vehicles</t>
  </si>
  <si>
    <t>Rail: Passenger Transport Vehicles: Stocks of  Coaches, Railcars and Trailers</t>
  </si>
  <si>
    <t>Rail: Goods Transport Wagons : Stock of Vehicles</t>
  </si>
  <si>
    <r>
      <t xml:space="preserve">in co-operation with </t>
    </r>
    <r>
      <rPr>
        <b/>
        <sz val="10"/>
        <rFont val="Arial"/>
        <family val="2"/>
      </rPr>
      <t>Eurostat</t>
    </r>
  </si>
  <si>
    <t>2009</t>
  </si>
  <si>
    <t>change 08/07 (%)</t>
  </si>
  <si>
    <t>change 07/06 (%)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</si>
</sst>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###,###,##0.000"/>
    <numFmt numFmtId="178" formatCode="0.0000"/>
    <numFmt numFmtId="179" formatCode="0.00000"/>
    <numFmt numFmtId="180" formatCode="0.000000"/>
    <numFmt numFmtId="181" formatCode="0.0%"/>
    <numFmt numFmtId="182" formatCode="#,##0.0,"/>
    <numFmt numFmtId="183" formatCode="#,##0.0\ \ "/>
    <numFmt numFmtId="184" formatCode="#,##0.00\ "/>
    <numFmt numFmtId="185" formatCode="#,##0.000\ "/>
    <numFmt numFmtId="186" formatCode="#,###,##0"/>
    <numFmt numFmtId="187" formatCode="0.0\ \ \ "/>
    <numFmt numFmtId="188" formatCode="0.00\ "/>
    <numFmt numFmtId="189" formatCode="#,##0\ "/>
    <numFmt numFmtId="190" formatCode="##0\ "/>
    <numFmt numFmtId="191" formatCode="#\ ##0.0"/>
    <numFmt numFmtId="192" formatCode="#,##0.00\ \ "/>
    <numFmt numFmtId="193" formatCode="#,##0.000\ \ "/>
    <numFmt numFmtId="194" formatCode="##0.0\ "/>
  </numFmts>
  <fonts count="2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sz val="10"/>
      <name val="Times"/>
      <family val="1"/>
    </font>
    <font>
      <b/>
      <sz val="10"/>
      <name val="Times"/>
      <family val="0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3" fillId="2" borderId="0" applyNumberFormat="0" applyBorder="0">
      <alignment/>
      <protection locked="0"/>
    </xf>
    <xf numFmtId="0" fontId="14" fillId="3" borderId="0" applyNumberFormat="0" applyBorder="0">
      <alignment/>
      <protection locked="0"/>
    </xf>
  </cellStyleXfs>
  <cellXfs count="9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4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9" fontId="4" fillId="0" borderId="0" xfId="0" applyNumberFormat="1" applyFont="1" applyAlignment="1" quotePrefix="1">
      <alignment horizontal="right" vertical="top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top"/>
    </xf>
    <xf numFmtId="0" fontId="18" fillId="0" borderId="0" xfId="24" applyFont="1" applyFill="1" applyBorder="1" applyAlignment="1">
      <alignment vertical="center"/>
      <protection locked="0"/>
    </xf>
    <xf numFmtId="0" fontId="3" fillId="0" borderId="0" xfId="0" applyFont="1" applyBorder="1" applyAlignment="1">
      <alignment vertical="center" wrapText="1"/>
    </xf>
    <xf numFmtId="1" fontId="2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2" fillId="0" borderId="0" xfId="0" applyFont="1" applyBorder="1" applyAlignment="1" applyProtection="1">
      <alignment horizontal="right" vertical="center"/>
      <protection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170" fontId="2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3" fontId="18" fillId="0" borderId="4" xfId="24" applyNumberFormat="1" applyFont="1" applyFill="1" applyBorder="1" applyAlignment="1">
      <alignment vertical="center"/>
      <protection locked="0"/>
    </xf>
    <xf numFmtId="3" fontId="18" fillId="0" borderId="6" xfId="24" applyNumberFormat="1" applyFont="1" applyFill="1" applyBorder="1" applyAlignment="1">
      <alignment vertical="center"/>
      <protection locked="0"/>
    </xf>
    <xf numFmtId="3" fontId="2" fillId="0" borderId="8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0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170" fontId="3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170" fontId="11" fillId="0" borderId="0" xfId="0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2" fontId="3" fillId="5" borderId="2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 vertical="center"/>
    </xf>
    <xf numFmtId="175" fontId="3" fillId="5" borderId="9" xfId="0" applyNumberFormat="1" applyFont="1" applyFill="1" applyBorder="1" applyAlignment="1">
      <alignment vertical="center"/>
    </xf>
    <xf numFmtId="2" fontId="3" fillId="5" borderId="2" xfId="0" applyNumberFormat="1" applyFont="1" applyFill="1" applyBorder="1" applyAlignment="1">
      <alignment horizontal="center" vertical="center"/>
    </xf>
    <xf numFmtId="175" fontId="3" fillId="5" borderId="0" xfId="0" applyNumberFormat="1" applyFont="1" applyFill="1" applyBorder="1" applyAlignment="1">
      <alignment vertical="center"/>
    </xf>
    <xf numFmtId="2" fontId="3" fillId="5" borderId="3" xfId="0" applyNumberFormat="1" applyFont="1" applyFill="1" applyBorder="1" applyAlignment="1">
      <alignment horizontal="center" vertical="center"/>
    </xf>
    <xf numFmtId="175" fontId="3" fillId="5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top"/>
    </xf>
    <xf numFmtId="175" fontId="2" fillId="0" borderId="4" xfId="0" applyNumberFormat="1" applyFont="1" applyFill="1" applyBorder="1" applyAlignment="1">
      <alignment horizontal="right"/>
    </xf>
    <xf numFmtId="175" fontId="2" fillId="0" borderId="6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181" fontId="2" fillId="0" borderId="5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>
      <alignment horizontal="center" vertical="center"/>
    </xf>
    <xf numFmtId="181" fontId="2" fillId="0" borderId="8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center" vertical="center"/>
    </xf>
    <xf numFmtId="181" fontId="2" fillId="0" borderId="16" xfId="0" applyNumberFormat="1" applyFont="1" applyFill="1" applyBorder="1" applyAlignment="1">
      <alignment horizontal="center" vertical="center"/>
    </xf>
    <xf numFmtId="181" fontId="2" fillId="0" borderId="7" xfId="0" applyNumberFormat="1" applyFont="1" applyFill="1" applyBorder="1" applyAlignment="1">
      <alignment horizontal="center" vertical="center"/>
    </xf>
    <xf numFmtId="181" fontId="2" fillId="0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3" fontId="2" fillId="5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175" fontId="2" fillId="0" borderId="5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175" fontId="2" fillId="5" borderId="4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75" fontId="2" fillId="5" borderId="6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175" fontId="3" fillId="5" borderId="4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3" fillId="6" borderId="20" xfId="0" applyNumberFormat="1" applyFont="1" applyFill="1" applyBorder="1" applyAlignment="1">
      <alignment horizontal="center" vertical="center"/>
    </xf>
    <xf numFmtId="1" fontId="3" fillId="6" borderId="21" xfId="0" applyNumberFormat="1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right" vertical="center"/>
    </xf>
    <xf numFmtId="3" fontId="3" fillId="5" borderId="5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3" fillId="5" borderId="4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horizontal="right" vertical="center"/>
    </xf>
    <xf numFmtId="3" fontId="3" fillId="5" borderId="7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3" fontId="2" fillId="5" borderId="8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2" fillId="5" borderId="7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top"/>
    </xf>
    <xf numFmtId="0" fontId="0" fillId="4" borderId="8" xfId="0" applyFill="1" applyBorder="1" applyAlignment="1">
      <alignment/>
    </xf>
    <xf numFmtId="168" fontId="3" fillId="5" borderId="9" xfId="0" applyNumberFormat="1" applyFont="1" applyFill="1" applyBorder="1" applyAlignment="1">
      <alignment horizontal="right" vertical="center"/>
    </xf>
    <xf numFmtId="168" fontId="3" fillId="5" borderId="0" xfId="0" applyNumberFormat="1" applyFont="1" applyFill="1" applyBorder="1" applyAlignment="1">
      <alignment horizontal="right" vertical="center"/>
    </xf>
    <xf numFmtId="3" fontId="12" fillId="5" borderId="9" xfId="0" applyNumberFormat="1" applyFont="1" applyFill="1" applyBorder="1" applyAlignment="1">
      <alignment horizontal="right" vertical="center"/>
    </xf>
    <xf numFmtId="3" fontId="12" fillId="5" borderId="5" xfId="0" applyNumberFormat="1" applyFont="1" applyFill="1" applyBorder="1" applyAlignment="1">
      <alignment horizontal="right" vertical="center"/>
    </xf>
    <xf numFmtId="3" fontId="12" fillId="5" borderId="0" xfId="0" applyNumberFormat="1" applyFont="1" applyFill="1" applyBorder="1" applyAlignment="1">
      <alignment horizontal="right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5" borderId="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168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/>
    </xf>
    <xf numFmtId="3" fontId="3" fillId="6" borderId="10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vertical="center"/>
    </xf>
    <xf numFmtId="3" fontId="18" fillId="5" borderId="4" xfId="24" applyNumberFormat="1" applyFont="1" applyFill="1" applyBorder="1" applyAlignment="1">
      <alignment vertical="center"/>
      <protection locked="0"/>
    </xf>
    <xf numFmtId="3" fontId="2" fillId="5" borderId="4" xfId="0" applyNumberFormat="1" applyFont="1" applyFill="1" applyBorder="1" applyAlignment="1">
      <alignment vertical="center"/>
    </xf>
    <xf numFmtId="3" fontId="2" fillId="5" borderId="7" xfId="0" applyNumberFormat="1" applyFont="1" applyFill="1" applyBorder="1" applyAlignment="1">
      <alignment vertical="center"/>
    </xf>
    <xf numFmtId="3" fontId="18" fillId="5" borderId="6" xfId="24" applyNumberFormat="1" applyFont="1" applyFill="1" applyBorder="1" applyAlignment="1">
      <alignment vertical="center"/>
      <protection locked="0"/>
    </xf>
    <xf numFmtId="3" fontId="2" fillId="5" borderId="6" xfId="0" applyNumberFormat="1" applyFont="1" applyFill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7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3" fontId="2" fillId="0" borderId="1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horizontal="center"/>
    </xf>
    <xf numFmtId="3" fontId="2" fillId="5" borderId="8" xfId="0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 quotePrefix="1">
      <alignment horizontal="right" vertical="center"/>
    </xf>
    <xf numFmtId="3" fontId="2" fillId="5" borderId="0" xfId="0" applyNumberFormat="1" applyFont="1" applyFill="1" applyBorder="1" applyAlignment="1" quotePrefix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5" borderId="9" xfId="0" applyNumberFormat="1" applyFont="1" applyFill="1" applyBorder="1" applyAlignment="1">
      <alignment horizontal="right" vertical="center"/>
    </xf>
    <xf numFmtId="3" fontId="12" fillId="5" borderId="9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vertical="center"/>
    </xf>
    <xf numFmtId="3" fontId="3" fillId="5" borderId="7" xfId="0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horizontal="right" vertical="center"/>
    </xf>
    <xf numFmtId="3" fontId="2" fillId="5" borderId="7" xfId="0" applyNumberFormat="1" applyFont="1" applyFill="1" applyBorder="1" applyAlignment="1">
      <alignment horizontal="right" vertical="center"/>
    </xf>
    <xf numFmtId="3" fontId="11" fillId="5" borderId="0" xfId="0" applyNumberFormat="1" applyFont="1" applyFill="1" applyBorder="1" applyAlignment="1">
      <alignment vertical="center"/>
    </xf>
    <xf numFmtId="3" fontId="2" fillId="5" borderId="22" xfId="0" applyNumberFormat="1" applyFont="1" applyFill="1" applyBorder="1" applyAlignment="1">
      <alignment vertical="center"/>
    </xf>
    <xf numFmtId="3" fontId="2" fillId="5" borderId="23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/>
    </xf>
    <xf numFmtId="175" fontId="2" fillId="0" borderId="4" xfId="0" applyNumberFormat="1" applyFont="1" applyFill="1" applyBorder="1" applyAlignment="1" quotePrefix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5" borderId="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181" fontId="2" fillId="5" borderId="4" xfId="0" applyNumberFormat="1" applyFont="1" applyFill="1" applyBorder="1" applyAlignment="1">
      <alignment horizontal="right"/>
    </xf>
    <xf numFmtId="181" fontId="2" fillId="5" borderId="0" xfId="0" applyNumberFormat="1" applyFont="1" applyFill="1" applyBorder="1" applyAlignment="1">
      <alignment horizontal="right"/>
    </xf>
    <xf numFmtId="181" fontId="2" fillId="0" borderId="9" xfId="0" applyNumberFormat="1" applyFont="1" applyFill="1" applyBorder="1" applyAlignment="1">
      <alignment horizontal="right"/>
    </xf>
    <xf numFmtId="181" fontId="2" fillId="0" borderId="5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2" fillId="0" borderId="4" xfId="0" applyNumberFormat="1" applyFont="1" applyFill="1" applyBorder="1" applyAlignment="1">
      <alignment horizontal="right"/>
    </xf>
    <xf numFmtId="181" fontId="2" fillId="0" borderId="7" xfId="0" applyNumberFormat="1" applyFont="1" applyFill="1" applyBorder="1" applyAlignment="1">
      <alignment horizontal="right"/>
    </xf>
    <xf numFmtId="181" fontId="2" fillId="0" borderId="6" xfId="0" applyNumberFormat="1" applyFont="1" applyFill="1" applyBorder="1" applyAlignment="1">
      <alignment horizontal="right"/>
    </xf>
    <xf numFmtId="181" fontId="2" fillId="5" borderId="10" xfId="0" applyNumberFormat="1" applyFont="1" applyFill="1" applyBorder="1" applyAlignment="1">
      <alignment horizontal="right"/>
    </xf>
    <xf numFmtId="181" fontId="2" fillId="5" borderId="6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3" fontId="2" fillId="7" borderId="6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right" vertical="center"/>
    </xf>
    <xf numFmtId="169" fontId="0" fillId="0" borderId="0" xfId="0" applyNumberFormat="1" applyAlignment="1">
      <alignment/>
    </xf>
    <xf numFmtId="175" fontId="3" fillId="5" borderId="11" xfId="0" applyNumberFormat="1" applyFont="1" applyFill="1" applyBorder="1" applyAlignment="1">
      <alignment horizontal="right"/>
    </xf>
    <xf numFmtId="175" fontId="3" fillId="5" borderId="6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6" fontId="3" fillId="5" borderId="11" xfId="0" applyNumberFormat="1" applyFont="1" applyFill="1" applyBorder="1" applyAlignment="1">
      <alignment horizontal="right" vertical="center"/>
    </xf>
    <xf numFmtId="166" fontId="3" fillId="5" borderId="9" xfId="0" applyNumberFormat="1" applyFont="1" applyFill="1" applyBorder="1" applyAlignment="1">
      <alignment horizontal="right" vertical="center"/>
    </xf>
    <xf numFmtId="166" fontId="3" fillId="5" borderId="8" xfId="0" applyNumberFormat="1" applyFont="1" applyFill="1" applyBorder="1" applyAlignment="1">
      <alignment horizontal="right" vertical="center"/>
    </xf>
    <xf numFmtId="166" fontId="3" fillId="5" borderId="0" xfId="0" applyNumberFormat="1" applyFont="1" applyFill="1" applyBorder="1" applyAlignment="1">
      <alignment horizontal="right" vertical="center"/>
    </xf>
    <xf numFmtId="166" fontId="3" fillId="5" borderId="10" xfId="0" applyNumberFormat="1" applyFont="1" applyFill="1" applyBorder="1" applyAlignment="1">
      <alignment horizontal="right" vertical="center"/>
    </xf>
    <xf numFmtId="166" fontId="3" fillId="5" borderId="7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5" borderId="8" xfId="0" applyNumberFormat="1" applyFont="1" applyFill="1" applyBorder="1" applyAlignment="1">
      <alignment horizontal="right" vertical="center"/>
    </xf>
    <xf numFmtId="166" fontId="2" fillId="5" borderId="0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5" borderId="10" xfId="0" applyNumberFormat="1" applyFont="1" applyFill="1" applyBorder="1" applyAlignment="1">
      <alignment horizontal="right" vertical="center"/>
    </xf>
    <xf numFmtId="166" fontId="2" fillId="5" borderId="7" xfId="0" applyNumberFormat="1" applyFont="1" applyFill="1" applyBorder="1" applyAlignment="1">
      <alignment horizontal="right" vertical="center"/>
    </xf>
    <xf numFmtId="186" fontId="3" fillId="5" borderId="11" xfId="0" applyNumberFormat="1" applyFont="1" applyFill="1" applyBorder="1" applyAlignment="1">
      <alignment horizontal="right" vertical="center"/>
    </xf>
    <xf numFmtId="186" fontId="3" fillId="5" borderId="9" xfId="0" applyNumberFormat="1" applyFont="1" applyFill="1" applyBorder="1" applyAlignment="1">
      <alignment horizontal="right" vertical="center"/>
    </xf>
    <xf numFmtId="186" fontId="12" fillId="5" borderId="9" xfId="0" applyNumberFormat="1" applyFont="1" applyFill="1" applyBorder="1" applyAlignment="1">
      <alignment horizontal="right" vertical="center"/>
    </xf>
    <xf numFmtId="186" fontId="3" fillId="5" borderId="8" xfId="0" applyNumberFormat="1" applyFont="1" applyFill="1" applyBorder="1" applyAlignment="1">
      <alignment horizontal="right" vertical="center"/>
    </xf>
    <xf numFmtId="186" fontId="3" fillId="5" borderId="0" xfId="0" applyNumberFormat="1" applyFont="1" applyFill="1" applyBorder="1" applyAlignment="1">
      <alignment horizontal="right" vertical="center"/>
    </xf>
    <xf numFmtId="186" fontId="12" fillId="5" borderId="0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>
      <alignment vertical="center"/>
    </xf>
    <xf numFmtId="186" fontId="2" fillId="0" borderId="9" xfId="0" applyNumberFormat="1" applyFont="1" applyFill="1" applyBorder="1" applyAlignment="1">
      <alignment vertical="center"/>
    </xf>
    <xf numFmtId="186" fontId="2" fillId="5" borderId="8" xfId="0" applyNumberFormat="1" applyFont="1" applyFill="1" applyBorder="1" applyAlignment="1">
      <alignment vertical="center"/>
    </xf>
    <xf numFmtId="186" fontId="2" fillId="5" borderId="0" xfId="0" applyNumberFormat="1" applyFont="1" applyFill="1" applyBorder="1" applyAlignment="1">
      <alignment vertical="center"/>
    </xf>
    <xf numFmtId="186" fontId="2" fillId="5" borderId="22" xfId="0" applyNumberFormat="1" applyFont="1" applyFill="1" applyBorder="1" applyAlignment="1">
      <alignment vertical="center"/>
    </xf>
    <xf numFmtId="186" fontId="2" fillId="0" borderId="8" xfId="0" applyNumberFormat="1" applyFont="1" applyFill="1" applyBorder="1" applyAlignment="1" quotePrefix="1">
      <alignment horizontal="right" vertical="center"/>
    </xf>
    <xf numFmtId="186" fontId="2" fillId="0" borderId="0" xfId="0" applyNumberFormat="1" applyFont="1" applyFill="1" applyBorder="1" applyAlignment="1" quotePrefix="1">
      <alignment horizontal="right" vertical="center"/>
    </xf>
    <xf numFmtId="186" fontId="2" fillId="0" borderId="0" xfId="0" applyNumberFormat="1" applyFont="1" applyFill="1" applyBorder="1" applyAlignment="1">
      <alignment vertical="center"/>
    </xf>
    <xf numFmtId="186" fontId="11" fillId="5" borderId="0" xfId="0" applyNumberFormat="1" applyFont="1" applyFill="1" applyBorder="1" applyAlignment="1">
      <alignment vertical="center"/>
    </xf>
    <xf numFmtId="186" fontId="11" fillId="5" borderId="0" xfId="0" applyNumberFormat="1" applyFont="1" applyFill="1" applyBorder="1" applyAlignment="1">
      <alignment horizontal="right" vertical="center"/>
    </xf>
    <xf numFmtId="186" fontId="2" fillId="0" borderId="8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horizontal="right" vertical="center"/>
    </xf>
    <xf numFmtId="186" fontId="2" fillId="0" borderId="22" xfId="0" applyNumberFormat="1" applyFont="1" applyFill="1" applyBorder="1" applyAlignment="1">
      <alignment vertical="center"/>
    </xf>
    <xf numFmtId="186" fontId="2" fillId="5" borderId="8" xfId="0" applyNumberFormat="1" applyFont="1" applyFill="1" applyBorder="1" applyAlignment="1" quotePrefix="1">
      <alignment horizontal="right" vertical="center"/>
    </xf>
    <xf numFmtId="186" fontId="2" fillId="5" borderId="0" xfId="0" applyNumberFormat="1" applyFont="1" applyFill="1" applyBorder="1" applyAlignment="1" quotePrefix="1">
      <alignment horizontal="right" vertical="center"/>
    </xf>
    <xf numFmtId="186" fontId="11" fillId="5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5" borderId="11" xfId="0" applyNumberFormat="1" applyFont="1" applyFill="1" applyBorder="1" applyAlignment="1">
      <alignment vertical="center"/>
    </xf>
    <xf numFmtId="186" fontId="2" fillId="5" borderId="9" xfId="0" applyNumberFormat="1" applyFont="1" applyFill="1" applyBorder="1" applyAlignment="1">
      <alignment vertical="center"/>
    </xf>
    <xf numFmtId="186" fontId="2" fillId="5" borderId="8" xfId="0" applyNumberFormat="1" applyFont="1" applyFill="1" applyBorder="1" applyAlignment="1">
      <alignment horizontal="right" vertical="center"/>
    </xf>
    <xf numFmtId="186" fontId="2" fillId="5" borderId="0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 quotePrefix="1">
      <alignment horizontal="right" vertical="center"/>
    </xf>
    <xf numFmtId="186" fontId="2" fillId="0" borderId="9" xfId="0" applyNumberFormat="1" applyFont="1" applyFill="1" applyBorder="1" applyAlignment="1" quotePrefix="1">
      <alignment horizontal="right" vertical="center"/>
    </xf>
    <xf numFmtId="186" fontId="2" fillId="0" borderId="8" xfId="0" applyNumberFormat="1" applyFont="1" applyFill="1" applyBorder="1" applyAlignment="1">
      <alignment horizontal="right" vertical="center"/>
    </xf>
    <xf numFmtId="189" fontId="3" fillId="5" borderId="9" xfId="0" applyNumberFormat="1" applyFont="1" applyFill="1" applyBorder="1" applyAlignment="1">
      <alignment horizontal="right" vertical="center"/>
    </xf>
    <xf numFmtId="189" fontId="3" fillId="5" borderId="5" xfId="0" applyNumberFormat="1" applyFont="1" applyFill="1" applyBorder="1" applyAlignment="1">
      <alignment horizontal="right" vertical="center"/>
    </xf>
    <xf numFmtId="189" fontId="3" fillId="5" borderId="1" xfId="0" applyNumberFormat="1" applyFont="1" applyFill="1" applyBorder="1" applyAlignment="1">
      <alignment horizontal="right" vertical="center"/>
    </xf>
    <xf numFmtId="189" fontId="3" fillId="5" borderId="0" xfId="0" applyNumberFormat="1" applyFont="1" applyFill="1" applyBorder="1" applyAlignment="1">
      <alignment horizontal="right" vertical="center"/>
    </xf>
    <xf numFmtId="189" fontId="3" fillId="5" borderId="4" xfId="0" applyNumberFormat="1" applyFont="1" applyFill="1" applyBorder="1" applyAlignment="1">
      <alignment horizontal="right" vertical="center"/>
    </xf>
    <xf numFmtId="189" fontId="3" fillId="5" borderId="2" xfId="0" applyNumberFormat="1" applyFont="1" applyFill="1" applyBorder="1" applyAlignment="1">
      <alignment horizontal="right" vertical="center"/>
    </xf>
    <xf numFmtId="189" fontId="3" fillId="5" borderId="7" xfId="0" applyNumberFormat="1" applyFont="1" applyFill="1" applyBorder="1" applyAlignment="1">
      <alignment horizontal="right" vertical="center"/>
    </xf>
    <xf numFmtId="189" fontId="3" fillId="5" borderId="6" xfId="0" applyNumberFormat="1" applyFont="1" applyFill="1" applyBorder="1" applyAlignment="1">
      <alignment horizontal="right" vertical="center"/>
    </xf>
    <xf numFmtId="189" fontId="2" fillId="0" borderId="9" xfId="0" applyNumberFormat="1" applyFont="1" applyFill="1" applyBorder="1" applyAlignment="1">
      <alignment horizontal="right" vertical="center"/>
    </xf>
    <xf numFmtId="189" fontId="2" fillId="0" borderId="5" xfId="0" applyNumberFormat="1" applyFont="1" applyFill="1" applyBorder="1" applyAlignment="1">
      <alignment horizontal="right" vertical="center"/>
    </xf>
    <xf numFmtId="189" fontId="2" fillId="0" borderId="1" xfId="0" applyNumberFormat="1" applyFont="1" applyFill="1" applyBorder="1" applyAlignment="1">
      <alignment horizontal="right" vertical="center"/>
    </xf>
    <xf numFmtId="189" fontId="2" fillId="5" borderId="8" xfId="0" applyNumberFormat="1" applyFont="1" applyFill="1" applyBorder="1" applyAlignment="1">
      <alignment horizontal="right" vertical="center"/>
    </xf>
    <xf numFmtId="189" fontId="2" fillId="5" borderId="4" xfId="0" applyNumberFormat="1" applyFont="1" applyFill="1" applyBorder="1" applyAlignment="1">
      <alignment horizontal="right" vertical="center"/>
    </xf>
    <xf numFmtId="189" fontId="2" fillId="5" borderId="2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4" xfId="0" applyNumberFormat="1" applyFont="1" applyFill="1" applyBorder="1" applyAlignment="1">
      <alignment horizontal="right" vertical="center"/>
    </xf>
    <xf numFmtId="189" fontId="2" fillId="0" borderId="2" xfId="0" applyNumberFormat="1" applyFont="1" applyFill="1" applyBorder="1" applyAlignment="1">
      <alignment horizontal="right" vertical="center"/>
    </xf>
    <xf numFmtId="189" fontId="2" fillId="5" borderId="0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right" vertical="center"/>
    </xf>
    <xf numFmtId="189" fontId="2" fillId="0" borderId="6" xfId="0" applyNumberFormat="1" applyFont="1" applyFill="1" applyBorder="1" applyAlignment="1">
      <alignment horizontal="right" vertical="center"/>
    </xf>
    <xf numFmtId="189" fontId="2" fillId="0" borderId="3" xfId="0" applyNumberFormat="1" applyFont="1" applyFill="1" applyBorder="1" applyAlignment="1">
      <alignment horizontal="right" vertical="center"/>
    </xf>
    <xf numFmtId="189" fontId="2" fillId="0" borderId="8" xfId="0" applyNumberFormat="1" applyFont="1" applyFill="1" applyBorder="1" applyAlignment="1">
      <alignment horizontal="right" vertical="center"/>
    </xf>
    <xf numFmtId="189" fontId="2" fillId="5" borderId="10" xfId="0" applyNumberFormat="1" applyFont="1" applyFill="1" applyBorder="1" applyAlignment="1">
      <alignment horizontal="right" vertical="center"/>
    </xf>
    <xf numFmtId="189" fontId="2" fillId="5" borderId="6" xfId="0" applyNumberFormat="1" applyFont="1" applyFill="1" applyBorder="1" applyAlignment="1">
      <alignment horizontal="right" vertical="center"/>
    </xf>
    <xf numFmtId="189" fontId="2" fillId="5" borderId="3" xfId="0" applyNumberFormat="1" applyFont="1" applyFill="1" applyBorder="1" applyAlignment="1">
      <alignment horizontal="right" vertical="center"/>
    </xf>
    <xf numFmtId="189" fontId="3" fillId="5" borderId="11" xfId="0" applyNumberFormat="1" applyFont="1" applyFill="1" applyBorder="1" applyAlignment="1">
      <alignment horizontal="right" vertical="center"/>
    </xf>
    <xf numFmtId="189" fontId="3" fillId="5" borderId="8" xfId="0" applyNumberFormat="1" applyFont="1" applyFill="1" applyBorder="1" applyAlignment="1">
      <alignment horizontal="right" vertical="center"/>
    </xf>
    <xf numFmtId="189" fontId="3" fillId="5" borderId="10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189" fontId="2" fillId="0" borderId="7" xfId="0" applyNumberFormat="1" applyFont="1" applyFill="1" applyBorder="1" applyAlignment="1">
      <alignment horizontal="right" vertical="center"/>
    </xf>
    <xf numFmtId="189" fontId="2" fillId="5" borderId="7" xfId="0" applyNumberFormat="1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center" vertical="center" wrapText="1"/>
    </xf>
    <xf numFmtId="190" fontId="3" fillId="5" borderId="9" xfId="0" applyNumberFormat="1" applyFont="1" applyFill="1" applyBorder="1" applyAlignment="1">
      <alignment horizontal="right" vertical="center"/>
    </xf>
    <xf numFmtId="190" fontId="3" fillId="5" borderId="5" xfId="0" applyNumberFormat="1" applyFont="1" applyFill="1" applyBorder="1" applyAlignment="1">
      <alignment horizontal="right" vertical="center"/>
    </xf>
    <xf numFmtId="190" fontId="3" fillId="5" borderId="0" xfId="0" applyNumberFormat="1" applyFont="1" applyFill="1" applyBorder="1" applyAlignment="1">
      <alignment horizontal="right" vertical="center"/>
    </xf>
    <xf numFmtId="190" fontId="3" fillId="5" borderId="4" xfId="0" applyNumberFormat="1" applyFont="1" applyFill="1" applyBorder="1" applyAlignment="1">
      <alignment horizontal="right" vertical="center"/>
    </xf>
    <xf numFmtId="190" fontId="3" fillId="5" borderId="7" xfId="0" applyNumberFormat="1" applyFont="1" applyFill="1" applyBorder="1" applyAlignment="1">
      <alignment horizontal="right" vertical="center"/>
    </xf>
    <xf numFmtId="190" fontId="3" fillId="5" borderId="6" xfId="0" applyNumberFormat="1" applyFont="1" applyFill="1" applyBorder="1" applyAlignment="1">
      <alignment horizontal="right" vertical="center"/>
    </xf>
    <xf numFmtId="190" fontId="2" fillId="0" borderId="9" xfId="0" applyNumberFormat="1" applyFont="1" applyFill="1" applyBorder="1" applyAlignment="1">
      <alignment horizontal="right" vertical="center"/>
    </xf>
    <xf numFmtId="190" fontId="2" fillId="0" borderId="5" xfId="0" applyNumberFormat="1" applyFont="1" applyFill="1" applyBorder="1" applyAlignment="1">
      <alignment horizontal="right" vertical="center"/>
    </xf>
    <xf numFmtId="190" fontId="2" fillId="5" borderId="0" xfId="0" applyNumberFormat="1" applyFont="1" applyFill="1" applyBorder="1" applyAlignment="1">
      <alignment horizontal="right" vertical="center"/>
    </xf>
    <xf numFmtId="190" fontId="2" fillId="5" borderId="4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4" xfId="0" applyNumberFormat="1" applyFont="1" applyFill="1" applyBorder="1" applyAlignment="1">
      <alignment horizontal="right" vertical="center"/>
    </xf>
    <xf numFmtId="190" fontId="2" fillId="0" borderId="7" xfId="0" applyNumberFormat="1" applyFont="1" applyFill="1" applyBorder="1" applyAlignment="1">
      <alignment horizontal="right" vertical="center"/>
    </xf>
    <xf numFmtId="190" fontId="2" fillId="0" borderId="6" xfId="0" applyNumberFormat="1" applyFont="1" applyFill="1" applyBorder="1" applyAlignment="1">
      <alignment horizontal="right" vertical="center"/>
    </xf>
    <xf numFmtId="190" fontId="2" fillId="5" borderId="7" xfId="0" applyNumberFormat="1" applyFont="1" applyFill="1" applyBorder="1" applyAlignment="1">
      <alignment horizontal="right" vertical="center"/>
    </xf>
    <xf numFmtId="190" fontId="2" fillId="5" borderId="6" xfId="0" applyNumberFormat="1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3" fontId="2" fillId="0" borderId="11" xfId="0" applyNumberFormat="1" applyFont="1" applyFill="1" applyBorder="1" applyAlignment="1">
      <alignment horizontal="right" vertical="center"/>
    </xf>
    <xf numFmtId="2" fontId="3" fillId="5" borderId="9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right" vertical="center"/>
    </xf>
    <xf numFmtId="168" fontId="2" fillId="5" borderId="8" xfId="0" applyNumberFormat="1" applyFont="1" applyFill="1" applyBorder="1" applyAlignment="1">
      <alignment horizontal="right" vertical="center"/>
    </xf>
    <xf numFmtId="168" fontId="2" fillId="5" borderId="0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6" borderId="8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75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175" fontId="3" fillId="5" borderId="11" xfId="0" applyNumberFormat="1" applyFont="1" applyFill="1" applyBorder="1" applyAlignment="1">
      <alignment vertical="center"/>
    </xf>
    <xf numFmtId="175" fontId="3" fillId="5" borderId="8" xfId="0" applyNumberFormat="1" applyFont="1" applyFill="1" applyBorder="1" applyAlignment="1">
      <alignment vertical="center"/>
    </xf>
    <xf numFmtId="175" fontId="3" fillId="5" borderId="10" xfId="0" applyNumberFormat="1" applyFont="1" applyFill="1" applyBorder="1" applyAlignment="1">
      <alignment vertical="center"/>
    </xf>
    <xf numFmtId="175" fontId="2" fillId="0" borderId="11" xfId="0" applyNumberFormat="1" applyFont="1" applyFill="1" applyBorder="1" applyAlignment="1">
      <alignment vertical="center"/>
    </xf>
    <xf numFmtId="175" fontId="2" fillId="0" borderId="9" xfId="0" applyNumberFormat="1" applyFont="1" applyFill="1" applyBorder="1" applyAlignment="1">
      <alignment vertical="center"/>
    </xf>
    <xf numFmtId="175" fontId="2" fillId="0" borderId="0" xfId="0" applyNumberFormat="1" applyFont="1" applyAlignment="1">
      <alignment vertical="center"/>
    </xf>
    <xf numFmtId="175" fontId="2" fillId="5" borderId="8" xfId="0" applyNumberFormat="1" applyFont="1" applyFill="1" applyBorder="1" applyAlignment="1">
      <alignment vertical="center"/>
    </xf>
    <xf numFmtId="175" fontId="2" fillId="5" borderId="0" xfId="0" applyNumberFormat="1" applyFont="1" applyFill="1" applyBorder="1" applyAlignment="1">
      <alignment vertical="center"/>
    </xf>
    <xf numFmtId="175" fontId="2" fillId="5" borderId="0" xfId="0" applyNumberFormat="1" applyFont="1" applyFill="1" applyAlignment="1">
      <alignment vertical="center"/>
    </xf>
    <xf numFmtId="175" fontId="2" fillId="5" borderId="4" xfId="0" applyNumberFormat="1" applyFont="1" applyFill="1" applyBorder="1" applyAlignment="1">
      <alignment vertical="center"/>
    </xf>
    <xf numFmtId="175" fontId="2" fillId="0" borderId="8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175" fontId="2" fillId="0" borderId="4" xfId="0" applyNumberFormat="1" applyFont="1" applyBorder="1" applyAlignment="1">
      <alignment vertical="center"/>
    </xf>
    <xf numFmtId="175" fontId="2" fillId="5" borderId="22" xfId="0" applyNumberFormat="1" applyFont="1" applyFill="1" applyBorder="1" applyAlignment="1">
      <alignment vertical="center"/>
    </xf>
    <xf numFmtId="175" fontId="11" fillId="0" borderId="0" xfId="0" applyNumberFormat="1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vertical="center"/>
    </xf>
    <xf numFmtId="175" fontId="2" fillId="0" borderId="7" xfId="0" applyNumberFormat="1" applyFont="1" applyFill="1" applyBorder="1" applyAlignment="1">
      <alignment vertical="center"/>
    </xf>
    <xf numFmtId="175" fontId="2" fillId="0" borderId="7" xfId="0" applyNumberFormat="1" applyFont="1" applyBorder="1" applyAlignment="1">
      <alignment vertical="center"/>
    </xf>
    <xf numFmtId="175" fontId="2" fillId="0" borderId="6" xfId="0" applyNumberFormat="1" applyFont="1" applyBorder="1" applyAlignment="1">
      <alignment vertical="center"/>
    </xf>
    <xf numFmtId="175" fontId="11" fillId="5" borderId="0" xfId="0" applyNumberFormat="1" applyFont="1" applyFill="1" applyBorder="1" applyAlignment="1">
      <alignment vertical="center"/>
    </xf>
    <xf numFmtId="175" fontId="2" fillId="5" borderId="10" xfId="0" applyNumberFormat="1" applyFont="1" applyFill="1" applyBorder="1" applyAlignment="1">
      <alignment vertical="center"/>
    </xf>
    <xf numFmtId="175" fontId="2" fillId="5" borderId="7" xfId="0" applyNumberFormat="1" applyFont="1" applyFill="1" applyBorder="1" applyAlignment="1">
      <alignment vertical="center"/>
    </xf>
    <xf numFmtId="175" fontId="2" fillId="5" borderId="6" xfId="0" applyNumberFormat="1" applyFont="1" applyFill="1" applyBorder="1" applyAlignment="1">
      <alignment vertical="center"/>
    </xf>
    <xf numFmtId="3" fontId="3" fillId="5" borderId="0" xfId="0" applyNumberFormat="1" applyFont="1" applyFill="1" applyBorder="1" applyAlignment="1">
      <alignment vertical="center"/>
    </xf>
    <xf numFmtId="1" fontId="3" fillId="6" borderId="0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top"/>
    </xf>
    <xf numFmtId="1" fontId="3" fillId="6" borderId="11" xfId="0" applyNumberFormat="1" applyFont="1" applyFill="1" applyBorder="1" applyAlignment="1">
      <alignment horizontal="center"/>
    </xf>
    <xf numFmtId="1" fontId="3" fillId="6" borderId="9" xfId="0" applyNumberFormat="1" applyFont="1" applyFill="1" applyBorder="1" applyAlignment="1">
      <alignment horizontal="center"/>
    </xf>
    <xf numFmtId="1" fontId="3" fillId="6" borderId="5" xfId="0" applyNumberFormat="1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 wrapText="1"/>
    </xf>
    <xf numFmtId="190" fontId="2" fillId="5" borderId="22" xfId="0" applyNumberFormat="1" applyFont="1" applyFill="1" applyBorder="1" applyAlignment="1">
      <alignment horizontal="right" vertical="center"/>
    </xf>
    <xf numFmtId="190" fontId="2" fillId="0" borderId="22" xfId="0" applyNumberFormat="1" applyFont="1" applyFill="1" applyBorder="1" applyAlignment="1">
      <alignment horizontal="right" vertical="center"/>
    </xf>
    <xf numFmtId="3" fontId="12" fillId="5" borderId="11" xfId="0" applyNumberFormat="1" applyFont="1" applyFill="1" applyBorder="1" applyAlignment="1">
      <alignment horizontal="right" vertical="center"/>
    </xf>
    <xf numFmtId="190" fontId="12" fillId="5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175" fontId="3" fillId="5" borderId="8" xfId="0" applyNumberFormat="1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right"/>
    </xf>
    <xf numFmtId="175" fontId="3" fillId="5" borderId="7" xfId="0" applyNumberFormat="1" applyFont="1" applyFill="1" applyBorder="1" applyAlignment="1">
      <alignment horizontal="right"/>
    </xf>
    <xf numFmtId="1" fontId="3" fillId="6" borderId="4" xfId="0" applyNumberFormat="1" applyFont="1" applyFill="1" applyBorder="1" applyAlignment="1">
      <alignment horizontal="center" vertical="center"/>
    </xf>
    <xf numFmtId="169" fontId="3" fillId="5" borderId="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184" fontId="3" fillId="5" borderId="5" xfId="0" applyNumberFormat="1" applyFont="1" applyFill="1" applyBorder="1" applyAlignment="1">
      <alignment horizontal="right" vertical="center"/>
    </xf>
    <xf numFmtId="184" fontId="3" fillId="5" borderId="4" xfId="0" applyNumberFormat="1" applyFont="1" applyFill="1" applyBorder="1" applyAlignment="1">
      <alignment horizontal="right" vertical="center"/>
    </xf>
    <xf numFmtId="184" fontId="3" fillId="5" borderId="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189" fontId="3" fillId="5" borderId="7" xfId="0" applyNumberFormat="1" applyFont="1" applyFill="1" applyBorder="1" applyAlignment="1">
      <alignment vertical="center"/>
    </xf>
    <xf numFmtId="189" fontId="2" fillId="0" borderId="5" xfId="0" applyNumberFormat="1" applyFont="1" applyFill="1" applyBorder="1" applyAlignment="1">
      <alignment vertical="center"/>
    </xf>
    <xf numFmtId="189" fontId="2" fillId="5" borderId="4" xfId="0" applyNumberFormat="1" applyFont="1" applyFill="1" applyBorder="1" applyAlignment="1">
      <alignment vertical="center"/>
    </xf>
    <xf numFmtId="189" fontId="2" fillId="0" borderId="4" xfId="0" applyNumberFormat="1" applyFont="1" applyFill="1" applyBorder="1" applyAlignment="1">
      <alignment vertical="center"/>
    </xf>
    <xf numFmtId="189" fontId="2" fillId="5" borderId="4" xfId="0" applyNumberFormat="1" applyFont="1" applyFill="1" applyBorder="1" applyAlignment="1">
      <alignment vertical="center"/>
    </xf>
    <xf numFmtId="189" fontId="2" fillId="0" borderId="4" xfId="0" applyNumberFormat="1" applyFont="1" applyFill="1" applyBorder="1" applyAlignment="1">
      <alignment/>
    </xf>
    <xf numFmtId="189" fontId="2" fillId="5" borderId="0" xfId="0" applyNumberFormat="1" applyFont="1" applyFill="1" applyBorder="1" applyAlignment="1" quotePrefix="1">
      <alignment horizontal="right" vertical="center"/>
    </xf>
    <xf numFmtId="189" fontId="2" fillId="0" borderId="4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 quotePrefix="1">
      <alignment horizontal="right" vertical="center"/>
    </xf>
    <xf numFmtId="189" fontId="2" fillId="0" borderId="6" xfId="0" applyNumberFormat="1" applyFont="1" applyFill="1" applyBorder="1" applyAlignment="1">
      <alignment vertical="center"/>
    </xf>
    <xf numFmtId="189" fontId="2" fillId="5" borderId="6" xfId="0" applyNumberFormat="1" applyFont="1" applyFill="1" applyBorder="1" applyAlignment="1">
      <alignment vertical="center"/>
    </xf>
    <xf numFmtId="189" fontId="2" fillId="0" borderId="7" xfId="0" applyNumberFormat="1" applyFont="1" applyFill="1" applyBorder="1" applyAlignment="1">
      <alignment vertical="center"/>
    </xf>
    <xf numFmtId="189" fontId="2" fillId="5" borderId="4" xfId="0" applyNumberFormat="1" applyFont="1" applyFill="1" applyBorder="1" applyAlignment="1">
      <alignment horizontal="right" vertical="center"/>
    </xf>
    <xf numFmtId="189" fontId="12" fillId="5" borderId="9" xfId="0" applyNumberFormat="1" applyFont="1" applyFill="1" applyBorder="1" applyAlignment="1">
      <alignment horizontal="right" vertical="center"/>
    </xf>
    <xf numFmtId="189" fontId="12" fillId="5" borderId="0" xfId="0" applyNumberFormat="1" applyFont="1" applyFill="1" applyBorder="1" applyAlignment="1">
      <alignment horizontal="right" vertical="center"/>
    </xf>
    <xf numFmtId="189" fontId="3" fillId="5" borderId="0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2" fontId="2" fillId="5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11" fillId="0" borderId="22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 quotePrefix="1">
      <alignment horizontal="right" vertical="center"/>
    </xf>
    <xf numFmtId="168" fontId="2" fillId="5" borderId="8" xfId="0" applyNumberFormat="1" applyFont="1" applyFill="1" applyBorder="1" applyAlignment="1" quotePrefix="1">
      <alignment horizontal="right" vertical="center"/>
    </xf>
    <xf numFmtId="168" fontId="2" fillId="5" borderId="7" xfId="0" applyNumberFormat="1" applyFont="1" applyFill="1" applyBorder="1" applyAlignment="1">
      <alignment horizontal="right" vertical="center"/>
    </xf>
    <xf numFmtId="189" fontId="2" fillId="0" borderId="0" xfId="0" applyNumberFormat="1" applyFont="1" applyAlignment="1">
      <alignment/>
    </xf>
    <xf numFmtId="184" fontId="2" fillId="0" borderId="4" xfId="0" applyNumberFormat="1" applyFont="1" applyFill="1" applyBorder="1" applyAlignment="1">
      <alignment horizontal="right" vertical="center"/>
    </xf>
    <xf numFmtId="184" fontId="2" fillId="5" borderId="4" xfId="0" applyNumberFormat="1" applyFont="1" applyFill="1" applyBorder="1" applyAlignment="1">
      <alignment horizontal="right" vertical="center"/>
    </xf>
    <xf numFmtId="184" fontId="2" fillId="0" borderId="6" xfId="0" applyNumberFormat="1" applyFont="1" applyFill="1" applyBorder="1" applyAlignment="1">
      <alignment horizontal="right" vertical="center"/>
    </xf>
    <xf numFmtId="190" fontId="12" fillId="5" borderId="7" xfId="0" applyNumberFormat="1" applyFont="1" applyFill="1" applyBorder="1" applyAlignment="1">
      <alignment horizontal="right" vertical="center"/>
    </xf>
    <xf numFmtId="2" fontId="12" fillId="5" borderId="0" xfId="0" applyNumberFormat="1" applyFont="1" applyFill="1" applyBorder="1" applyAlignment="1">
      <alignment horizontal="right" vertical="center"/>
    </xf>
    <xf numFmtId="168" fontId="3" fillId="5" borderId="9" xfId="0" applyNumberFormat="1" applyFont="1" applyFill="1" applyBorder="1" applyAlignment="1" quotePrefix="1">
      <alignment horizontal="right" vertical="center"/>
    </xf>
    <xf numFmtId="168" fontId="12" fillId="5" borderId="9" xfId="0" applyNumberFormat="1" applyFont="1" applyFill="1" applyBorder="1" applyAlignment="1">
      <alignment horizontal="right" vertical="center"/>
    </xf>
    <xf numFmtId="168" fontId="3" fillId="5" borderId="0" xfId="0" applyNumberFormat="1" applyFont="1" applyFill="1" applyBorder="1" applyAlignment="1" quotePrefix="1">
      <alignment horizontal="right" vertical="center"/>
    </xf>
    <xf numFmtId="168" fontId="12" fillId="5" borderId="0" xfId="0" applyNumberFormat="1" applyFont="1" applyFill="1" applyBorder="1" applyAlignment="1" quotePrefix="1">
      <alignment horizontal="right" vertical="center"/>
    </xf>
    <xf numFmtId="0" fontId="3" fillId="6" borderId="3" xfId="0" applyFont="1" applyFill="1" applyBorder="1" applyAlignment="1">
      <alignment horizontal="center" vertical="top" wrapText="1"/>
    </xf>
    <xf numFmtId="190" fontId="11" fillId="0" borderId="0" xfId="0" applyNumberFormat="1" applyFont="1" applyFill="1" applyBorder="1" applyAlignment="1">
      <alignment horizontal="right" vertical="center"/>
    </xf>
    <xf numFmtId="190" fontId="2" fillId="0" borderId="23" xfId="0" applyNumberFormat="1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3" fontId="11" fillId="0" borderId="8" xfId="0" applyNumberFormat="1" applyFont="1" applyFill="1" applyBorder="1" applyAlignment="1">
      <alignment vertical="center"/>
    </xf>
    <xf numFmtId="3" fontId="12" fillId="5" borderId="7" xfId="0" applyNumberFormat="1" applyFont="1" applyFill="1" applyBorder="1" applyAlignment="1">
      <alignment vertical="center"/>
    </xf>
    <xf numFmtId="3" fontId="12" fillId="5" borderId="8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horizontal="center" vertical="center"/>
    </xf>
    <xf numFmtId="3" fontId="18" fillId="0" borderId="0" xfId="24" applyNumberFormat="1" applyFont="1" applyFill="1" applyBorder="1" applyAlignment="1">
      <alignment vertical="center"/>
      <protection locked="0"/>
    </xf>
    <xf numFmtId="3" fontId="18" fillId="5" borderId="0" xfId="24" applyNumberFormat="1" applyFont="1" applyFill="1" applyBorder="1" applyAlignment="1">
      <alignment vertical="center"/>
      <protection locked="0"/>
    </xf>
    <xf numFmtId="3" fontId="18" fillId="0" borderId="7" xfId="24" applyNumberFormat="1" applyFont="1" applyFill="1" applyBorder="1" applyAlignment="1">
      <alignment vertical="center"/>
      <protection locked="0"/>
    </xf>
    <xf numFmtId="3" fontId="18" fillId="5" borderId="7" xfId="24" applyNumberFormat="1" applyFont="1" applyFill="1" applyBorder="1" applyAlignment="1">
      <alignment vertical="center"/>
      <protection locked="0"/>
    </xf>
    <xf numFmtId="3" fontId="2" fillId="0" borderId="7" xfId="0" applyNumberFormat="1" applyFont="1" applyFill="1" applyBorder="1" applyAlignment="1">
      <alignment vertical="center"/>
    </xf>
    <xf numFmtId="3" fontId="18" fillId="5" borderId="9" xfId="24" applyNumberFormat="1" applyFont="1" applyFill="1" applyBorder="1" applyAlignment="1">
      <alignment vertical="center"/>
      <protection locked="0"/>
    </xf>
    <xf numFmtId="3" fontId="2" fillId="5" borderId="10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 quotePrefix="1">
      <alignment horizontal="center" vertical="center"/>
    </xf>
    <xf numFmtId="3" fontId="2" fillId="0" borderId="8" xfId="0" applyNumberFormat="1" applyFont="1" applyFill="1" applyBorder="1" applyAlignment="1" quotePrefix="1">
      <alignment horizontal="center" vertical="center"/>
    </xf>
    <xf numFmtId="169" fontId="12" fillId="5" borderId="11" xfId="0" applyNumberFormat="1" applyFont="1" applyFill="1" applyBorder="1" applyAlignment="1">
      <alignment horizontal="right" vertical="center"/>
    </xf>
    <xf numFmtId="169" fontId="12" fillId="5" borderId="9" xfId="0" applyNumberFormat="1" applyFont="1" applyFill="1" applyBorder="1" applyAlignment="1">
      <alignment horizontal="right" vertical="center"/>
    </xf>
    <xf numFmtId="169" fontId="12" fillId="5" borderId="5" xfId="0" applyNumberFormat="1" applyFont="1" applyFill="1" applyBorder="1" applyAlignment="1">
      <alignment horizontal="right" vertical="center"/>
    </xf>
    <xf numFmtId="169" fontId="3" fillId="5" borderId="8" xfId="0" applyNumberFormat="1" applyFont="1" applyFill="1" applyBorder="1" applyAlignment="1">
      <alignment horizontal="right" vertical="center"/>
    </xf>
    <xf numFmtId="169" fontId="3" fillId="5" borderId="0" xfId="0" applyNumberFormat="1" applyFont="1" applyFill="1" applyBorder="1" applyAlignment="1">
      <alignment horizontal="right" vertical="center"/>
    </xf>
    <xf numFmtId="169" fontId="3" fillId="5" borderId="10" xfId="0" applyNumberFormat="1" applyFont="1" applyFill="1" applyBorder="1" applyAlignment="1">
      <alignment horizontal="right" vertical="center"/>
    </xf>
    <xf numFmtId="169" fontId="3" fillId="5" borderId="7" xfId="0" applyNumberFormat="1" applyFont="1" applyFill="1" applyBorder="1" applyAlignment="1">
      <alignment horizontal="right" vertical="center"/>
    </xf>
    <xf numFmtId="169" fontId="3" fillId="5" borderId="6" xfId="0" applyNumberFormat="1" applyFont="1" applyFill="1" applyBorder="1" applyAlignment="1">
      <alignment horizontal="right" vertical="center"/>
    </xf>
    <xf numFmtId="169" fontId="2" fillId="0" borderId="11" xfId="0" applyNumberFormat="1" applyFont="1" applyFill="1" applyBorder="1" applyAlignment="1">
      <alignment horizontal="right" vertical="center"/>
    </xf>
    <xf numFmtId="169" fontId="2" fillId="0" borderId="9" xfId="0" applyNumberFormat="1" applyFont="1" applyFill="1" applyBorder="1" applyAlignment="1">
      <alignment horizontal="right" vertical="center"/>
    </xf>
    <xf numFmtId="169" fontId="2" fillId="0" borderId="5" xfId="0" applyNumberFormat="1" applyFont="1" applyFill="1" applyBorder="1" applyAlignment="1">
      <alignment horizontal="right" vertical="center"/>
    </xf>
    <xf numFmtId="169" fontId="2" fillId="5" borderId="8" xfId="0" applyNumberFormat="1" applyFont="1" applyFill="1" applyBorder="1" applyAlignment="1">
      <alignment horizontal="right" vertical="center"/>
    </xf>
    <xf numFmtId="169" fontId="2" fillId="5" borderId="0" xfId="0" applyNumberFormat="1" applyFont="1" applyFill="1" applyBorder="1" applyAlignment="1">
      <alignment horizontal="right" vertical="center"/>
    </xf>
    <xf numFmtId="169" fontId="2" fillId="5" borderId="4" xfId="0" applyNumberFormat="1" applyFont="1" applyFill="1" applyBorder="1" applyAlignment="1">
      <alignment horizontal="right" vertical="center"/>
    </xf>
    <xf numFmtId="169" fontId="2" fillId="0" borderId="8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169" fontId="2" fillId="0" borderId="4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2" fillId="0" borderId="7" xfId="0" applyNumberFormat="1" applyFont="1" applyFill="1" applyBorder="1" applyAlignment="1">
      <alignment horizontal="right" vertical="center"/>
    </xf>
    <xf numFmtId="169" fontId="2" fillId="0" borderId="6" xfId="0" applyNumberFormat="1" applyFont="1" applyFill="1" applyBorder="1" applyAlignment="1">
      <alignment horizontal="right" vertical="center"/>
    </xf>
    <xf numFmtId="169" fontId="3" fillId="5" borderId="11" xfId="0" applyNumberFormat="1" applyFont="1" applyFill="1" applyBorder="1" applyAlignment="1">
      <alignment horizontal="right" vertical="center"/>
    </xf>
    <xf numFmtId="169" fontId="3" fillId="5" borderId="9" xfId="0" applyNumberFormat="1" applyFont="1" applyFill="1" applyBorder="1" applyAlignment="1">
      <alignment horizontal="right" vertical="center"/>
    </xf>
    <xf numFmtId="169" fontId="3" fillId="5" borderId="5" xfId="0" applyNumberFormat="1" applyFont="1" applyFill="1" applyBorder="1" applyAlignment="1">
      <alignment horizontal="right" vertical="center"/>
    </xf>
    <xf numFmtId="0" fontId="16" fillId="0" borderId="0" xfId="0" applyFont="1" applyAlignment="1" quotePrefix="1">
      <alignment horizontal="left"/>
    </xf>
    <xf numFmtId="193" fontId="2" fillId="0" borderId="11" xfId="0" applyNumberFormat="1" applyFont="1" applyFill="1" applyBorder="1" applyAlignment="1">
      <alignment horizontal="right" vertical="center"/>
    </xf>
    <xf numFmtId="193" fontId="2" fillId="0" borderId="9" xfId="0" applyNumberFormat="1" applyFont="1" applyBorder="1" applyAlignment="1">
      <alignment vertical="center"/>
    </xf>
    <xf numFmtId="193" fontId="2" fillId="0" borderId="5" xfId="0" applyNumberFormat="1" applyFont="1" applyBorder="1" applyAlignment="1">
      <alignment vertical="center"/>
    </xf>
    <xf numFmtId="193" fontId="2" fillId="5" borderId="8" xfId="0" applyNumberFormat="1" applyFont="1" applyFill="1" applyBorder="1" applyAlignment="1">
      <alignment horizontal="right" vertical="center"/>
    </xf>
    <xf numFmtId="193" fontId="2" fillId="5" borderId="0" xfId="0" applyNumberFormat="1" applyFont="1" applyFill="1" applyBorder="1" applyAlignment="1">
      <alignment vertical="center"/>
    </xf>
    <xf numFmtId="193" fontId="2" fillId="5" borderId="4" xfId="0" applyNumberFormat="1" applyFont="1" applyFill="1" applyBorder="1" applyAlignment="1">
      <alignment vertical="center"/>
    </xf>
    <xf numFmtId="193" fontId="2" fillId="0" borderId="8" xfId="0" applyNumberFormat="1" applyFont="1" applyFill="1" applyBorder="1" applyAlignment="1">
      <alignment horizontal="right" vertical="center"/>
    </xf>
    <xf numFmtId="193" fontId="2" fillId="0" borderId="0" xfId="0" applyNumberFormat="1" applyFont="1" applyBorder="1" applyAlignment="1">
      <alignment vertical="center"/>
    </xf>
    <xf numFmtId="193" fontId="2" fillId="0" borderId="4" xfId="0" applyNumberFormat="1" applyFont="1" applyBorder="1" applyAlignment="1">
      <alignment vertical="center"/>
    </xf>
    <xf numFmtId="193" fontId="2" fillId="0" borderId="8" xfId="0" applyNumberFormat="1" applyFont="1" applyBorder="1" applyAlignment="1">
      <alignment vertical="center"/>
    </xf>
    <xf numFmtId="193" fontId="3" fillId="5" borderId="19" xfId="0" applyNumberFormat="1" applyFont="1" applyFill="1" applyBorder="1" applyAlignment="1">
      <alignment horizontal="right" vertical="center"/>
    </xf>
    <xf numFmtId="193" fontId="3" fillId="5" borderId="20" xfId="0" applyNumberFormat="1" applyFont="1" applyFill="1" applyBorder="1" applyAlignment="1">
      <alignment horizontal="right" vertical="center"/>
    </xf>
    <xf numFmtId="193" fontId="3" fillId="5" borderId="21" xfId="0" applyNumberFormat="1" applyFont="1" applyFill="1" applyBorder="1" applyAlignment="1">
      <alignment horizontal="right" vertical="center"/>
    </xf>
    <xf numFmtId="193" fontId="11" fillId="5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2" fillId="6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7" borderId="7" xfId="0" applyFont="1" applyFill="1" applyBorder="1" applyAlignment="1">
      <alignment horizontal="right" vertical="center"/>
    </xf>
    <xf numFmtId="3" fontId="2" fillId="7" borderId="10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right" vertical="center"/>
    </xf>
    <xf numFmtId="3" fontId="2" fillId="5" borderId="28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7" borderId="29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 horizontal="right" vertical="center"/>
    </xf>
    <xf numFmtId="3" fontId="2" fillId="5" borderId="31" xfId="0" applyNumberFormat="1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right" vertical="center"/>
    </xf>
    <xf numFmtId="3" fontId="2" fillId="7" borderId="32" xfId="0" applyNumberFormat="1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right" vertical="center"/>
    </xf>
    <xf numFmtId="0" fontId="2" fillId="7" borderId="1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5" borderId="28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7" borderId="29" xfId="0" applyFont="1" applyFill="1" applyBorder="1" applyAlignment="1">
      <alignment horizontal="right" vertical="center"/>
    </xf>
    <xf numFmtId="169" fontId="2" fillId="0" borderId="28" xfId="0" applyNumberFormat="1" applyFont="1" applyFill="1" applyBorder="1" applyAlignment="1">
      <alignment horizontal="right" vertical="center"/>
    </xf>
    <xf numFmtId="0" fontId="3" fillId="7" borderId="2" xfId="0" applyFont="1" applyFill="1" applyBorder="1" applyAlignment="1">
      <alignment horizontal="left"/>
    </xf>
    <xf numFmtId="3" fontId="2" fillId="7" borderId="8" xfId="0" applyNumberFormat="1" applyFont="1" applyFill="1" applyBorder="1" applyAlignment="1">
      <alignment horizontal="right"/>
    </xf>
    <xf numFmtId="3" fontId="2" fillId="7" borderId="28" xfId="0" applyNumberFormat="1" applyFont="1" applyFill="1" applyBorder="1" applyAlignment="1">
      <alignment horizontal="right"/>
    </xf>
    <xf numFmtId="3" fontId="2" fillId="7" borderId="31" xfId="0" applyNumberFormat="1" applyFont="1" applyFill="1" applyBorder="1" applyAlignment="1">
      <alignment horizontal="right"/>
    </xf>
    <xf numFmtId="3" fontId="2" fillId="7" borderId="4" xfId="0" applyNumberFormat="1" applyFont="1" applyFill="1" applyBorder="1" applyAlignment="1">
      <alignment horizontal="right"/>
    </xf>
    <xf numFmtId="0" fontId="2" fillId="7" borderId="8" xfId="0" applyFont="1" applyFill="1" applyBorder="1" applyAlignment="1">
      <alignment horizontal="right"/>
    </xf>
    <xf numFmtId="0" fontId="2" fillId="7" borderId="28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right"/>
    </xf>
    <xf numFmtId="0" fontId="10" fillId="7" borderId="8" xfId="0" applyFont="1" applyFill="1" applyBorder="1" applyAlignment="1">
      <alignment horizontal="center" vertical="top" wrapText="1"/>
    </xf>
    <xf numFmtId="3" fontId="2" fillId="7" borderId="8" xfId="0" applyNumberFormat="1" applyFont="1" applyFill="1" applyBorder="1" applyAlignment="1">
      <alignment horizontal="right" vertical="top"/>
    </xf>
    <xf numFmtId="3" fontId="2" fillId="7" borderId="28" xfId="0" applyNumberFormat="1" applyFont="1" applyFill="1" applyBorder="1" applyAlignment="1">
      <alignment horizontal="right" vertical="top"/>
    </xf>
    <xf numFmtId="3" fontId="2" fillId="7" borderId="31" xfId="0" applyNumberFormat="1" applyFont="1" applyFill="1" applyBorder="1" applyAlignment="1">
      <alignment horizontal="right" vertical="top"/>
    </xf>
    <xf numFmtId="3" fontId="2" fillId="7" borderId="4" xfId="0" applyNumberFormat="1" applyFont="1" applyFill="1" applyBorder="1" applyAlignment="1">
      <alignment horizontal="right" vertical="top"/>
    </xf>
    <xf numFmtId="0" fontId="2" fillId="7" borderId="8" xfId="0" applyFont="1" applyFill="1" applyBorder="1" applyAlignment="1">
      <alignment horizontal="right" vertical="top"/>
    </xf>
    <xf numFmtId="0" fontId="2" fillId="7" borderId="28" xfId="0" applyFont="1" applyFill="1" applyBorder="1" applyAlignment="1">
      <alignment horizontal="right" vertical="top"/>
    </xf>
    <xf numFmtId="0" fontId="2" fillId="7" borderId="0" xfId="0" applyFont="1" applyFill="1" applyBorder="1" applyAlignment="1">
      <alignment horizontal="right" vertical="top"/>
    </xf>
    <xf numFmtId="0" fontId="2" fillId="7" borderId="4" xfId="0" applyFont="1" applyFill="1" applyBorder="1" applyAlignment="1">
      <alignment horizontal="right" vertical="top"/>
    </xf>
    <xf numFmtId="0" fontId="2" fillId="6" borderId="2" xfId="0" applyFont="1" applyFill="1" applyBorder="1" applyAlignment="1">
      <alignment horizontal="left" vertical="top" wrapText="1"/>
    </xf>
    <xf numFmtId="3" fontId="3" fillId="5" borderId="8" xfId="0" applyNumberFormat="1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/>
    </xf>
    <xf numFmtId="3" fontId="2" fillId="5" borderId="4" xfId="0" applyNumberFormat="1" applyFont="1" applyFill="1" applyBorder="1" applyAlignment="1">
      <alignment/>
    </xf>
    <xf numFmtId="175" fontId="2" fillId="0" borderId="8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Alignment="1">
      <alignment/>
    </xf>
    <xf numFmtId="3" fontId="3" fillId="5" borderId="33" xfId="0" applyNumberFormat="1" applyFont="1" applyFill="1" applyBorder="1" applyAlignment="1">
      <alignment horizontal="right" vertical="center"/>
    </xf>
    <xf numFmtId="0" fontId="3" fillId="5" borderId="3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89" fontId="3" fillId="5" borderId="9" xfId="0" applyNumberFormat="1" applyFont="1" applyFill="1" applyBorder="1" applyAlignment="1">
      <alignment horizontal="right" vertical="center"/>
    </xf>
    <xf numFmtId="189" fontId="3" fillId="5" borderId="0" xfId="0" applyNumberFormat="1" applyFont="1" applyFill="1" applyBorder="1" applyAlignment="1">
      <alignment vertical="center"/>
    </xf>
    <xf numFmtId="189" fontId="2" fillId="0" borderId="9" xfId="0" applyNumberFormat="1" applyFont="1" applyFill="1" applyBorder="1" applyAlignment="1">
      <alignment vertical="center"/>
    </xf>
    <xf numFmtId="189" fontId="2" fillId="5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2" fillId="5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5" borderId="7" xfId="0" applyNumberFormat="1" applyFont="1" applyFill="1" applyBorder="1" applyAlignment="1">
      <alignment vertical="center"/>
    </xf>
    <xf numFmtId="189" fontId="2" fillId="5" borderId="0" xfId="0" applyNumberFormat="1" applyFont="1" applyFill="1" applyBorder="1" applyAlignment="1">
      <alignment horizontal="right" vertical="center"/>
    </xf>
    <xf numFmtId="189" fontId="11" fillId="5" borderId="0" xfId="0" applyNumberFormat="1" applyFont="1" applyFill="1" applyBorder="1" applyAlignment="1">
      <alignment horizontal="right" vertical="center"/>
    </xf>
    <xf numFmtId="189" fontId="11" fillId="5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5" borderId="9" xfId="0" applyNumberFormat="1" applyFont="1" applyFill="1" applyBorder="1" applyAlignment="1">
      <alignment vertical="center"/>
    </xf>
    <xf numFmtId="189" fontId="2" fillId="0" borderId="9" xfId="0" applyNumberFormat="1" applyFont="1" applyFill="1" applyBorder="1" applyAlignment="1" quotePrefix="1">
      <alignment horizontal="right" vertical="center"/>
    </xf>
    <xf numFmtId="189" fontId="11" fillId="0" borderId="6" xfId="0" applyNumberFormat="1" applyFont="1" applyFill="1" applyBorder="1" applyAlignment="1">
      <alignment vertical="center"/>
    </xf>
    <xf numFmtId="189" fontId="3" fillId="5" borderId="34" xfId="0" applyNumberFormat="1" applyFont="1" applyFill="1" applyBorder="1" applyAlignment="1">
      <alignment horizontal="right" vertical="center"/>
    </xf>
    <xf numFmtId="189" fontId="3" fillId="5" borderId="22" xfId="0" applyNumberFormat="1" applyFont="1" applyFill="1" applyBorder="1" applyAlignment="1">
      <alignment vertical="center"/>
    </xf>
    <xf numFmtId="189" fontId="2" fillId="0" borderId="22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5" xfId="0" applyNumberFormat="1" applyFont="1" applyBorder="1" applyAlignment="1">
      <alignment horizontal="center"/>
    </xf>
    <xf numFmtId="3" fontId="3" fillId="0" borderId="36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84" fontId="2" fillId="5" borderId="0" xfId="0" applyNumberFormat="1" applyFont="1" applyFill="1" applyBorder="1" applyAlignment="1">
      <alignment horizontal="right" vertical="center"/>
    </xf>
    <xf numFmtId="184" fontId="3" fillId="5" borderId="9" xfId="0" applyNumberFormat="1" applyFont="1" applyFill="1" applyBorder="1" applyAlignment="1">
      <alignment horizontal="right" vertical="center"/>
    </xf>
    <xf numFmtId="184" fontId="3" fillId="5" borderId="0" xfId="0" applyNumberFormat="1" applyFont="1" applyFill="1" applyBorder="1" applyAlignment="1">
      <alignment horizontal="right" vertical="center"/>
    </xf>
    <xf numFmtId="184" fontId="3" fillId="5" borderId="7" xfId="0" applyNumberFormat="1" applyFont="1" applyFill="1" applyBorder="1" applyAlignment="1">
      <alignment horizontal="right" vertical="center"/>
    </xf>
    <xf numFmtId="184" fontId="2" fillId="0" borderId="9" xfId="0" applyNumberFormat="1" applyFont="1" applyFill="1" applyBorder="1" applyAlignment="1">
      <alignment horizontal="right" vertical="center"/>
    </xf>
    <xf numFmtId="184" fontId="2" fillId="0" borderId="5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11" fillId="5" borderId="4" xfId="0" applyNumberFormat="1" applyFont="1" applyFill="1" applyBorder="1" applyAlignment="1">
      <alignment horizontal="right" vertical="center"/>
    </xf>
    <xf numFmtId="184" fontId="2" fillId="5" borderId="0" xfId="0" applyNumberFormat="1" applyFont="1" applyFill="1" applyAlignment="1">
      <alignment horizontal="center" vertical="center"/>
    </xf>
    <xf numFmtId="184" fontId="2" fillId="0" borderId="7" xfId="0" applyNumberFormat="1" applyFont="1" applyFill="1" applyBorder="1" applyAlignment="1">
      <alignment horizontal="right" vertical="center"/>
    </xf>
    <xf numFmtId="184" fontId="2" fillId="5" borderId="7" xfId="0" applyNumberFormat="1" applyFont="1" applyFill="1" applyBorder="1" applyAlignment="1">
      <alignment horizontal="right" vertical="center"/>
    </xf>
    <xf numFmtId="184" fontId="2" fillId="5" borderId="6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 quotePrefix="1">
      <alignment horizontal="right" vertical="center"/>
    </xf>
    <xf numFmtId="3" fontId="2" fillId="0" borderId="4" xfId="0" applyNumberFormat="1" applyFont="1" applyFill="1" applyBorder="1" applyAlignment="1" quotePrefix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66" fontId="3" fillId="5" borderId="0" xfId="0" applyNumberFormat="1" applyFont="1" applyFill="1" applyBorder="1" applyAlignment="1" quotePrefix="1">
      <alignment horizontal="right" vertical="center"/>
    </xf>
    <xf numFmtId="175" fontId="2" fillId="0" borderId="9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190" fontId="11" fillId="0" borderId="4" xfId="0" applyNumberFormat="1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/>
    </xf>
    <xf numFmtId="171" fontId="2" fillId="0" borderId="2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 vertical="center"/>
    </xf>
    <xf numFmtId="171" fontId="2" fillId="0" borderId="37" xfId="0" applyNumberFormat="1" applyFont="1" applyFill="1" applyBorder="1" applyAlignment="1">
      <alignment horizontal="right" vertical="center"/>
    </xf>
    <xf numFmtId="3" fontId="2" fillId="0" borderId="37" xfId="0" applyNumberFormat="1" applyFont="1" applyFill="1" applyBorder="1" applyAlignment="1">
      <alignment horizontal="right" vertical="center"/>
    </xf>
    <xf numFmtId="171" fontId="11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/>
    </xf>
    <xf numFmtId="171" fontId="2" fillId="0" borderId="9" xfId="0" applyNumberFormat="1" applyFont="1" applyBorder="1" applyAlignment="1">
      <alignment horizontal="right" vertical="center"/>
    </xf>
    <xf numFmtId="171" fontId="2" fillId="0" borderId="2" xfId="0" applyNumberFormat="1" applyFont="1" applyBorder="1" applyAlignment="1">
      <alignment horizontal="right" vertical="center"/>
    </xf>
    <xf numFmtId="171" fontId="2" fillId="0" borderId="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/>
    </xf>
    <xf numFmtId="0" fontId="15" fillId="6" borderId="1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170" fontId="3" fillId="5" borderId="1" xfId="0" applyNumberFormat="1" applyFont="1" applyFill="1" applyBorder="1" applyAlignment="1">
      <alignment vertical="center"/>
    </xf>
    <xf numFmtId="170" fontId="3" fillId="5" borderId="2" xfId="0" applyNumberFormat="1" applyFont="1" applyFill="1" applyBorder="1" applyAlignment="1">
      <alignment vertical="center"/>
    </xf>
    <xf numFmtId="170" fontId="3" fillId="5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5" borderId="2" xfId="0" applyNumberFormat="1" applyFont="1" applyFill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5" borderId="3" xfId="0" applyNumberFormat="1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1" fontId="3" fillId="6" borderId="1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 vertical="center"/>
    </xf>
    <xf numFmtId="171" fontId="2" fillId="5" borderId="2" xfId="0" applyNumberFormat="1" applyFont="1" applyFill="1" applyBorder="1" applyAlignment="1">
      <alignment horizontal="right" vertical="center"/>
    </xf>
    <xf numFmtId="171" fontId="2" fillId="5" borderId="0" xfId="0" applyNumberFormat="1" applyFont="1" applyFill="1" applyBorder="1" applyAlignment="1">
      <alignment horizontal="right" vertical="center"/>
    </xf>
    <xf numFmtId="3" fontId="2" fillId="5" borderId="37" xfId="0" applyNumberFormat="1" applyFont="1" applyFill="1" applyBorder="1" applyAlignment="1">
      <alignment horizontal="right" vertical="center"/>
    </xf>
    <xf numFmtId="1" fontId="2" fillId="5" borderId="0" xfId="0" applyNumberFormat="1" applyFont="1" applyFill="1" applyBorder="1" applyAlignment="1">
      <alignment horizontal="right" vertical="center"/>
    </xf>
    <xf numFmtId="171" fontId="2" fillId="5" borderId="37" xfId="0" applyNumberFormat="1" applyFont="1" applyFill="1" applyBorder="1" applyAlignment="1">
      <alignment horizontal="right" vertical="center"/>
    </xf>
    <xf numFmtId="171" fontId="2" fillId="5" borderId="3" xfId="0" applyNumberFormat="1" applyFont="1" applyFill="1" applyBorder="1" applyAlignment="1">
      <alignment horizontal="right" vertical="center"/>
    </xf>
    <xf numFmtId="171" fontId="2" fillId="5" borderId="7" xfId="0" applyNumberFormat="1" applyFont="1" applyFill="1" applyBorder="1" applyAlignment="1">
      <alignment horizontal="right" vertical="center"/>
    </xf>
    <xf numFmtId="3" fontId="12" fillId="5" borderId="2" xfId="0" applyNumberFormat="1" applyFont="1" applyFill="1" applyBorder="1" applyAlignment="1">
      <alignment horizontal="right" vertical="center"/>
    </xf>
    <xf numFmtId="171" fontId="2" fillId="0" borderId="1" xfId="0" applyNumberFormat="1" applyFont="1" applyFill="1" applyBorder="1" applyAlignment="1">
      <alignment horizontal="right" vertical="center"/>
    </xf>
    <xf numFmtId="171" fontId="2" fillId="0" borderId="9" xfId="0" applyNumberFormat="1" applyFont="1" applyFill="1" applyBorder="1" applyAlignment="1">
      <alignment horizontal="right" vertical="center"/>
    </xf>
    <xf numFmtId="171" fontId="2" fillId="0" borderId="5" xfId="0" applyNumberFormat="1" applyFont="1" applyFill="1" applyBorder="1" applyAlignment="1">
      <alignment horizontal="right" vertical="center"/>
    </xf>
    <xf numFmtId="171" fontId="2" fillId="5" borderId="4" xfId="0" applyNumberFormat="1" applyFont="1" applyFill="1" applyBorder="1" applyAlignment="1">
      <alignment horizontal="right" vertical="center"/>
    </xf>
    <xf numFmtId="171" fontId="2" fillId="0" borderId="4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/>
    </xf>
    <xf numFmtId="171" fontId="2" fillId="0" borderId="3" xfId="0" applyNumberFormat="1" applyFont="1" applyFill="1" applyBorder="1" applyAlignment="1">
      <alignment horizontal="right" vertical="center"/>
    </xf>
    <xf numFmtId="171" fontId="2" fillId="0" borderId="7" xfId="0" applyNumberFormat="1" applyFont="1" applyFill="1" applyBorder="1" applyAlignment="1">
      <alignment horizontal="right" vertical="center"/>
    </xf>
    <xf numFmtId="1" fontId="2" fillId="0" borderId="7" xfId="0" applyNumberFormat="1" applyFont="1" applyFill="1" applyBorder="1" applyAlignment="1">
      <alignment horizontal="right" vertical="center"/>
    </xf>
    <xf numFmtId="171" fontId="2" fillId="0" borderId="6" xfId="0" applyNumberFormat="1" applyFont="1" applyFill="1" applyBorder="1" applyAlignment="1">
      <alignment horizontal="right" vertical="center"/>
    </xf>
    <xf numFmtId="170" fontId="11" fillId="0" borderId="2" xfId="0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2" fontId="2" fillId="0" borderId="37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vertical="center"/>
    </xf>
    <xf numFmtId="2" fontId="2" fillId="5" borderId="2" xfId="0" applyNumberFormat="1" applyFont="1" applyFill="1" applyBorder="1" applyAlignment="1">
      <alignment horizontal="right" vertical="center"/>
    </xf>
    <xf numFmtId="4" fontId="2" fillId="5" borderId="0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4" fontId="2" fillId="5" borderId="7" xfId="0" applyNumberFormat="1" applyFont="1" applyFill="1" applyBorder="1" applyAlignment="1">
      <alignment horizontal="right" vertical="center"/>
    </xf>
    <xf numFmtId="2" fontId="2" fillId="5" borderId="2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7" xfId="0" applyNumberFormat="1" applyFont="1" applyFill="1" applyBorder="1" applyAlignment="1">
      <alignment horizontal="right" vertical="center"/>
    </xf>
    <xf numFmtId="4" fontId="2" fillId="5" borderId="37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right" vertical="center"/>
    </xf>
    <xf numFmtId="2" fontId="3" fillId="5" borderId="2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4" fontId="2" fillId="5" borderId="4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4" fontId="11" fillId="0" borderId="38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right" vertical="center"/>
    </xf>
    <xf numFmtId="168" fontId="2" fillId="0" borderId="2" xfId="0" applyNumberFormat="1" applyFont="1" applyFill="1" applyBorder="1" applyAlignment="1" quotePrefix="1">
      <alignment horizontal="right" vertical="center"/>
    </xf>
    <xf numFmtId="168" fontId="2" fillId="0" borderId="0" xfId="0" applyNumberFormat="1" applyFont="1" applyBorder="1" applyAlignment="1">
      <alignment vertical="top" wrapText="1"/>
    </xf>
    <xf numFmtId="168" fontId="2" fillId="0" borderId="2" xfId="0" applyNumberFormat="1" applyFont="1" applyFill="1" applyBorder="1" applyAlignment="1">
      <alignment horizontal="right" vertical="center"/>
    </xf>
    <xf numFmtId="168" fontId="2" fillId="0" borderId="37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170" fontId="3" fillId="5" borderId="1" xfId="0" applyNumberFormat="1" applyFont="1" applyFill="1" applyBorder="1" applyAlignment="1">
      <alignment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2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1" xfId="0" applyNumberFormat="1" applyFont="1" applyBorder="1" applyAlignment="1">
      <alignment/>
    </xf>
    <xf numFmtId="168" fontId="3" fillId="5" borderId="1" xfId="0" applyNumberFormat="1" applyFont="1" applyFill="1" applyBorder="1" applyAlignment="1" quotePrefix="1">
      <alignment horizontal="right" vertical="center"/>
    </xf>
    <xf numFmtId="168" fontId="3" fillId="5" borderId="2" xfId="0" applyNumberFormat="1" applyFont="1" applyFill="1" applyBorder="1" applyAlignment="1" quotePrefix="1">
      <alignment horizontal="right" vertical="center"/>
    </xf>
    <xf numFmtId="168" fontId="3" fillId="5" borderId="3" xfId="0" applyNumberFormat="1" applyFont="1" applyFill="1" applyBorder="1" applyAlignment="1" quotePrefix="1">
      <alignment horizontal="right" vertical="center"/>
    </xf>
    <xf numFmtId="168" fontId="2" fillId="5" borderId="2" xfId="0" applyNumberFormat="1" applyFont="1" applyFill="1" applyBorder="1" applyAlignment="1">
      <alignment horizontal="right" vertical="center"/>
    </xf>
    <xf numFmtId="168" fontId="2" fillId="5" borderId="37" xfId="0" applyNumberFormat="1" applyFont="1" applyFill="1" applyBorder="1" applyAlignment="1">
      <alignment horizontal="right" vertical="center"/>
    </xf>
    <xf numFmtId="168" fontId="2" fillId="5" borderId="2" xfId="0" applyNumberFormat="1" applyFont="1" applyFill="1" applyBorder="1" applyAlignment="1" quotePrefix="1">
      <alignment horizontal="right" vertical="center"/>
    </xf>
    <xf numFmtId="168" fontId="2" fillId="5" borderId="3" xfId="0" applyNumberFormat="1" applyFont="1" applyFill="1" applyBorder="1" applyAlignment="1">
      <alignment horizontal="right" vertical="center"/>
    </xf>
    <xf numFmtId="168" fontId="2" fillId="5" borderId="1" xfId="0" applyNumberFormat="1" applyFont="1" applyFill="1" applyBorder="1" applyAlignment="1">
      <alignment horizontal="right" vertical="center"/>
    </xf>
    <xf numFmtId="168" fontId="2" fillId="0" borderId="11" xfId="0" applyNumberFormat="1" applyFont="1" applyFill="1" applyBorder="1" applyAlignment="1" quotePrefix="1">
      <alignment horizontal="right" vertical="center"/>
    </xf>
    <xf numFmtId="168" fontId="2" fillId="0" borderId="5" xfId="0" applyNumberFormat="1" applyFont="1" applyFill="1" applyBorder="1" applyAlignment="1">
      <alignment horizontal="right" vertical="center"/>
    </xf>
    <xf numFmtId="168" fontId="2" fillId="5" borderId="4" xfId="0" applyNumberFormat="1" applyFont="1" applyFill="1" applyBorder="1" applyAlignment="1">
      <alignment horizontal="right" vertical="center"/>
    </xf>
    <xf numFmtId="168" fontId="2" fillId="0" borderId="4" xfId="0" applyNumberFormat="1" applyFont="1" applyBorder="1" applyAlignment="1">
      <alignment vertical="top" wrapText="1"/>
    </xf>
    <xf numFmtId="168" fontId="2" fillId="5" borderId="39" xfId="0" applyNumberFormat="1" applyFont="1" applyFill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168" fontId="2" fillId="0" borderId="38" xfId="0" applyNumberFormat="1" applyFont="1" applyFill="1" applyBorder="1" applyAlignment="1">
      <alignment horizontal="right" vertical="center"/>
    </xf>
    <xf numFmtId="168" fontId="2" fillId="0" borderId="6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 quotePrefix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70" fontId="2" fillId="0" borderId="37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8" fontId="3" fillId="5" borderId="7" xfId="0" applyNumberFormat="1" applyFont="1" applyFill="1" applyBorder="1" applyAlignment="1">
      <alignment horizontal="right" vertical="center"/>
    </xf>
    <xf numFmtId="170" fontId="2" fillId="5" borderId="0" xfId="0" applyNumberFormat="1" applyFont="1" applyFill="1" applyBorder="1" applyAlignment="1">
      <alignment horizontal="right" vertical="center"/>
    </xf>
    <xf numFmtId="170" fontId="2" fillId="5" borderId="37" xfId="0" applyNumberFormat="1" applyFont="1" applyFill="1" applyBorder="1" applyAlignment="1">
      <alignment horizontal="right" vertical="center"/>
    </xf>
    <xf numFmtId="170" fontId="2" fillId="5" borderId="7" xfId="0" applyNumberFormat="1" applyFont="1" applyFill="1" applyBorder="1" applyAlignment="1">
      <alignment horizontal="right" vertic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170" fontId="2" fillId="5" borderId="8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170" fontId="11" fillId="5" borderId="4" xfId="0" applyNumberFormat="1" applyFont="1" applyFill="1" applyBorder="1" applyAlignment="1">
      <alignment horizontal="right" vertical="center"/>
    </xf>
    <xf numFmtId="170" fontId="11" fillId="0" borderId="8" xfId="0" applyNumberFormat="1" applyFont="1" applyFill="1" applyBorder="1" applyAlignment="1">
      <alignment horizontal="right" vertical="center"/>
    </xf>
    <xf numFmtId="170" fontId="2" fillId="0" borderId="10" xfId="0" applyNumberFormat="1" applyFont="1" applyFill="1" applyBorder="1" applyAlignment="1">
      <alignment horizontal="right" vertical="center"/>
    </xf>
    <xf numFmtId="170" fontId="2" fillId="0" borderId="7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1" fillId="0" borderId="2" xfId="0" applyNumberFormat="1" applyFont="1" applyFill="1" applyBorder="1" applyAlignment="1">
      <alignment/>
    </xf>
    <xf numFmtId="170" fontId="11" fillId="0" borderId="2" xfId="0" applyNumberFormat="1" applyFont="1" applyBorder="1" applyAlignment="1">
      <alignment vertical="center"/>
    </xf>
    <xf numFmtId="170" fontId="3" fillId="5" borderId="37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190" fontId="3" fillId="5" borderId="35" xfId="0" applyNumberFormat="1" applyFont="1" applyFill="1" applyBorder="1" applyAlignment="1">
      <alignment horizontal="right" vertical="center"/>
    </xf>
    <xf numFmtId="189" fontId="3" fillId="5" borderId="7" xfId="0" applyNumberFormat="1" applyFont="1" applyFill="1" applyBorder="1" applyAlignment="1">
      <alignment horizontal="right" vertical="center"/>
    </xf>
    <xf numFmtId="2" fontId="12" fillId="5" borderId="9" xfId="0" applyNumberFormat="1" applyFont="1" applyFill="1" applyBorder="1" applyAlignment="1">
      <alignment horizontal="right" vertical="center"/>
    </xf>
    <xf numFmtId="1" fontId="3" fillId="6" borderId="17" xfId="0" applyNumberFormat="1" applyFont="1" applyFill="1" applyBorder="1" applyAlignment="1">
      <alignment horizontal="center" vertical="center"/>
    </xf>
    <xf numFmtId="189" fontId="12" fillId="5" borderId="1" xfId="0" applyNumberFormat="1" applyFont="1" applyFill="1" applyBorder="1" applyAlignment="1">
      <alignment horizontal="right" vertical="center"/>
    </xf>
    <xf numFmtId="189" fontId="12" fillId="5" borderId="2" xfId="0" applyNumberFormat="1" applyFont="1" applyFill="1" applyBorder="1" applyAlignment="1">
      <alignment horizontal="right" vertical="center"/>
    </xf>
    <xf numFmtId="189" fontId="3" fillId="5" borderId="3" xfId="0" applyNumberFormat="1" applyFont="1" applyFill="1" applyBorder="1" applyAlignment="1">
      <alignment horizontal="right" vertical="center"/>
    </xf>
    <xf numFmtId="189" fontId="2" fillId="0" borderId="1" xfId="0" applyNumberFormat="1" applyFont="1" applyFill="1" applyBorder="1" applyAlignment="1">
      <alignment vertical="center"/>
    </xf>
    <xf numFmtId="189" fontId="2" fillId="5" borderId="2" xfId="0" applyNumberFormat="1" applyFont="1" applyFill="1" applyBorder="1" applyAlignment="1">
      <alignment vertical="center"/>
    </xf>
    <xf numFmtId="189" fontId="2" fillId="0" borderId="2" xfId="0" applyNumberFormat="1" applyFont="1" applyFill="1" applyBorder="1" applyAlignment="1">
      <alignment vertical="center"/>
    </xf>
    <xf numFmtId="189" fontId="11" fillId="5" borderId="2" xfId="0" applyNumberFormat="1" applyFont="1" applyFill="1" applyBorder="1" applyAlignment="1">
      <alignment horizontal="right" vertical="center"/>
    </xf>
    <xf numFmtId="189" fontId="2" fillId="5" borderId="2" xfId="0" applyNumberFormat="1" applyFont="1" applyFill="1" applyBorder="1" applyAlignment="1" quotePrefix="1">
      <alignment horizontal="right" vertical="center"/>
    </xf>
    <xf numFmtId="189" fontId="2" fillId="0" borderId="2" xfId="0" applyNumberFormat="1" applyFont="1" applyFill="1" applyBorder="1" applyAlignment="1" quotePrefix="1">
      <alignment horizontal="right" vertical="center"/>
    </xf>
    <xf numFmtId="189" fontId="11" fillId="5" borderId="2" xfId="0" applyNumberFormat="1" applyFont="1" applyFill="1" applyBorder="1" applyAlignment="1">
      <alignment vertical="center"/>
    </xf>
    <xf numFmtId="189" fontId="2" fillId="0" borderId="2" xfId="0" applyNumberFormat="1" applyFont="1" applyFill="1" applyBorder="1" applyAlignment="1">
      <alignment vertical="center"/>
    </xf>
    <xf numFmtId="189" fontId="2" fillId="0" borderId="2" xfId="0" applyNumberFormat="1" applyFont="1" applyFill="1" applyBorder="1" applyAlignment="1">
      <alignment horizontal="right" vertical="center"/>
    </xf>
    <xf numFmtId="189" fontId="2" fillId="5" borderId="1" xfId="0" applyNumberFormat="1" applyFont="1" applyFill="1" applyBorder="1" applyAlignment="1">
      <alignment vertical="center"/>
    </xf>
    <xf numFmtId="189" fontId="2" fillId="0" borderId="1" xfId="0" applyNumberFormat="1" applyFont="1" applyFill="1" applyBorder="1" applyAlignment="1" quotePrefix="1">
      <alignment horizontal="right" vertical="center"/>
    </xf>
    <xf numFmtId="189" fontId="2" fillId="0" borderId="3" xfId="0" applyNumberFormat="1" applyFont="1" applyFill="1" applyBorder="1" applyAlignment="1">
      <alignment vertical="center"/>
    </xf>
    <xf numFmtId="190" fontId="12" fillId="5" borderId="1" xfId="0" applyNumberFormat="1" applyFont="1" applyFill="1" applyBorder="1" applyAlignment="1">
      <alignment horizontal="right" vertical="center"/>
    </xf>
    <xf numFmtId="190" fontId="3" fillId="5" borderId="2" xfId="0" applyNumberFormat="1" applyFont="1" applyFill="1" applyBorder="1" applyAlignment="1">
      <alignment horizontal="right" vertical="center"/>
    </xf>
    <xf numFmtId="190" fontId="12" fillId="5" borderId="3" xfId="0" applyNumberFormat="1" applyFont="1" applyFill="1" applyBorder="1" applyAlignment="1">
      <alignment horizontal="right" vertical="center"/>
    </xf>
    <xf numFmtId="190" fontId="2" fillId="0" borderId="1" xfId="0" applyNumberFormat="1" applyFont="1" applyFill="1" applyBorder="1" applyAlignment="1">
      <alignment horizontal="right" vertical="center"/>
    </xf>
    <xf numFmtId="190" fontId="2" fillId="5" borderId="2" xfId="0" applyNumberFormat="1" applyFont="1" applyFill="1" applyBorder="1" applyAlignment="1">
      <alignment horizontal="right" vertical="center"/>
    </xf>
    <xf numFmtId="190" fontId="2" fillId="0" borderId="2" xfId="0" applyNumberFormat="1" applyFont="1" applyFill="1" applyBorder="1" applyAlignment="1">
      <alignment horizontal="right" vertical="center"/>
    </xf>
    <xf numFmtId="190" fontId="2" fillId="0" borderId="3" xfId="0" applyNumberFormat="1" applyFont="1" applyFill="1" applyBorder="1" applyAlignment="1">
      <alignment horizontal="right" vertical="center"/>
    </xf>
    <xf numFmtId="190" fontId="2" fillId="5" borderId="3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" fontId="1" fillId="0" borderId="0" xfId="0" applyNumberFormat="1" applyFont="1" applyBorder="1" applyAlignment="1" quotePrefix="1">
      <alignment horizontal="center" vertical="center" wrapText="1"/>
    </xf>
    <xf numFmtId="0" fontId="21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8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188" fontId="0" fillId="0" borderId="0" xfId="0" applyNumberFormat="1" applyFont="1" applyAlignment="1" quotePrefix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6" fillId="0" borderId="0" xfId="0" applyFont="1" applyAlignment="1" quotePrefix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6" fillId="6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83" fontId="3" fillId="6" borderId="19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3" fillId="6" borderId="1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 quotePrefix="1">
      <alignment horizontal="center" vertical="center" wrapText="1"/>
    </xf>
    <xf numFmtId="0" fontId="3" fillId="6" borderId="0" xfId="0" applyFont="1" applyFill="1" applyBorder="1" applyAlignment="1" quotePrefix="1">
      <alignment horizontal="center" vertical="center" wrapText="1"/>
    </xf>
    <xf numFmtId="0" fontId="3" fillId="6" borderId="4" xfId="0" applyFont="1" applyFill="1" applyBorder="1" applyAlignment="1" quotePrefix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83" fontId="3" fillId="6" borderId="20" xfId="0" applyNumberFormat="1" applyFont="1" applyFill="1" applyBorder="1" applyAlignment="1">
      <alignment horizontal="center" vertical="center"/>
    </xf>
    <xf numFmtId="183" fontId="3" fillId="6" borderId="2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wrapText="1"/>
    </xf>
    <xf numFmtId="0" fontId="2" fillId="5" borderId="3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6" borderId="10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3" fontId="2" fillId="5" borderId="31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" fontId="2" fillId="0" borderId="0" xfId="0" applyNumberFormat="1" applyFont="1" applyBorder="1" applyAlignment="1">
      <alignment horizontal="center" vertical="center"/>
    </xf>
    <xf numFmtId="17" fontId="2" fillId="0" borderId="0" xfId="0" applyNumberFormat="1" applyFont="1" applyBorder="1" applyAlignment="1" quotePrefix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Border="1" applyAlignment="1" quotePrefix="1">
      <alignment horizontal="center" vertical="center"/>
    </xf>
    <xf numFmtId="0" fontId="3" fillId="6" borderId="1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4" borderId="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D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824" customWidth="1"/>
    <col min="2" max="2" width="7.7109375" style="826" customWidth="1"/>
    <col min="3" max="3" width="2.00390625" style="827" customWidth="1"/>
    <col min="4" max="4" width="65.8515625" style="824" customWidth="1"/>
    <col min="5" max="16384" width="9.140625" style="824" customWidth="1"/>
  </cols>
  <sheetData>
    <row r="1" spans="2:4" ht="19.5" customHeight="1">
      <c r="B1" s="872" t="s">
        <v>229</v>
      </c>
      <c r="C1" s="872"/>
      <c r="D1" s="872"/>
    </row>
    <row r="2" spans="2:4" ht="19.5" customHeight="1">
      <c r="B2" s="873" t="s">
        <v>230</v>
      </c>
      <c r="C2" s="873"/>
      <c r="D2" s="873"/>
    </row>
    <row r="3" spans="2:4" ht="19.5" customHeight="1">
      <c r="B3" s="874" t="s">
        <v>231</v>
      </c>
      <c r="C3" s="874"/>
      <c r="D3" s="874"/>
    </row>
    <row r="4" spans="2:4" ht="19.5" customHeight="1">
      <c r="B4" s="875" t="s">
        <v>254</v>
      </c>
      <c r="C4" s="875"/>
      <c r="D4" s="875"/>
    </row>
    <row r="5" spans="2:4" ht="19.5" customHeight="1">
      <c r="B5" s="825"/>
      <c r="C5" s="825"/>
      <c r="D5" s="825"/>
    </row>
    <row r="6" ht="19.5" customHeight="1"/>
    <row r="7" spans="2:4" ht="19.5" customHeight="1">
      <c r="B7" s="872" t="s">
        <v>232</v>
      </c>
      <c r="C7" s="872"/>
      <c r="D7" s="872"/>
    </row>
    <row r="8" spans="2:4" ht="19.5" customHeight="1">
      <c r="B8" s="878" t="s">
        <v>255</v>
      </c>
      <c r="C8" s="878"/>
      <c r="D8" s="878"/>
    </row>
    <row r="9" spans="2:4" ht="19.5" customHeight="1">
      <c r="B9" s="828"/>
      <c r="C9" s="828"/>
      <c r="D9" s="828"/>
    </row>
    <row r="10" spans="2:4" ht="19.5" customHeight="1">
      <c r="B10" s="876" t="s">
        <v>233</v>
      </c>
      <c r="C10" s="876"/>
      <c r="D10" s="876"/>
    </row>
    <row r="11" ht="19.5" customHeight="1">
      <c r="B11" s="829"/>
    </row>
    <row r="12" spans="2:4" ht="19.5" customHeight="1">
      <c r="B12" s="877" t="s">
        <v>234</v>
      </c>
      <c r="C12" s="877"/>
      <c r="D12" s="877"/>
    </row>
    <row r="13" spans="2:4" ht="19.5" customHeight="1">
      <c r="B13" s="877" t="s">
        <v>235</v>
      </c>
      <c r="C13" s="877"/>
      <c r="D13" s="877"/>
    </row>
    <row r="14" spans="2:4" ht="19.5" customHeight="1">
      <c r="B14" s="829"/>
      <c r="D14"/>
    </row>
    <row r="15" ht="19.5" customHeight="1">
      <c r="B15" s="829"/>
    </row>
    <row r="16" spans="2:4" ht="15" customHeight="1">
      <c r="B16" s="830" t="s">
        <v>99</v>
      </c>
      <c r="C16" s="831"/>
      <c r="D16" s="832" t="s">
        <v>236</v>
      </c>
    </row>
    <row r="17" spans="2:4" ht="15" customHeight="1">
      <c r="B17" s="830" t="s">
        <v>100</v>
      </c>
      <c r="C17" s="833"/>
      <c r="D17" s="832" t="s">
        <v>237</v>
      </c>
    </row>
    <row r="18" spans="2:4" ht="15" customHeight="1">
      <c r="B18" s="830" t="s">
        <v>101</v>
      </c>
      <c r="C18" s="833"/>
      <c r="D18" s="832" t="s">
        <v>238</v>
      </c>
    </row>
    <row r="19" spans="2:4" ht="15" customHeight="1">
      <c r="B19" s="830" t="s">
        <v>102</v>
      </c>
      <c r="C19" s="831"/>
      <c r="D19" s="834" t="s">
        <v>239</v>
      </c>
    </row>
    <row r="20" spans="2:4" ht="15" customHeight="1">
      <c r="B20" s="830" t="s">
        <v>103</v>
      </c>
      <c r="C20" s="831"/>
      <c r="D20" s="832" t="s">
        <v>240</v>
      </c>
    </row>
    <row r="21" spans="2:4" ht="15" customHeight="1">
      <c r="B21" s="830" t="s">
        <v>104</v>
      </c>
      <c r="C21" s="831"/>
      <c r="D21" s="832" t="s">
        <v>241</v>
      </c>
    </row>
    <row r="22" spans="2:4" ht="15" customHeight="1">
      <c r="B22" s="830" t="s">
        <v>105</v>
      </c>
      <c r="C22" s="835"/>
      <c r="D22" s="832" t="s">
        <v>242</v>
      </c>
    </row>
    <row r="23" spans="2:4" ht="15" customHeight="1">
      <c r="B23" s="830" t="s">
        <v>106</v>
      </c>
      <c r="C23" s="835"/>
      <c r="D23" s="832" t="s">
        <v>243</v>
      </c>
    </row>
    <row r="24" spans="2:4" ht="15" customHeight="1">
      <c r="B24" s="830" t="s">
        <v>112</v>
      </c>
      <c r="C24" s="831"/>
      <c r="D24" s="832" t="s">
        <v>244</v>
      </c>
    </row>
    <row r="25" spans="2:4" ht="15" customHeight="1">
      <c r="B25" s="830" t="s">
        <v>107</v>
      </c>
      <c r="C25" s="831"/>
      <c r="D25" s="832" t="s">
        <v>245</v>
      </c>
    </row>
    <row r="26" spans="2:4" ht="15" customHeight="1">
      <c r="B26" s="830" t="s">
        <v>108</v>
      </c>
      <c r="C26" s="836"/>
      <c r="D26" s="834" t="s">
        <v>246</v>
      </c>
    </row>
    <row r="27" spans="2:4" ht="15" customHeight="1">
      <c r="B27" s="830" t="s">
        <v>138</v>
      </c>
      <c r="C27" s="836"/>
      <c r="D27" s="834" t="s">
        <v>247</v>
      </c>
    </row>
    <row r="28" spans="2:4" ht="15" customHeight="1">
      <c r="B28" s="830" t="s">
        <v>139</v>
      </c>
      <c r="C28" s="836"/>
      <c r="D28" s="834" t="s">
        <v>248</v>
      </c>
    </row>
    <row r="29" spans="2:4" ht="15" customHeight="1">
      <c r="B29" s="830" t="s">
        <v>109</v>
      </c>
      <c r="C29" s="835"/>
      <c r="D29" s="832" t="s">
        <v>249</v>
      </c>
    </row>
    <row r="30" spans="2:4" ht="15" customHeight="1">
      <c r="B30" s="830" t="s">
        <v>110</v>
      </c>
      <c r="C30" s="835"/>
      <c r="D30" s="832" t="s">
        <v>250</v>
      </c>
    </row>
    <row r="31" spans="2:4" ht="15" customHeight="1">
      <c r="B31" s="830" t="s">
        <v>111</v>
      </c>
      <c r="C31" s="831"/>
      <c r="D31" s="832" t="s">
        <v>251</v>
      </c>
    </row>
    <row r="32" spans="2:4" ht="15" customHeight="1">
      <c r="B32" s="830" t="s">
        <v>115</v>
      </c>
      <c r="C32" s="831"/>
      <c r="D32" s="832" t="s">
        <v>252</v>
      </c>
    </row>
    <row r="33" spans="2:4" ht="15" customHeight="1">
      <c r="B33" s="830" t="s">
        <v>113</v>
      </c>
      <c r="C33" s="831"/>
      <c r="D33" s="832" t="s">
        <v>253</v>
      </c>
    </row>
    <row r="34" ht="12.75">
      <c r="B34" s="829"/>
    </row>
    <row r="35" ht="12.75">
      <c r="B35" s="829"/>
    </row>
    <row r="36" ht="12.75">
      <c r="B36" s="829"/>
    </row>
    <row r="37" ht="12.75">
      <c r="B37" s="829"/>
    </row>
    <row r="38" ht="12.75">
      <c r="B38" s="829"/>
    </row>
    <row r="40" ht="13.5">
      <c r="B40" s="837"/>
    </row>
    <row r="41" ht="12.75">
      <c r="B41" s="829"/>
    </row>
    <row r="42" ht="12.75">
      <c r="B42" s="829"/>
    </row>
    <row r="43" ht="12.75">
      <c r="B43" s="829"/>
    </row>
    <row r="50" spans="3:4" ht="12.75">
      <c r="C50" s="838"/>
      <c r="D50" s="839"/>
    </row>
    <row r="57" ht="12.75"/>
    <row r="60" spans="3:4" ht="12.75">
      <c r="C60"/>
      <c r="D60"/>
    </row>
  </sheetData>
  <mergeCells count="9">
    <mergeCell ref="B10:D10"/>
    <mergeCell ref="B12:D12"/>
    <mergeCell ref="B13:D13"/>
    <mergeCell ref="B8:D8"/>
    <mergeCell ref="B7:D7"/>
    <mergeCell ref="B1:D1"/>
    <mergeCell ref="B2:D2"/>
    <mergeCell ref="B3:D3"/>
    <mergeCell ref="B4:D4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9"/>
  <dimension ref="A1:T40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8" customWidth="1"/>
    <col min="3" max="3" width="8.7109375" style="8" hidden="1" customWidth="1"/>
    <col min="4" max="11" width="8.7109375" style="8" customWidth="1"/>
    <col min="12" max="12" width="4.00390625" style="8" customWidth="1"/>
    <col min="13" max="13" width="5.421875" style="8" customWidth="1"/>
    <col min="14" max="14" width="7.7109375" style="0" customWidth="1"/>
  </cols>
  <sheetData>
    <row r="1" spans="2:12" ht="14.25" customHeight="1">
      <c r="B1" s="54"/>
      <c r="C1" s="54"/>
      <c r="D1" s="54"/>
      <c r="E1" s="54"/>
      <c r="F1" s="54"/>
      <c r="J1" s="37"/>
      <c r="K1" s="37"/>
      <c r="L1" s="37" t="s">
        <v>112</v>
      </c>
    </row>
    <row r="2" spans="2:13" s="121" customFormat="1" ht="30" customHeight="1">
      <c r="B2" s="854" t="s">
        <v>159</v>
      </c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452"/>
    </row>
    <row r="3" spans="2:20" ht="15" customHeight="1">
      <c r="B3" s="899" t="s">
        <v>157</v>
      </c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17"/>
      <c r="N3" s="17"/>
      <c r="O3" s="17"/>
      <c r="P3" s="17"/>
      <c r="Q3" s="17"/>
      <c r="R3" s="17"/>
      <c r="S3" s="17"/>
      <c r="T3" s="17"/>
    </row>
    <row r="4" spans="11:14" ht="12.75" customHeight="1">
      <c r="K4" s="11" t="s">
        <v>6</v>
      </c>
      <c r="L4" s="11"/>
      <c r="N4" s="11"/>
    </row>
    <row r="5" spans="3:14" ht="24.75" customHeight="1">
      <c r="C5" s="178">
        <v>1995</v>
      </c>
      <c r="D5" s="178">
        <v>2000</v>
      </c>
      <c r="E5" s="179">
        <v>2001</v>
      </c>
      <c r="F5" s="179">
        <v>2002</v>
      </c>
      <c r="G5" s="179">
        <v>2003</v>
      </c>
      <c r="H5" s="179">
        <v>2004</v>
      </c>
      <c r="I5" s="179">
        <v>2005</v>
      </c>
      <c r="J5" s="179">
        <v>2006</v>
      </c>
      <c r="K5" s="180">
        <v>2007</v>
      </c>
      <c r="L5" s="10"/>
      <c r="N5" s="940" t="s">
        <v>257</v>
      </c>
    </row>
    <row r="6" spans="2:14" ht="12.75" customHeight="1">
      <c r="B6" s="177" t="s">
        <v>47</v>
      </c>
      <c r="C6" s="521"/>
      <c r="D6" s="522"/>
      <c r="E6" s="522"/>
      <c r="F6" s="522"/>
      <c r="G6" s="522"/>
      <c r="H6" s="522"/>
      <c r="I6" s="522"/>
      <c r="J6" s="522"/>
      <c r="K6" s="523"/>
      <c r="L6" s="177" t="s">
        <v>47</v>
      </c>
      <c r="N6" s="95"/>
    </row>
    <row r="7" spans="2:14" ht="12.75" customHeight="1">
      <c r="B7" s="174" t="s">
        <v>82</v>
      </c>
      <c r="C7" s="524"/>
      <c r="D7" s="525">
        <f aca="true" t="shared" si="0" ref="D7:K7">SUM(D9,D12:D13,D15:D19,D23,D26:D27,D29,D33:D35)</f>
        <v>1333.1709999999998</v>
      </c>
      <c r="E7" s="525">
        <f t="shared" si="0"/>
        <v>1191.303</v>
      </c>
      <c r="F7" s="525">
        <f t="shared" si="0"/>
        <v>1115.241</v>
      </c>
      <c r="G7" s="525">
        <f t="shared" si="0"/>
        <v>1136.936</v>
      </c>
      <c r="H7" s="525">
        <f t="shared" si="0"/>
        <v>1193.9660000000001</v>
      </c>
      <c r="I7" s="525">
        <f t="shared" si="0"/>
        <v>1296.7520000000002</v>
      </c>
      <c r="J7" s="525">
        <f t="shared" si="0"/>
        <v>1418.495</v>
      </c>
      <c r="K7" s="525">
        <f t="shared" si="0"/>
        <v>1466.3310000000001</v>
      </c>
      <c r="L7" s="174" t="s">
        <v>82</v>
      </c>
      <c r="M7" s="4"/>
      <c r="N7" s="95">
        <f aca="true" t="shared" si="1" ref="N7:N35">100*(K7/J7-1)</f>
        <v>3.372306564351679</v>
      </c>
    </row>
    <row r="8" spans="2:14" ht="12.75" customHeight="1">
      <c r="B8" s="176" t="s">
        <v>175</v>
      </c>
      <c r="C8" s="526"/>
      <c r="D8" s="527"/>
      <c r="E8" s="527"/>
      <c r="F8" s="527"/>
      <c r="G8" s="527"/>
      <c r="H8" s="527"/>
      <c r="I8" s="527"/>
      <c r="J8" s="527"/>
      <c r="K8" s="528"/>
      <c r="L8" s="176" t="s">
        <v>175</v>
      </c>
      <c r="M8" s="4"/>
      <c r="N8" s="95"/>
    </row>
    <row r="9" spans="1:14" ht="12.75" customHeight="1">
      <c r="A9" s="12"/>
      <c r="B9" s="13" t="s">
        <v>83</v>
      </c>
      <c r="C9" s="529"/>
      <c r="D9" s="530">
        <v>25.319</v>
      </c>
      <c r="E9" s="530">
        <v>21.229</v>
      </c>
      <c r="F9" s="530">
        <v>21.503</v>
      </c>
      <c r="G9" s="530">
        <v>22.224</v>
      </c>
      <c r="H9" s="530">
        <v>25.055</v>
      </c>
      <c r="I9" s="530">
        <v>24.955</v>
      </c>
      <c r="J9" s="530">
        <v>27.269</v>
      </c>
      <c r="K9" s="531">
        <v>30.131</v>
      </c>
      <c r="L9" s="13" t="s">
        <v>83</v>
      </c>
      <c r="N9" s="95">
        <f t="shared" si="1"/>
        <v>10.495434376031398</v>
      </c>
    </row>
    <row r="10" spans="1:14" ht="12.75" customHeight="1">
      <c r="A10" s="12"/>
      <c r="B10" s="174" t="s">
        <v>65</v>
      </c>
      <c r="C10" s="532"/>
      <c r="D10" s="533"/>
      <c r="E10" s="533"/>
      <c r="F10" s="533"/>
      <c r="G10" s="533"/>
      <c r="H10" s="533"/>
      <c r="I10" s="533"/>
      <c r="J10" s="533"/>
      <c r="K10" s="534"/>
      <c r="L10" s="174" t="s">
        <v>65</v>
      </c>
      <c r="N10" s="95"/>
    </row>
    <row r="11" spans="1:14" ht="12.75" customHeight="1">
      <c r="A11" s="12"/>
      <c r="B11" s="14" t="s">
        <v>67</v>
      </c>
      <c r="C11" s="535">
        <v>6.876</v>
      </c>
      <c r="D11" s="536">
        <v>3.865</v>
      </c>
      <c r="E11" s="536">
        <v>5.308</v>
      </c>
      <c r="F11" s="536">
        <v>7.88</v>
      </c>
      <c r="G11" s="536">
        <v>5.959</v>
      </c>
      <c r="H11" s="536">
        <v>7.217</v>
      </c>
      <c r="I11" s="536">
        <v>7.592</v>
      </c>
      <c r="J11" s="536">
        <v>8.423</v>
      </c>
      <c r="K11" s="537">
        <v>9.985</v>
      </c>
      <c r="L11" s="14" t="s">
        <v>67</v>
      </c>
      <c r="N11" s="95">
        <f t="shared" si="1"/>
        <v>18.544461593256557</v>
      </c>
    </row>
    <row r="12" spans="1:14" ht="12.75" customHeight="1">
      <c r="A12" s="12"/>
      <c r="B12" s="174" t="s">
        <v>78</v>
      </c>
      <c r="C12" s="532">
        <v>2.288</v>
      </c>
      <c r="D12" s="533">
        <v>3.3</v>
      </c>
      <c r="E12" s="533">
        <v>2.416</v>
      </c>
      <c r="F12" s="533">
        <v>2.625</v>
      </c>
      <c r="G12" s="533">
        <v>2.824</v>
      </c>
      <c r="H12" s="533">
        <v>3.631</v>
      </c>
      <c r="I12" s="533">
        <v>5.78</v>
      </c>
      <c r="J12" s="533">
        <v>7.578</v>
      </c>
      <c r="K12" s="534">
        <v>9.776</v>
      </c>
      <c r="L12" s="174" t="s">
        <v>78</v>
      </c>
      <c r="N12" s="95">
        <f t="shared" si="1"/>
        <v>29.005014515703344</v>
      </c>
    </row>
    <row r="13" spans="1:14" ht="12.75" customHeight="1">
      <c r="A13" s="12"/>
      <c r="B13" s="14" t="s">
        <v>84</v>
      </c>
      <c r="C13" s="535">
        <v>218.245</v>
      </c>
      <c r="D13" s="536">
        <v>252.616</v>
      </c>
      <c r="E13" s="536">
        <v>226.958</v>
      </c>
      <c r="F13" s="536">
        <v>204.129</v>
      </c>
      <c r="G13" s="536">
        <v>191.262</v>
      </c>
      <c r="H13" s="536">
        <v>173.524</v>
      </c>
      <c r="I13" s="536">
        <v>168.562</v>
      </c>
      <c r="J13" s="536">
        <v>165.842</v>
      </c>
      <c r="K13" s="537">
        <v>166.883</v>
      </c>
      <c r="L13" s="14" t="s">
        <v>84</v>
      </c>
      <c r="N13" s="95">
        <f t="shared" si="1"/>
        <v>0.627705888737462</v>
      </c>
    </row>
    <row r="14" spans="1:14" ht="12.75" customHeight="1">
      <c r="A14" s="12"/>
      <c r="B14" s="174" t="s">
        <v>68</v>
      </c>
      <c r="C14" s="532" t="s">
        <v>121</v>
      </c>
      <c r="D14" s="533">
        <v>0.053</v>
      </c>
      <c r="E14" s="533">
        <v>0.152</v>
      </c>
      <c r="F14" s="533">
        <v>0.173</v>
      </c>
      <c r="G14" s="533">
        <v>0.185</v>
      </c>
      <c r="H14" s="533">
        <v>0.231</v>
      </c>
      <c r="I14" s="533">
        <v>0.319</v>
      </c>
      <c r="J14" s="533">
        <v>0.771</v>
      </c>
      <c r="K14" s="534">
        <v>1.254</v>
      </c>
      <c r="L14" s="174" t="s">
        <v>68</v>
      </c>
      <c r="N14" s="95">
        <f t="shared" si="1"/>
        <v>62.64591439688716</v>
      </c>
    </row>
    <row r="15" spans="1:14" ht="12.75" customHeight="1">
      <c r="A15" s="12"/>
      <c r="B15" s="14" t="s">
        <v>87</v>
      </c>
      <c r="C15" s="535"/>
      <c r="D15" s="536">
        <v>3.848</v>
      </c>
      <c r="E15" s="536">
        <v>4.705</v>
      </c>
      <c r="F15" s="536">
        <v>5.596</v>
      </c>
      <c r="G15" s="536">
        <v>2.853</v>
      </c>
      <c r="H15" s="536">
        <v>2.534</v>
      </c>
      <c r="I15" s="536">
        <v>2.391</v>
      </c>
      <c r="J15" s="536">
        <v>2.508</v>
      </c>
      <c r="K15" s="537">
        <v>2.882</v>
      </c>
      <c r="L15" s="14" t="s">
        <v>87</v>
      </c>
      <c r="N15" s="95">
        <f t="shared" si="1"/>
        <v>14.912280701754387</v>
      </c>
    </row>
    <row r="16" spans="1:14" ht="12.75" customHeight="1">
      <c r="A16" s="12"/>
      <c r="B16" s="174" t="s">
        <v>79</v>
      </c>
      <c r="C16" s="532"/>
      <c r="D16" s="533">
        <v>64.042</v>
      </c>
      <c r="E16" s="533">
        <v>66.833</v>
      </c>
      <c r="F16" s="533">
        <v>56.069</v>
      </c>
      <c r="G16" s="533">
        <v>59.137</v>
      </c>
      <c r="H16" s="533">
        <v>72.023</v>
      </c>
      <c r="I16" s="533">
        <v>83.078</v>
      </c>
      <c r="J16" s="533">
        <v>88.48</v>
      </c>
      <c r="K16" s="534">
        <v>100.458</v>
      </c>
      <c r="L16" s="174" t="s">
        <v>79</v>
      </c>
      <c r="N16" s="95">
        <f t="shared" si="1"/>
        <v>13.537522603978292</v>
      </c>
    </row>
    <row r="17" spans="1:14" ht="12.75" customHeight="1">
      <c r="A17" s="12"/>
      <c r="B17" s="14" t="s">
        <v>85</v>
      </c>
      <c r="C17" s="535"/>
      <c r="D17" s="536">
        <v>72.022</v>
      </c>
      <c r="E17" s="536">
        <v>64.129</v>
      </c>
      <c r="F17" s="536">
        <v>63.365</v>
      </c>
      <c r="G17" s="536">
        <v>77.439</v>
      </c>
      <c r="H17" s="536">
        <v>123.143</v>
      </c>
      <c r="I17" s="536">
        <v>205.626</v>
      </c>
      <c r="J17" s="536">
        <v>258.355</v>
      </c>
      <c r="K17" s="537">
        <v>269.479</v>
      </c>
      <c r="L17" s="14" t="s">
        <v>85</v>
      </c>
      <c r="N17" s="95">
        <f t="shared" si="1"/>
        <v>4.305703392618665</v>
      </c>
    </row>
    <row r="18" spans="1:14" ht="12.75" customHeight="1">
      <c r="A18" s="12"/>
      <c r="B18" s="174" t="s">
        <v>86</v>
      </c>
      <c r="C18" s="532"/>
      <c r="D18" s="533">
        <v>179.552</v>
      </c>
      <c r="E18" s="533">
        <v>179.59</v>
      </c>
      <c r="F18" s="533">
        <v>168.754</v>
      </c>
      <c r="G18" s="533">
        <v>176.006</v>
      </c>
      <c r="H18" s="533">
        <v>183.811</v>
      </c>
      <c r="I18" s="533">
        <v>196.618</v>
      </c>
      <c r="J18" s="533">
        <v>229.364</v>
      </c>
      <c r="K18" s="534">
        <v>238.966</v>
      </c>
      <c r="L18" s="174" t="s">
        <v>86</v>
      </c>
      <c r="N18" s="95">
        <f t="shared" si="1"/>
        <v>4.1863588008580255</v>
      </c>
    </row>
    <row r="19" spans="1:14" ht="12.75" customHeight="1">
      <c r="A19" s="12"/>
      <c r="B19" s="14" t="s">
        <v>88</v>
      </c>
      <c r="C19" s="535"/>
      <c r="D19" s="536">
        <v>524.619</v>
      </c>
      <c r="E19" s="536">
        <v>420.355</v>
      </c>
      <c r="F19" s="536">
        <v>392.763</v>
      </c>
      <c r="G19" s="536">
        <v>408.617</v>
      </c>
      <c r="H19" s="536">
        <v>421.489</v>
      </c>
      <c r="I19" s="536">
        <v>420.478</v>
      </c>
      <c r="J19" s="536">
        <v>444.987</v>
      </c>
      <c r="K19" s="537">
        <v>435.959</v>
      </c>
      <c r="L19" s="14" t="s">
        <v>88</v>
      </c>
      <c r="N19" s="95">
        <f t="shared" si="1"/>
        <v>-2.0288233139395095</v>
      </c>
    </row>
    <row r="20" spans="1:14" ht="12.75" customHeight="1">
      <c r="A20" s="12"/>
      <c r="B20" s="174" t="s">
        <v>66</v>
      </c>
      <c r="C20" s="532" t="s">
        <v>121</v>
      </c>
      <c r="D20" s="533"/>
      <c r="E20" s="533"/>
      <c r="F20" s="533">
        <v>1.652</v>
      </c>
      <c r="G20" s="533">
        <v>1.824</v>
      </c>
      <c r="H20" s="533">
        <v>2.273</v>
      </c>
      <c r="I20" s="533">
        <v>2.455</v>
      </c>
      <c r="J20" s="533">
        <v>2.925</v>
      </c>
      <c r="K20" s="534">
        <v>3.71</v>
      </c>
      <c r="L20" s="174" t="s">
        <v>66</v>
      </c>
      <c r="N20" s="95">
        <f t="shared" si="1"/>
        <v>26.837606837606852</v>
      </c>
    </row>
    <row r="21" spans="1:14" ht="12.75" customHeight="1">
      <c r="A21" s="12"/>
      <c r="B21" s="14" t="s">
        <v>70</v>
      </c>
      <c r="C21" s="535" t="s">
        <v>121</v>
      </c>
      <c r="D21" s="536" t="s">
        <v>121</v>
      </c>
      <c r="E21" s="536" t="s">
        <v>121</v>
      </c>
      <c r="F21" s="536">
        <v>0.801</v>
      </c>
      <c r="G21" s="536">
        <v>0.962</v>
      </c>
      <c r="H21" s="536">
        <v>1.261</v>
      </c>
      <c r="I21" s="536">
        <v>1.274</v>
      </c>
      <c r="J21" s="536">
        <v>2.12</v>
      </c>
      <c r="K21" s="537">
        <v>3.786</v>
      </c>
      <c r="L21" s="14" t="s">
        <v>70</v>
      </c>
      <c r="N21" s="95">
        <f t="shared" si="1"/>
        <v>78.58490566037734</v>
      </c>
    </row>
    <row r="22" spans="1:14" ht="12.75" customHeight="1">
      <c r="A22" s="12"/>
      <c r="B22" s="174" t="s">
        <v>71</v>
      </c>
      <c r="C22" s="532" t="s">
        <v>121</v>
      </c>
      <c r="D22" s="533">
        <v>0.377</v>
      </c>
      <c r="E22" s="533">
        <v>0.516</v>
      </c>
      <c r="F22" s="533">
        <v>0.793</v>
      </c>
      <c r="G22" s="533">
        <v>0.858</v>
      </c>
      <c r="H22" s="533">
        <v>0.99</v>
      </c>
      <c r="I22" s="533">
        <v>1.572</v>
      </c>
      <c r="J22" s="533">
        <v>2.322</v>
      </c>
      <c r="K22" s="534">
        <v>4.084</v>
      </c>
      <c r="L22" s="174" t="s">
        <v>71</v>
      </c>
      <c r="N22" s="95">
        <f t="shared" si="1"/>
        <v>75.88285960378983</v>
      </c>
    </row>
    <row r="23" spans="1:14" ht="12.75" customHeight="1">
      <c r="A23" s="12"/>
      <c r="B23" s="14" t="s">
        <v>89</v>
      </c>
      <c r="C23" s="535">
        <v>0.985</v>
      </c>
      <c r="D23" s="536">
        <v>1.26</v>
      </c>
      <c r="E23" s="536">
        <v>1.139</v>
      </c>
      <c r="F23" s="536">
        <v>1.324</v>
      </c>
      <c r="G23" s="536">
        <v>1.437</v>
      </c>
      <c r="H23" s="536">
        <v>1.354</v>
      </c>
      <c r="I23" s="536">
        <v>1.265</v>
      </c>
      <c r="J23" s="536">
        <v>1.378</v>
      </c>
      <c r="K23" s="537">
        <v>1.417</v>
      </c>
      <c r="L23" s="14" t="s">
        <v>89</v>
      </c>
      <c r="N23" s="95">
        <f t="shared" si="1"/>
        <v>2.8301886792452935</v>
      </c>
    </row>
    <row r="24" spans="1:14" ht="12.75" customHeight="1">
      <c r="A24" s="12"/>
      <c r="B24" s="174" t="s">
        <v>69</v>
      </c>
      <c r="C24" s="532" t="s">
        <v>121</v>
      </c>
      <c r="D24" s="533" t="s">
        <v>121</v>
      </c>
      <c r="E24" s="533" t="s">
        <v>121</v>
      </c>
      <c r="F24" s="533">
        <v>7.438</v>
      </c>
      <c r="G24" s="533">
        <v>8.875</v>
      </c>
      <c r="H24" s="533">
        <v>16.152</v>
      </c>
      <c r="I24" s="533">
        <v>12.538</v>
      </c>
      <c r="J24" s="533">
        <v>12.048</v>
      </c>
      <c r="K24" s="534">
        <v>12.781</v>
      </c>
      <c r="L24" s="174" t="s">
        <v>69</v>
      </c>
      <c r="N24" s="95">
        <f t="shared" si="1"/>
        <v>6.0839973439575035</v>
      </c>
    </row>
    <row r="25" spans="1:14" ht="12.75" customHeight="1">
      <c r="A25" s="12"/>
      <c r="B25" s="14" t="s">
        <v>72</v>
      </c>
      <c r="C25" s="535" t="s">
        <v>121</v>
      </c>
      <c r="D25" s="536"/>
      <c r="E25" s="536"/>
      <c r="F25" s="536">
        <v>0.551</v>
      </c>
      <c r="G25" s="536">
        <v>0.508</v>
      </c>
      <c r="H25" s="536">
        <v>0.362</v>
      </c>
      <c r="I25" s="536">
        <v>0.408</v>
      </c>
      <c r="J25" s="536">
        <v>0.544</v>
      </c>
      <c r="K25" s="537">
        <v>0.74</v>
      </c>
      <c r="L25" s="14" t="s">
        <v>72</v>
      </c>
      <c r="N25" s="95">
        <f t="shared" si="1"/>
        <v>36.02941176470586</v>
      </c>
    </row>
    <row r="26" spans="1:14" ht="12.75" customHeight="1">
      <c r="A26" s="12"/>
      <c r="B26" s="175" t="s">
        <v>80</v>
      </c>
      <c r="C26" s="532">
        <v>17.799</v>
      </c>
      <c r="D26" s="533">
        <v>19.626</v>
      </c>
      <c r="E26" s="533">
        <v>17.562</v>
      </c>
      <c r="F26" s="533">
        <v>16.845</v>
      </c>
      <c r="G26" s="533">
        <v>16.737</v>
      </c>
      <c r="H26" s="533">
        <v>17.566</v>
      </c>
      <c r="I26" s="533">
        <v>16.814</v>
      </c>
      <c r="J26" s="533">
        <v>14.79</v>
      </c>
      <c r="K26" s="534">
        <v>16.237</v>
      </c>
      <c r="L26" s="175" t="s">
        <v>80</v>
      </c>
      <c r="N26" s="95">
        <f t="shared" si="1"/>
        <v>9.783637592968208</v>
      </c>
    </row>
    <row r="27" spans="1:14" ht="12.75" customHeight="1">
      <c r="A27" s="12"/>
      <c r="B27" s="14" t="s">
        <v>90</v>
      </c>
      <c r="C27" s="535">
        <v>18.704</v>
      </c>
      <c r="D27" s="536">
        <v>23.775</v>
      </c>
      <c r="E27" s="536">
        <v>19.952</v>
      </c>
      <c r="F27" s="536">
        <v>16.687</v>
      </c>
      <c r="G27" s="536">
        <v>17.93</v>
      </c>
      <c r="H27" s="536">
        <v>18.748</v>
      </c>
      <c r="I27" s="536">
        <v>19.904</v>
      </c>
      <c r="J27" s="536">
        <v>18.873</v>
      </c>
      <c r="K27" s="537">
        <v>23.748</v>
      </c>
      <c r="L27" s="14" t="s">
        <v>90</v>
      </c>
      <c r="N27" s="95">
        <f t="shared" si="1"/>
        <v>25.83055158162455</v>
      </c>
    </row>
    <row r="28" spans="1:14" ht="12.75" customHeight="1">
      <c r="A28" s="12"/>
      <c r="B28" s="174" t="s">
        <v>73</v>
      </c>
      <c r="C28" s="532" t="s">
        <v>121</v>
      </c>
      <c r="D28" s="533" t="s">
        <v>121</v>
      </c>
      <c r="E28" s="533" t="s">
        <v>121</v>
      </c>
      <c r="F28" s="533" t="s">
        <v>121</v>
      </c>
      <c r="G28" s="533">
        <v>1.3</v>
      </c>
      <c r="H28" s="533">
        <v>1.95</v>
      </c>
      <c r="I28" s="533">
        <v>3.841</v>
      </c>
      <c r="J28" s="533">
        <v>5.115</v>
      </c>
      <c r="K28" s="534">
        <v>7.574</v>
      </c>
      <c r="L28" s="174" t="s">
        <v>73</v>
      </c>
      <c r="N28" s="95">
        <f t="shared" si="1"/>
        <v>48.07429130009775</v>
      </c>
    </row>
    <row r="29" spans="1:14" ht="12.75" customHeight="1">
      <c r="A29" s="12"/>
      <c r="B29" s="14" t="s">
        <v>91</v>
      </c>
      <c r="C29" s="535">
        <v>12.059</v>
      </c>
      <c r="D29" s="536">
        <v>17.716</v>
      </c>
      <c r="E29" s="536">
        <v>17.087</v>
      </c>
      <c r="F29" s="536">
        <v>14.218</v>
      </c>
      <c r="G29" s="536">
        <v>11.198</v>
      </c>
      <c r="H29" s="536">
        <v>11.562</v>
      </c>
      <c r="I29" s="536">
        <v>11.232</v>
      </c>
      <c r="J29" s="536">
        <v>11.435</v>
      </c>
      <c r="K29" s="537">
        <v>11.991</v>
      </c>
      <c r="L29" s="14" t="s">
        <v>91</v>
      </c>
      <c r="N29" s="95">
        <f t="shared" si="1"/>
        <v>4.862264975951014</v>
      </c>
    </row>
    <row r="30" spans="1:14" ht="12.75" customHeight="1">
      <c r="A30" s="12"/>
      <c r="B30" s="174" t="s">
        <v>74</v>
      </c>
      <c r="C30" s="532"/>
      <c r="D30" s="533"/>
      <c r="E30" s="533"/>
      <c r="F30" s="533">
        <v>105.525</v>
      </c>
      <c r="G30" s="533">
        <v>102.97</v>
      </c>
      <c r="H30" s="533">
        <v>104.509</v>
      </c>
      <c r="I30" s="533">
        <v>93.845</v>
      </c>
      <c r="J30" s="533"/>
      <c r="K30" s="534"/>
      <c r="L30" s="174" t="s">
        <v>74</v>
      </c>
      <c r="N30" s="95"/>
    </row>
    <row r="31" spans="1:14" ht="12.75" customHeight="1">
      <c r="A31" s="12"/>
      <c r="B31" s="14" t="s">
        <v>76</v>
      </c>
      <c r="C31" s="535" t="s">
        <v>121</v>
      </c>
      <c r="D31" s="536">
        <v>1.23</v>
      </c>
      <c r="E31" s="536">
        <v>0.965</v>
      </c>
      <c r="F31" s="536">
        <v>1.159</v>
      </c>
      <c r="G31" s="536">
        <v>1.466</v>
      </c>
      <c r="H31" s="536">
        <v>2.072</v>
      </c>
      <c r="I31" s="536">
        <v>2.535</v>
      </c>
      <c r="J31" s="536">
        <v>3.598</v>
      </c>
      <c r="K31" s="537">
        <v>5.061</v>
      </c>
      <c r="L31" s="14" t="s">
        <v>76</v>
      </c>
      <c r="N31" s="95">
        <f t="shared" si="1"/>
        <v>40.6614785992218</v>
      </c>
    </row>
    <row r="32" spans="1:14" ht="12.75" customHeight="1">
      <c r="A32" s="12"/>
      <c r="B32" s="174" t="s">
        <v>75</v>
      </c>
      <c r="C32" s="532" t="s">
        <v>121</v>
      </c>
      <c r="D32" s="533" t="s">
        <v>121</v>
      </c>
      <c r="E32" s="533" t="s">
        <v>121</v>
      </c>
      <c r="F32" s="533" t="s">
        <v>121</v>
      </c>
      <c r="G32" s="533" t="s">
        <v>121</v>
      </c>
      <c r="H32" s="533">
        <v>1.165</v>
      </c>
      <c r="I32" s="533">
        <v>1.165</v>
      </c>
      <c r="J32" s="533">
        <v>2.122</v>
      </c>
      <c r="K32" s="534">
        <v>3.144</v>
      </c>
      <c r="L32" s="174" t="s">
        <v>75</v>
      </c>
      <c r="N32" s="95">
        <f t="shared" si="1"/>
        <v>48.16211121583414</v>
      </c>
    </row>
    <row r="33" spans="1:14" ht="12.75" customHeight="1">
      <c r="A33" s="12"/>
      <c r="B33" s="14" t="s">
        <v>92</v>
      </c>
      <c r="C33" s="535"/>
      <c r="D33" s="536">
        <v>5.167</v>
      </c>
      <c r="E33" s="536">
        <v>4.408</v>
      </c>
      <c r="F33" s="536">
        <v>4.92</v>
      </c>
      <c r="G33" s="536">
        <v>6.264</v>
      </c>
      <c r="H33" s="536">
        <v>7.835</v>
      </c>
      <c r="I33" s="536">
        <v>9.228</v>
      </c>
      <c r="J33" s="536">
        <v>11.058</v>
      </c>
      <c r="K33" s="537">
        <v>11.477</v>
      </c>
      <c r="L33" s="14" t="s">
        <v>92</v>
      </c>
      <c r="N33" s="95">
        <f t="shared" si="1"/>
        <v>3.7891119551455965</v>
      </c>
    </row>
    <row r="34" spans="1:14" ht="12.75" customHeight="1">
      <c r="A34" s="12"/>
      <c r="B34" s="174" t="s">
        <v>93</v>
      </c>
      <c r="C34" s="532"/>
      <c r="D34" s="533">
        <v>18.401</v>
      </c>
      <c r="E34" s="533">
        <v>21.074</v>
      </c>
      <c r="F34" s="533">
        <v>23.052</v>
      </c>
      <c r="G34" s="533">
        <v>23.66</v>
      </c>
      <c r="H34" s="533">
        <v>25.3</v>
      </c>
      <c r="I34" s="533">
        <v>22.763</v>
      </c>
      <c r="J34" s="533">
        <v>27.051</v>
      </c>
      <c r="K34" s="534">
        <v>27.064</v>
      </c>
      <c r="L34" s="174" t="s">
        <v>93</v>
      </c>
      <c r="N34" s="95">
        <f t="shared" si="1"/>
        <v>0.048057373110066415</v>
      </c>
    </row>
    <row r="35" spans="1:14" ht="12.75" customHeight="1">
      <c r="A35" s="12"/>
      <c r="B35" s="15" t="s">
        <v>81</v>
      </c>
      <c r="C35" s="538"/>
      <c r="D35" s="539">
        <v>121.908</v>
      </c>
      <c r="E35" s="539">
        <v>123.866</v>
      </c>
      <c r="F35" s="539">
        <v>123.391</v>
      </c>
      <c r="G35" s="539">
        <v>119.348</v>
      </c>
      <c r="H35" s="539">
        <v>106.391</v>
      </c>
      <c r="I35" s="539">
        <v>108.058</v>
      </c>
      <c r="J35" s="539">
        <v>109.527</v>
      </c>
      <c r="K35" s="540">
        <v>119.863</v>
      </c>
      <c r="L35" s="15" t="s">
        <v>81</v>
      </c>
      <c r="N35" s="95">
        <f t="shared" si="1"/>
        <v>9.436942489066613</v>
      </c>
    </row>
    <row r="36" spans="1:14" ht="15" customHeight="1">
      <c r="A36" s="12"/>
      <c r="B36" s="886" t="s">
        <v>195</v>
      </c>
      <c r="C36" s="886"/>
      <c r="D36" s="886"/>
      <c r="E36" s="886"/>
      <c r="F36" s="886"/>
      <c r="G36" s="886"/>
      <c r="H36" s="886"/>
      <c r="I36" s="886"/>
      <c r="J36" s="886"/>
      <c r="K36" s="886"/>
      <c r="L36" s="205"/>
      <c r="M36" s="30"/>
      <c r="N36" s="4"/>
    </row>
    <row r="37" spans="1:14" ht="11.25" customHeight="1">
      <c r="A37" s="12"/>
      <c r="B37" s="855" t="s">
        <v>2</v>
      </c>
      <c r="C37" s="855"/>
      <c r="D37" s="855"/>
      <c r="I37" s="62"/>
      <c r="J37" s="62"/>
      <c r="K37" s="62"/>
      <c r="L37" s="62"/>
      <c r="M37" s="62"/>
      <c r="N37" s="62"/>
    </row>
    <row r="38" spans="1:14" ht="12.75" customHeight="1">
      <c r="A38" s="12"/>
      <c r="B38" s="879" t="s">
        <v>5</v>
      </c>
      <c r="C38" s="879"/>
      <c r="D38" s="879"/>
      <c r="E38" s="879"/>
      <c r="F38" s="879"/>
      <c r="G38" s="879"/>
      <c r="H38" s="879"/>
      <c r="I38" s="879"/>
      <c r="J38" s="879"/>
      <c r="K38" s="62"/>
      <c r="L38" s="62"/>
      <c r="M38" s="30"/>
      <c r="N38" s="4"/>
    </row>
    <row r="39" spans="2:12" ht="12.75">
      <c r="B39" s="879" t="s">
        <v>117</v>
      </c>
      <c r="C39" s="879"/>
      <c r="D39" s="879"/>
      <c r="E39" s="879"/>
      <c r="F39" s="879"/>
      <c r="G39" s="879"/>
      <c r="H39" s="879"/>
      <c r="I39" s="879"/>
      <c r="J39" s="62"/>
      <c r="K39" s="62"/>
      <c r="L39" s="62"/>
    </row>
    <row r="40" ht="12.75">
      <c r="B40" s="413" t="s">
        <v>173</v>
      </c>
    </row>
  </sheetData>
  <mergeCells count="6">
    <mergeCell ref="B2:L2"/>
    <mergeCell ref="B3:L3"/>
    <mergeCell ref="B39:I39"/>
    <mergeCell ref="B38:J38"/>
    <mergeCell ref="B36:K36"/>
    <mergeCell ref="B37:D3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2"/>
  <dimension ref="A1:N3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8" customWidth="1"/>
    <col min="3" max="3" width="8.7109375" style="8" hidden="1" customWidth="1"/>
    <col min="4" max="11" width="8.7109375" style="8" customWidth="1"/>
    <col min="12" max="12" width="4.00390625" style="8" customWidth="1"/>
    <col min="13" max="13" width="5.421875" style="8" customWidth="1"/>
    <col min="14" max="14" width="9.140625" style="0" customWidth="1"/>
  </cols>
  <sheetData>
    <row r="1" spans="2:12" ht="14.25" customHeight="1">
      <c r="B1" s="54"/>
      <c r="C1" s="54"/>
      <c r="D1" s="54"/>
      <c r="E1" s="54"/>
      <c r="F1" s="54"/>
      <c r="J1" s="37"/>
      <c r="K1" s="37"/>
      <c r="L1" s="37" t="s">
        <v>107</v>
      </c>
    </row>
    <row r="2" spans="2:13" s="121" customFormat="1" ht="30" customHeight="1">
      <c r="B2" s="854" t="s">
        <v>160</v>
      </c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452"/>
    </row>
    <row r="3" spans="2:12" ht="15" customHeight="1">
      <c r="B3" s="857" t="s">
        <v>164</v>
      </c>
      <c r="C3" s="857"/>
      <c r="D3" s="857"/>
      <c r="E3" s="857"/>
      <c r="F3" s="857"/>
      <c r="G3" s="857"/>
      <c r="H3" s="857"/>
      <c r="I3" s="857"/>
      <c r="J3" s="857"/>
      <c r="K3" s="857"/>
      <c r="L3" s="857"/>
    </row>
    <row r="4" spans="11:14" ht="12.75" customHeight="1">
      <c r="K4" s="11" t="s">
        <v>6</v>
      </c>
      <c r="L4" s="11"/>
      <c r="N4" s="11"/>
    </row>
    <row r="5" spans="3:14" ht="24.75" customHeight="1">
      <c r="C5" s="178">
        <v>1995</v>
      </c>
      <c r="D5" s="178">
        <v>2000</v>
      </c>
      <c r="E5" s="179">
        <v>2001</v>
      </c>
      <c r="F5" s="179">
        <v>2002</v>
      </c>
      <c r="G5" s="179">
        <v>2003</v>
      </c>
      <c r="H5" s="179">
        <v>2004</v>
      </c>
      <c r="I5" s="179">
        <v>2005</v>
      </c>
      <c r="J5" s="179">
        <v>2006</v>
      </c>
      <c r="K5" s="180">
        <v>2007</v>
      </c>
      <c r="L5" s="10"/>
      <c r="N5" s="940" t="s">
        <v>257</v>
      </c>
    </row>
    <row r="6" spans="2:14" ht="12.75" customHeight="1">
      <c r="B6" s="177" t="s">
        <v>47</v>
      </c>
      <c r="C6" s="541"/>
      <c r="D6" s="542"/>
      <c r="E6" s="542"/>
      <c r="F6" s="542"/>
      <c r="G6" s="542"/>
      <c r="H6" s="542"/>
      <c r="I6" s="542"/>
      <c r="J6" s="542"/>
      <c r="K6" s="543"/>
      <c r="L6" s="177" t="s">
        <v>47</v>
      </c>
      <c r="N6" s="95"/>
    </row>
    <row r="7" spans="2:14" ht="12.75" customHeight="1">
      <c r="B7" s="174" t="s">
        <v>82</v>
      </c>
      <c r="C7" s="524"/>
      <c r="D7" s="525">
        <f>SUM(D9,D12:D13,D15:D19,D23,D26:D27,D30,D33:D35)</f>
        <v>1094.8990000000001</v>
      </c>
      <c r="E7" s="525">
        <f aca="true" t="shared" si="0" ref="E7:K7">SUM(E9,E12:E13,E15:E19,E23,E26:E27,E30,E33:E35)</f>
        <v>856.197</v>
      </c>
      <c r="F7" s="525">
        <f t="shared" si="0"/>
        <v>739.233</v>
      </c>
      <c r="G7" s="525"/>
      <c r="H7" s="525"/>
      <c r="I7" s="525"/>
      <c r="J7" s="525">
        <f t="shared" si="0"/>
        <v>747.764</v>
      </c>
      <c r="K7" s="525">
        <f t="shared" si="0"/>
        <v>775.5540000000001</v>
      </c>
      <c r="L7" s="174" t="s">
        <v>82</v>
      </c>
      <c r="M7" s="4"/>
      <c r="N7" s="95">
        <f aca="true" t="shared" si="1" ref="N7:N35">100*(K7/J7-1)</f>
        <v>3.7164131998866035</v>
      </c>
    </row>
    <row r="8" spans="2:14" ht="12.75" customHeight="1">
      <c r="B8" s="176" t="s">
        <v>175</v>
      </c>
      <c r="C8" s="526"/>
      <c r="D8" s="527"/>
      <c r="E8" s="527"/>
      <c r="F8" s="527"/>
      <c r="G8" s="527"/>
      <c r="H8" s="527"/>
      <c r="I8" s="527"/>
      <c r="J8" s="527"/>
      <c r="K8" s="528"/>
      <c r="L8" s="176" t="s">
        <v>175</v>
      </c>
      <c r="M8" s="4"/>
      <c r="N8" s="95"/>
    </row>
    <row r="9" spans="1:14" ht="12.75" customHeight="1">
      <c r="A9" s="12"/>
      <c r="B9" s="13" t="s">
        <v>83</v>
      </c>
      <c r="C9" s="529">
        <v>27.582</v>
      </c>
      <c r="D9" s="530">
        <v>33.191</v>
      </c>
      <c r="E9" s="530">
        <v>30.191</v>
      </c>
      <c r="F9" s="530">
        <v>26.651</v>
      </c>
      <c r="G9" s="530">
        <v>20.581</v>
      </c>
      <c r="H9" s="530">
        <v>17.751</v>
      </c>
      <c r="I9" s="530">
        <v>17.347</v>
      </c>
      <c r="J9" s="530">
        <v>20.279</v>
      </c>
      <c r="K9" s="531">
        <v>21.434</v>
      </c>
      <c r="L9" s="13" t="s">
        <v>83</v>
      </c>
      <c r="N9" s="95">
        <f t="shared" si="1"/>
        <v>5.695547117707989</v>
      </c>
    </row>
    <row r="10" spans="1:14" ht="12.75" customHeight="1">
      <c r="A10" s="12"/>
      <c r="B10" s="174" t="s">
        <v>65</v>
      </c>
      <c r="C10" s="532"/>
      <c r="D10" s="533"/>
      <c r="E10" s="533"/>
      <c r="F10" s="533"/>
      <c r="G10" s="533"/>
      <c r="H10" s="533"/>
      <c r="I10" s="533"/>
      <c r="J10" s="533"/>
      <c r="K10" s="534"/>
      <c r="L10" s="174" t="s">
        <v>65</v>
      </c>
      <c r="N10" s="95"/>
    </row>
    <row r="11" spans="1:14" ht="12.75" customHeight="1">
      <c r="A11" s="12"/>
      <c r="B11" s="14" t="s">
        <v>67</v>
      </c>
      <c r="C11" s="535"/>
      <c r="D11" s="536"/>
      <c r="E11" s="536"/>
      <c r="F11" s="536"/>
      <c r="G11" s="536">
        <v>7.724</v>
      </c>
      <c r="H11" s="536">
        <v>6.903</v>
      </c>
      <c r="I11" s="536">
        <v>8.017</v>
      </c>
      <c r="J11" s="536">
        <v>6.079</v>
      </c>
      <c r="K11" s="537">
        <v>6.121</v>
      </c>
      <c r="L11" s="14" t="s">
        <v>67</v>
      </c>
      <c r="N11" s="95">
        <f t="shared" si="1"/>
        <v>0.6909031090640116</v>
      </c>
    </row>
    <row r="12" spans="1:14" ht="12.75" customHeight="1">
      <c r="A12" s="12"/>
      <c r="B12" s="174" t="s">
        <v>78</v>
      </c>
      <c r="C12" s="532">
        <v>10.818</v>
      </c>
      <c r="D12" s="533">
        <v>9.766</v>
      </c>
      <c r="E12" s="533">
        <v>6.796</v>
      </c>
      <c r="F12" s="533">
        <v>5.048</v>
      </c>
      <c r="G12" s="533">
        <v>3.758</v>
      </c>
      <c r="H12" s="533">
        <v>4.197</v>
      </c>
      <c r="I12" s="533">
        <v>4.916</v>
      </c>
      <c r="J12" s="533">
        <v>4.462</v>
      </c>
      <c r="K12" s="534">
        <v>4.517</v>
      </c>
      <c r="L12" s="174" t="s">
        <v>78</v>
      </c>
      <c r="N12" s="95">
        <f t="shared" si="1"/>
        <v>1.232631107126858</v>
      </c>
    </row>
    <row r="13" spans="1:14" ht="12.75" customHeight="1">
      <c r="A13" s="12"/>
      <c r="B13" s="14" t="s">
        <v>84</v>
      </c>
      <c r="C13" s="535">
        <v>124.497</v>
      </c>
      <c r="D13" s="536">
        <v>108.671</v>
      </c>
      <c r="E13" s="536">
        <v>112.322</v>
      </c>
      <c r="F13" s="536">
        <v>94.577</v>
      </c>
      <c r="G13" s="536">
        <v>93.02</v>
      </c>
      <c r="H13" s="536">
        <v>81.28</v>
      </c>
      <c r="I13" s="536">
        <v>97.333</v>
      </c>
      <c r="J13" s="536">
        <v>109.906</v>
      </c>
      <c r="K13" s="537">
        <v>94.215</v>
      </c>
      <c r="L13" s="14" t="s">
        <v>84</v>
      </c>
      <c r="N13" s="95">
        <f t="shared" si="1"/>
        <v>-14.276745582588756</v>
      </c>
    </row>
    <row r="14" spans="1:14" ht="12.75" customHeight="1">
      <c r="A14" s="12"/>
      <c r="B14" s="174" t="s">
        <v>68</v>
      </c>
      <c r="C14" s="532"/>
      <c r="D14" s="533"/>
      <c r="E14" s="533"/>
      <c r="F14" s="533"/>
      <c r="G14" s="533"/>
      <c r="H14" s="533"/>
      <c r="I14" s="533"/>
      <c r="J14" s="533"/>
      <c r="K14" s="534"/>
      <c r="L14" s="174" t="s">
        <v>68</v>
      </c>
      <c r="N14" s="95"/>
    </row>
    <row r="15" spans="1:14" ht="12.75" customHeight="1">
      <c r="A15" s="12"/>
      <c r="B15" s="14" t="s">
        <v>87</v>
      </c>
      <c r="C15" s="535">
        <v>0.437</v>
      </c>
      <c r="D15" s="536">
        <v>3.023</v>
      </c>
      <c r="E15" s="536">
        <v>2.214</v>
      </c>
      <c r="F15" s="536">
        <v>2.349</v>
      </c>
      <c r="G15" s="536">
        <v>2.14</v>
      </c>
      <c r="H15" s="536">
        <v>1.299</v>
      </c>
      <c r="I15" s="536">
        <v>0.849</v>
      </c>
      <c r="J15" s="536">
        <v>0.698</v>
      </c>
      <c r="K15" s="537">
        <v>0.641</v>
      </c>
      <c r="L15" s="14" t="s">
        <v>87</v>
      </c>
      <c r="N15" s="95">
        <f t="shared" si="1"/>
        <v>-8.166189111747846</v>
      </c>
    </row>
    <row r="16" spans="1:14" ht="12.75" customHeight="1">
      <c r="A16" s="12"/>
      <c r="B16" s="174" t="s">
        <v>79</v>
      </c>
      <c r="C16" s="532">
        <v>13.5</v>
      </c>
      <c r="D16" s="533">
        <v>19.243</v>
      </c>
      <c r="E16" s="533">
        <v>21.149</v>
      </c>
      <c r="F16" s="533">
        <v>20.221</v>
      </c>
      <c r="G16" s="533">
        <v>20.921</v>
      </c>
      <c r="H16" s="533">
        <v>21.856</v>
      </c>
      <c r="I16" s="533">
        <v>24.107</v>
      </c>
      <c r="J16" s="533">
        <v>36.295</v>
      </c>
      <c r="K16" s="534">
        <v>21.899</v>
      </c>
      <c r="L16" s="174" t="s">
        <v>79</v>
      </c>
      <c r="N16" s="95">
        <f t="shared" si="1"/>
        <v>-39.66386554621849</v>
      </c>
    </row>
    <row r="17" spans="1:14" ht="12.75" customHeight="1">
      <c r="A17" s="12"/>
      <c r="B17" s="14" t="s">
        <v>85</v>
      </c>
      <c r="C17" s="535">
        <v>155.23</v>
      </c>
      <c r="D17" s="536">
        <v>248.633</v>
      </c>
      <c r="E17" s="536">
        <v>176.489</v>
      </c>
      <c r="F17" s="536">
        <v>113.756</v>
      </c>
      <c r="G17" s="536">
        <v>110.421</v>
      </c>
      <c r="H17" s="536">
        <v>118.128</v>
      </c>
      <c r="I17" s="536">
        <v>115.142</v>
      </c>
      <c r="J17" s="536">
        <v>137.46</v>
      </c>
      <c r="K17" s="537">
        <v>125.862</v>
      </c>
      <c r="L17" s="14" t="s">
        <v>85</v>
      </c>
      <c r="N17" s="95">
        <f t="shared" si="1"/>
        <v>-8.43736359668268</v>
      </c>
    </row>
    <row r="18" spans="1:14" ht="12.75" customHeight="1">
      <c r="A18" s="12"/>
      <c r="B18" s="174" t="s">
        <v>86</v>
      </c>
      <c r="C18" s="532">
        <v>218.198</v>
      </c>
      <c r="D18" s="533">
        <v>192.273</v>
      </c>
      <c r="E18" s="533">
        <v>184.666</v>
      </c>
      <c r="F18" s="533">
        <v>166.124</v>
      </c>
      <c r="G18" s="533">
        <v>166.127</v>
      </c>
      <c r="H18" s="533">
        <v>166.003</v>
      </c>
      <c r="I18" s="533">
        <v>154.922</v>
      </c>
      <c r="J18" s="533">
        <v>184.869</v>
      </c>
      <c r="K18" s="534">
        <v>209.451</v>
      </c>
      <c r="L18" s="174" t="s">
        <v>86</v>
      </c>
      <c r="N18" s="95">
        <f t="shared" si="1"/>
        <v>13.296983269233898</v>
      </c>
    </row>
    <row r="19" spans="1:14" ht="12.75" customHeight="1">
      <c r="A19" s="12"/>
      <c r="B19" s="14" t="s">
        <v>88</v>
      </c>
      <c r="C19" s="535">
        <v>575.112</v>
      </c>
      <c r="D19" s="536">
        <v>311.836</v>
      </c>
      <c r="E19" s="536">
        <v>175.543</v>
      </c>
      <c r="F19" s="536">
        <v>166.755</v>
      </c>
      <c r="G19" s="536">
        <v>161.893</v>
      </c>
      <c r="H19" s="536">
        <v>132.367</v>
      </c>
      <c r="I19" s="536">
        <v>128.284</v>
      </c>
      <c r="J19" s="536">
        <v>109.85</v>
      </c>
      <c r="K19" s="537">
        <v>130.696</v>
      </c>
      <c r="L19" s="14" t="s">
        <v>88</v>
      </c>
      <c r="N19" s="95">
        <f t="shared" si="1"/>
        <v>18.97678652708239</v>
      </c>
    </row>
    <row r="20" spans="1:14" ht="12.75" customHeight="1">
      <c r="A20" s="12"/>
      <c r="B20" s="174" t="s">
        <v>66</v>
      </c>
      <c r="C20" s="532"/>
      <c r="D20" s="533"/>
      <c r="E20" s="533"/>
      <c r="F20" s="533">
        <v>2.315</v>
      </c>
      <c r="G20" s="533">
        <v>2.652</v>
      </c>
      <c r="H20" s="533">
        <v>2.412</v>
      </c>
      <c r="I20" s="533">
        <v>2.085</v>
      </c>
      <c r="J20" s="533">
        <v>1.739</v>
      </c>
      <c r="K20" s="534">
        <v>1.747</v>
      </c>
      <c r="L20" s="174" t="s">
        <v>66</v>
      </c>
      <c r="N20" s="95">
        <f t="shared" si="1"/>
        <v>0.46003450258769174</v>
      </c>
    </row>
    <row r="21" spans="1:14" ht="12.75" customHeight="1">
      <c r="A21" s="12"/>
      <c r="B21" s="14" t="s">
        <v>70</v>
      </c>
      <c r="C21" s="535"/>
      <c r="D21" s="536"/>
      <c r="E21" s="536"/>
      <c r="F21" s="536"/>
      <c r="G21" s="536"/>
      <c r="H21" s="536">
        <v>5.944</v>
      </c>
      <c r="I21" s="536">
        <v>1.378</v>
      </c>
      <c r="J21" s="536">
        <v>2.507</v>
      </c>
      <c r="K21" s="537">
        <v>4.389</v>
      </c>
      <c r="L21" s="14" t="s">
        <v>70</v>
      </c>
      <c r="N21" s="95">
        <f t="shared" si="1"/>
        <v>75.06980454726767</v>
      </c>
    </row>
    <row r="22" spans="1:14" ht="12.75" customHeight="1">
      <c r="A22" s="12"/>
      <c r="B22" s="174" t="s">
        <v>71</v>
      </c>
      <c r="C22" s="532"/>
      <c r="D22" s="533"/>
      <c r="E22" s="533"/>
      <c r="F22" s="533"/>
      <c r="G22" s="533"/>
      <c r="H22" s="533"/>
      <c r="I22" s="533"/>
      <c r="J22" s="533"/>
      <c r="K22" s="534"/>
      <c r="L22" s="174" t="s">
        <v>71</v>
      </c>
      <c r="N22" s="95"/>
    </row>
    <row r="23" spans="1:14" ht="12.75" customHeight="1">
      <c r="A23" s="12"/>
      <c r="B23" s="14" t="s">
        <v>89</v>
      </c>
      <c r="C23" s="535"/>
      <c r="D23" s="536">
        <v>0.454</v>
      </c>
      <c r="E23" s="536">
        <v>0.437</v>
      </c>
      <c r="F23" s="536">
        <v>0.483</v>
      </c>
      <c r="G23" s="536">
        <v>0.63</v>
      </c>
      <c r="H23" s="536">
        <v>0.552</v>
      </c>
      <c r="I23" s="536">
        <v>0.528</v>
      </c>
      <c r="J23" s="536">
        <v>0.657</v>
      </c>
      <c r="K23" s="537">
        <v>0.604</v>
      </c>
      <c r="L23" s="14" t="s">
        <v>89</v>
      </c>
      <c r="N23" s="95">
        <f t="shared" si="1"/>
        <v>-8.066971080669717</v>
      </c>
    </row>
    <row r="24" spans="1:14" ht="12.75" customHeight="1">
      <c r="A24" s="12"/>
      <c r="B24" s="174" t="s">
        <v>69</v>
      </c>
      <c r="C24" s="532"/>
      <c r="D24" s="533"/>
      <c r="E24" s="533"/>
      <c r="F24" s="533"/>
      <c r="G24" s="533"/>
      <c r="H24" s="533"/>
      <c r="I24" s="533"/>
      <c r="J24" s="533"/>
      <c r="K24" s="534"/>
      <c r="L24" s="174" t="s">
        <v>69</v>
      </c>
      <c r="N24" s="95"/>
    </row>
    <row r="25" spans="1:14" ht="12.75" customHeight="1">
      <c r="A25" s="12"/>
      <c r="B25" s="14" t="s">
        <v>72</v>
      </c>
      <c r="C25" s="535"/>
      <c r="D25" s="536"/>
      <c r="E25" s="536"/>
      <c r="F25" s="536"/>
      <c r="G25" s="536"/>
      <c r="H25" s="536"/>
      <c r="I25" s="536"/>
      <c r="J25" s="536"/>
      <c r="K25" s="537"/>
      <c r="L25" s="14" t="s">
        <v>72</v>
      </c>
      <c r="N25" s="95"/>
    </row>
    <row r="26" spans="1:14" ht="12.75" customHeight="1">
      <c r="A26" s="12"/>
      <c r="B26" s="175" t="s">
        <v>80</v>
      </c>
      <c r="C26" s="532">
        <v>59.153</v>
      </c>
      <c r="D26" s="533">
        <v>66.941</v>
      </c>
      <c r="E26" s="533">
        <v>56.206</v>
      </c>
      <c r="F26" s="533">
        <v>53.857</v>
      </c>
      <c r="G26" s="533">
        <v>45.878</v>
      </c>
      <c r="H26" s="533">
        <v>39.131</v>
      </c>
      <c r="I26" s="533">
        <v>40.858</v>
      </c>
      <c r="J26" s="533">
        <v>48.776</v>
      </c>
      <c r="K26" s="534">
        <v>57.427</v>
      </c>
      <c r="L26" s="175" t="s">
        <v>80</v>
      </c>
      <c r="N26" s="95">
        <f t="shared" si="1"/>
        <v>17.736181728719025</v>
      </c>
    </row>
    <row r="27" spans="1:14" ht="12.75" customHeight="1">
      <c r="A27" s="12"/>
      <c r="B27" s="14" t="s">
        <v>90</v>
      </c>
      <c r="C27" s="535">
        <v>10.742</v>
      </c>
      <c r="D27" s="536">
        <v>21.335</v>
      </c>
      <c r="E27" s="536">
        <v>20.459</v>
      </c>
      <c r="F27" s="536">
        <v>16.278</v>
      </c>
      <c r="G27" s="536">
        <v>19.914</v>
      </c>
      <c r="H27" s="536">
        <v>21.711</v>
      </c>
      <c r="I27" s="536">
        <v>27.728</v>
      </c>
      <c r="J27" s="536">
        <v>28.292</v>
      </c>
      <c r="K27" s="537">
        <v>30.933</v>
      </c>
      <c r="L27" s="14" t="s">
        <v>90</v>
      </c>
      <c r="N27" s="95">
        <f t="shared" si="1"/>
        <v>9.334794288137992</v>
      </c>
    </row>
    <row r="28" spans="1:14" ht="12.75" customHeight="1">
      <c r="A28" s="12"/>
      <c r="B28" s="174" t="s">
        <v>73</v>
      </c>
      <c r="C28" s="532"/>
      <c r="D28" s="533"/>
      <c r="E28" s="533"/>
      <c r="F28" s="533"/>
      <c r="G28" s="533"/>
      <c r="H28" s="533"/>
      <c r="I28" s="533">
        <v>23.309</v>
      </c>
      <c r="J28" s="533">
        <v>43.57</v>
      </c>
      <c r="K28" s="534">
        <v>91.913</v>
      </c>
      <c r="L28" s="174" t="s">
        <v>73</v>
      </c>
      <c r="N28" s="95">
        <f t="shared" si="1"/>
        <v>110.95478540280008</v>
      </c>
    </row>
    <row r="29" spans="1:14" ht="12.75" customHeight="1">
      <c r="A29" s="12"/>
      <c r="B29" s="14" t="s">
        <v>74</v>
      </c>
      <c r="C29" s="535"/>
      <c r="D29" s="536"/>
      <c r="E29" s="536"/>
      <c r="F29" s="536">
        <v>132.955</v>
      </c>
      <c r="G29" s="536">
        <v>132.88</v>
      </c>
      <c r="H29" s="536">
        <v>130.193</v>
      </c>
      <c r="I29" s="536">
        <v>103.556</v>
      </c>
      <c r="J29" s="536"/>
      <c r="K29" s="537"/>
      <c r="L29" s="14" t="s">
        <v>74</v>
      </c>
      <c r="N29" s="95"/>
    </row>
    <row r="30" spans="1:14" ht="12.75" customHeight="1">
      <c r="A30" s="12"/>
      <c r="B30" s="174" t="s">
        <v>91</v>
      </c>
      <c r="C30" s="532">
        <v>42</v>
      </c>
      <c r="D30" s="533">
        <v>14.969</v>
      </c>
      <c r="E30" s="533">
        <v>7.636</v>
      </c>
      <c r="F30" s="533">
        <v>6.731</v>
      </c>
      <c r="G30" s="533"/>
      <c r="H30" s="533"/>
      <c r="I30" s="533"/>
      <c r="J30" s="533">
        <v>1.982</v>
      </c>
      <c r="K30" s="534">
        <v>7.886</v>
      </c>
      <c r="L30" s="174" t="s">
        <v>91</v>
      </c>
      <c r="N30" s="95">
        <f t="shared" si="1"/>
        <v>297.8809283551968</v>
      </c>
    </row>
    <row r="31" spans="1:14" ht="12.75" customHeight="1">
      <c r="A31" s="12"/>
      <c r="B31" s="14" t="s">
        <v>76</v>
      </c>
      <c r="C31" s="535"/>
      <c r="D31" s="536"/>
      <c r="E31" s="536"/>
      <c r="F31" s="536">
        <v>1.741</v>
      </c>
      <c r="G31" s="536">
        <v>1.398</v>
      </c>
      <c r="H31" s="536">
        <v>2.215</v>
      </c>
      <c r="I31" s="536">
        <v>3.121</v>
      </c>
      <c r="J31" s="536">
        <v>4.691</v>
      </c>
      <c r="K31" s="537">
        <v>5.735</v>
      </c>
      <c r="L31" s="14" t="s">
        <v>76</v>
      </c>
      <c r="N31" s="95">
        <f t="shared" si="1"/>
        <v>22.255382647623122</v>
      </c>
    </row>
    <row r="32" spans="1:14" ht="12.75" customHeight="1">
      <c r="A32" s="12"/>
      <c r="B32" s="174" t="s">
        <v>75</v>
      </c>
      <c r="C32" s="532"/>
      <c r="D32" s="533"/>
      <c r="E32" s="533"/>
      <c r="F32" s="533"/>
      <c r="G32" s="533"/>
      <c r="H32" s="533">
        <v>1.763</v>
      </c>
      <c r="I32" s="533">
        <v>2.037</v>
      </c>
      <c r="J32" s="533">
        <v>2.577</v>
      </c>
      <c r="K32" s="534">
        <v>3.017</v>
      </c>
      <c r="L32" s="174" t="s">
        <v>75</v>
      </c>
      <c r="N32" s="95">
        <f t="shared" si="1"/>
        <v>17.074117190531624</v>
      </c>
    </row>
    <row r="33" spans="1:14" ht="12.75" customHeight="1">
      <c r="A33" s="12"/>
      <c r="B33" s="14" t="s">
        <v>92</v>
      </c>
      <c r="C33" s="535"/>
      <c r="D33" s="536">
        <v>6.423</v>
      </c>
      <c r="E33" s="536">
        <v>6.705</v>
      </c>
      <c r="F33" s="536">
        <v>8.835</v>
      </c>
      <c r="G33" s="536">
        <v>12.751</v>
      </c>
      <c r="H33" s="536">
        <v>17.808</v>
      </c>
      <c r="I33" s="536">
        <v>20.895</v>
      </c>
      <c r="J33" s="536">
        <v>25.693</v>
      </c>
      <c r="K33" s="537">
        <v>27.447</v>
      </c>
      <c r="L33" s="14" t="s">
        <v>92</v>
      </c>
      <c r="N33" s="95">
        <f t="shared" si="1"/>
        <v>6.8267621531156175</v>
      </c>
    </row>
    <row r="34" spans="1:14" ht="12.75" customHeight="1">
      <c r="A34" s="12"/>
      <c r="B34" s="174" t="s">
        <v>93</v>
      </c>
      <c r="C34" s="532">
        <v>5.7</v>
      </c>
      <c r="D34" s="533">
        <v>9.977</v>
      </c>
      <c r="E34" s="533">
        <v>10.01</v>
      </c>
      <c r="F34" s="533">
        <v>21.297</v>
      </c>
      <c r="G34" s="533">
        <v>19.846</v>
      </c>
      <c r="H34" s="533">
        <v>13.608</v>
      </c>
      <c r="I34" s="533">
        <v>15.365</v>
      </c>
      <c r="J34" s="533">
        <v>14.995</v>
      </c>
      <c r="K34" s="534">
        <v>17.98</v>
      </c>
      <c r="L34" s="174" t="s">
        <v>93</v>
      </c>
      <c r="N34" s="95">
        <f t="shared" si="1"/>
        <v>19.90663554518173</v>
      </c>
    </row>
    <row r="35" spans="1:14" ht="12.75" customHeight="1">
      <c r="A35" s="12"/>
      <c r="B35" s="15" t="s">
        <v>81</v>
      </c>
      <c r="C35" s="538">
        <v>6.292</v>
      </c>
      <c r="D35" s="539">
        <v>48.164</v>
      </c>
      <c r="E35" s="539">
        <v>45.374</v>
      </c>
      <c r="F35" s="539">
        <v>36.271</v>
      </c>
      <c r="G35" s="539">
        <v>36.345</v>
      </c>
      <c r="H35" s="539">
        <v>27.547</v>
      </c>
      <c r="I35" s="539">
        <v>24.745</v>
      </c>
      <c r="J35" s="539">
        <v>23.55</v>
      </c>
      <c r="K35" s="540">
        <v>24.562</v>
      </c>
      <c r="L35" s="15" t="s">
        <v>81</v>
      </c>
      <c r="N35" s="95">
        <f t="shared" si="1"/>
        <v>4.2972399150743135</v>
      </c>
    </row>
    <row r="36" spans="2:14" ht="15" customHeight="1">
      <c r="B36" s="886" t="s">
        <v>195</v>
      </c>
      <c r="C36" s="886"/>
      <c r="D36" s="886"/>
      <c r="E36" s="886"/>
      <c r="F36" s="886"/>
      <c r="G36" s="886"/>
      <c r="H36" s="886"/>
      <c r="I36" s="886"/>
      <c r="J36" s="886"/>
      <c r="K36" s="886"/>
      <c r="L36" s="205"/>
      <c r="M36" s="30"/>
      <c r="N36" s="4"/>
    </row>
    <row r="37" spans="2:14" ht="12.75">
      <c r="B37" s="856" t="s">
        <v>203</v>
      </c>
      <c r="C37" s="856"/>
      <c r="D37" s="856"/>
      <c r="E37" s="856"/>
      <c r="F37" s="856"/>
      <c r="G37" s="856"/>
      <c r="H37" s="856"/>
      <c r="I37" s="78"/>
      <c r="J37" s="78"/>
      <c r="K37" s="78"/>
      <c r="L37" s="78"/>
      <c r="M37" s="30"/>
      <c r="N37" s="4"/>
    </row>
  </sheetData>
  <mergeCells count="4">
    <mergeCell ref="B37:H37"/>
    <mergeCell ref="B2:L2"/>
    <mergeCell ref="B3:L3"/>
    <mergeCell ref="B36:K3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3"/>
  <dimension ref="A1:L4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33" customWidth="1"/>
    <col min="2" max="2" width="4.00390625" style="4" customWidth="1"/>
    <col min="3" max="10" width="8.7109375" style="4" customWidth="1"/>
    <col min="11" max="11" width="4.00390625" style="4" customWidth="1"/>
    <col min="12" max="16384" width="9.140625" style="4" customWidth="1"/>
  </cols>
  <sheetData>
    <row r="1" spans="1:11" ht="14.25" customHeight="1">
      <c r="A1" s="53"/>
      <c r="B1" s="55"/>
      <c r="C1" s="55"/>
      <c r="D1" s="55"/>
      <c r="E1" s="55"/>
      <c r="F1" s="55"/>
      <c r="G1" s="55"/>
      <c r="H1" s="55"/>
      <c r="I1" s="55"/>
      <c r="K1" s="20" t="s">
        <v>108</v>
      </c>
    </row>
    <row r="2" spans="1:11" s="189" customFormat="1" ht="30" customHeight="1">
      <c r="A2" s="451"/>
      <c r="B2" s="882" t="s">
        <v>25</v>
      </c>
      <c r="C2" s="882"/>
      <c r="D2" s="882"/>
      <c r="E2" s="882"/>
      <c r="F2" s="882"/>
      <c r="G2" s="882"/>
      <c r="H2" s="882"/>
      <c r="I2" s="882"/>
      <c r="J2" s="882"/>
      <c r="K2" s="882"/>
    </row>
    <row r="3" spans="1:11" s="18" customFormat="1" ht="15" customHeight="1">
      <c r="A3" s="66"/>
      <c r="B3" s="858" t="s">
        <v>26</v>
      </c>
      <c r="C3" s="858"/>
      <c r="D3" s="858"/>
      <c r="E3" s="858"/>
      <c r="F3" s="858"/>
      <c r="G3" s="858"/>
      <c r="H3" s="858"/>
      <c r="I3" s="858"/>
      <c r="J3" s="858"/>
      <c r="K3" s="858"/>
    </row>
    <row r="4" spans="1:11" s="18" customFormat="1" ht="12.75" customHeight="1">
      <c r="A4" s="66"/>
      <c r="B4" s="859" t="s">
        <v>205</v>
      </c>
      <c r="C4" s="859"/>
      <c r="D4" s="859"/>
      <c r="E4" s="859"/>
      <c r="F4" s="859"/>
      <c r="G4" s="859"/>
      <c r="H4" s="859"/>
      <c r="I4" s="859"/>
      <c r="J4" s="859"/>
      <c r="K4" s="859"/>
    </row>
    <row r="5" spans="3:11" ht="30" customHeight="1">
      <c r="C5" s="861" t="s">
        <v>27</v>
      </c>
      <c r="D5" s="862"/>
      <c r="E5" s="861" t="s">
        <v>28</v>
      </c>
      <c r="F5" s="862"/>
      <c r="G5" s="861" t="s">
        <v>131</v>
      </c>
      <c r="H5" s="862"/>
      <c r="I5" s="861" t="s">
        <v>29</v>
      </c>
      <c r="J5" s="862"/>
      <c r="K5" s="209"/>
    </row>
    <row r="6" spans="1:11" ht="15" customHeight="1">
      <c r="A6" s="4"/>
      <c r="B6" s="5"/>
      <c r="C6" s="211" t="s">
        <v>30</v>
      </c>
      <c r="D6" s="212" t="s">
        <v>31</v>
      </c>
      <c r="E6" s="211" t="s">
        <v>30</v>
      </c>
      <c r="F6" s="212" t="s">
        <v>31</v>
      </c>
      <c r="G6" s="211" t="s">
        <v>30</v>
      </c>
      <c r="H6" s="212" t="s">
        <v>31</v>
      </c>
      <c r="I6" s="211" t="s">
        <v>30</v>
      </c>
      <c r="J6" s="213" t="s">
        <v>31</v>
      </c>
      <c r="K6" s="210"/>
    </row>
    <row r="7" spans="1:12" ht="12.75" customHeight="1">
      <c r="A7" s="4"/>
      <c r="B7" s="172" t="s">
        <v>47</v>
      </c>
      <c r="C7" s="253">
        <f aca="true" t="shared" si="0" ref="C7:H7">SUM(C10:C36)</f>
        <v>10550</v>
      </c>
      <c r="D7" s="173">
        <f t="shared" si="0"/>
        <v>368.486</v>
      </c>
      <c r="E7" s="253">
        <f t="shared" si="0"/>
        <v>3389</v>
      </c>
      <c r="F7" s="251">
        <f t="shared" si="0"/>
        <v>113.294</v>
      </c>
      <c r="G7" s="253">
        <f t="shared" si="0"/>
        <v>7161</v>
      </c>
      <c r="H7" s="173">
        <f t="shared" si="0"/>
        <v>255.19200000000006</v>
      </c>
      <c r="I7" s="281"/>
      <c r="J7" s="251"/>
      <c r="K7" s="172" t="s">
        <v>47</v>
      </c>
      <c r="L7" s="95"/>
    </row>
    <row r="8" spans="1:12" ht="12.75" customHeight="1">
      <c r="A8" s="12"/>
      <c r="B8" s="167" t="s">
        <v>82</v>
      </c>
      <c r="C8" s="253">
        <f aca="true" t="shared" si="1" ref="C8:H8">SUM(C10,C13:C14,C16:C20,C24,C27:C28,C30,C34:C36)</f>
        <v>9761</v>
      </c>
      <c r="D8" s="173">
        <f t="shared" si="1"/>
        <v>355.8499999999999</v>
      </c>
      <c r="E8" s="253">
        <f t="shared" si="1"/>
        <v>3105</v>
      </c>
      <c r="F8" s="173">
        <f t="shared" si="1"/>
        <v>108.72399999999999</v>
      </c>
      <c r="G8" s="253">
        <f t="shared" si="1"/>
        <v>6656</v>
      </c>
      <c r="H8" s="173">
        <f t="shared" si="1"/>
        <v>247.12600000000003</v>
      </c>
      <c r="I8" s="453"/>
      <c r="J8" s="173"/>
      <c r="K8" s="167" t="s">
        <v>82</v>
      </c>
      <c r="L8" s="95"/>
    </row>
    <row r="9" spans="1:12" ht="12.75" customHeight="1">
      <c r="A9" s="12"/>
      <c r="B9" s="176" t="s">
        <v>175</v>
      </c>
      <c r="C9" s="454">
        <f aca="true" t="shared" si="2" ref="C9:H9">SUM(C11,C12,C15,C21,C22,C23,C25,C26,C29,C31,C32,C33)</f>
        <v>789</v>
      </c>
      <c r="D9" s="457">
        <f t="shared" si="2"/>
        <v>12.636000000000001</v>
      </c>
      <c r="E9" s="454">
        <f t="shared" si="2"/>
        <v>284</v>
      </c>
      <c r="F9" s="457">
        <f t="shared" si="2"/>
        <v>4.57</v>
      </c>
      <c r="G9" s="454">
        <f t="shared" si="2"/>
        <v>505</v>
      </c>
      <c r="H9" s="457">
        <f t="shared" si="2"/>
        <v>8.065999999999999</v>
      </c>
      <c r="I9" s="455"/>
      <c r="J9" s="282"/>
      <c r="K9" s="176" t="s">
        <v>175</v>
      </c>
      <c r="L9" s="95"/>
    </row>
    <row r="10" spans="1:11" ht="12.75" customHeight="1">
      <c r="A10" s="12"/>
      <c r="B10" s="68" t="s">
        <v>83</v>
      </c>
      <c r="C10" s="254">
        <f>E10+G10</f>
        <v>169</v>
      </c>
      <c r="D10" s="166">
        <f>F10+H10</f>
        <v>12.014</v>
      </c>
      <c r="E10" s="254">
        <v>52</v>
      </c>
      <c r="F10" s="166">
        <v>6.334</v>
      </c>
      <c r="G10" s="254">
        <v>117</v>
      </c>
      <c r="H10" s="166">
        <v>5.68</v>
      </c>
      <c r="I10" s="262">
        <f aca="true" t="shared" si="3" ref="I10:I42">G10/C10</f>
        <v>0.6923076923076923</v>
      </c>
      <c r="J10" s="263">
        <f aca="true" t="shared" si="4" ref="J10:J42">H10/D10</f>
        <v>0.4727817546196105</v>
      </c>
      <c r="K10" s="68" t="s">
        <v>83</v>
      </c>
    </row>
    <row r="11" spans="1:11" ht="12.75" customHeight="1">
      <c r="A11" s="12"/>
      <c r="B11" s="167" t="s">
        <v>65</v>
      </c>
      <c r="C11" s="255">
        <f aca="true" t="shared" si="5" ref="C11:C42">E11+G11</f>
        <v>107</v>
      </c>
      <c r="D11" s="168">
        <f aca="true" t="shared" si="6" ref="D11:D42">F11+H11</f>
        <v>1.749</v>
      </c>
      <c r="E11" s="255">
        <v>68</v>
      </c>
      <c r="F11" s="168">
        <v>1.211</v>
      </c>
      <c r="G11" s="255">
        <v>39</v>
      </c>
      <c r="H11" s="168">
        <v>0.538</v>
      </c>
      <c r="I11" s="261">
        <f t="shared" si="3"/>
        <v>0.3644859813084112</v>
      </c>
      <c r="J11" s="260">
        <f t="shared" si="4"/>
        <v>0.3076043453401944</v>
      </c>
      <c r="K11" s="167" t="s">
        <v>65</v>
      </c>
    </row>
    <row r="12" spans="1:11" ht="12.75" customHeight="1">
      <c r="A12" s="12"/>
      <c r="B12" s="69" t="s">
        <v>67</v>
      </c>
      <c r="C12" s="256">
        <f t="shared" si="5"/>
        <v>1</v>
      </c>
      <c r="D12" s="140">
        <f t="shared" si="6"/>
        <v>0.004</v>
      </c>
      <c r="E12" s="256"/>
      <c r="F12" s="140"/>
      <c r="G12" s="256">
        <v>1</v>
      </c>
      <c r="H12" s="140">
        <v>0.004</v>
      </c>
      <c r="I12" s="264">
        <f t="shared" si="3"/>
        <v>1</v>
      </c>
      <c r="J12" s="265">
        <f t="shared" si="4"/>
        <v>1</v>
      </c>
      <c r="K12" s="69" t="s">
        <v>67</v>
      </c>
    </row>
    <row r="13" spans="1:11" ht="12.75" customHeight="1">
      <c r="A13" s="12"/>
      <c r="B13" s="167" t="s">
        <v>78</v>
      </c>
      <c r="C13" s="255">
        <f t="shared" si="5"/>
        <v>684</v>
      </c>
      <c r="D13" s="168">
        <f t="shared" si="6"/>
        <v>21.250999999999998</v>
      </c>
      <c r="E13" s="255">
        <v>255</v>
      </c>
      <c r="F13" s="168">
        <v>9.674</v>
      </c>
      <c r="G13" s="255">
        <v>429</v>
      </c>
      <c r="H13" s="168">
        <v>11.577</v>
      </c>
      <c r="I13" s="261">
        <f t="shared" si="3"/>
        <v>0.6271929824561403</v>
      </c>
      <c r="J13" s="260">
        <f t="shared" si="4"/>
        <v>0.5447743635593619</v>
      </c>
      <c r="K13" s="167" t="s">
        <v>78</v>
      </c>
    </row>
    <row r="14" spans="1:11" ht="12.75" customHeight="1">
      <c r="A14" s="12"/>
      <c r="B14" s="69" t="s">
        <v>84</v>
      </c>
      <c r="C14" s="256">
        <f t="shared" si="5"/>
        <v>2942</v>
      </c>
      <c r="D14" s="140">
        <f t="shared" si="6"/>
        <v>85.33</v>
      </c>
      <c r="E14" s="256">
        <v>376</v>
      </c>
      <c r="F14" s="140">
        <v>12.845</v>
      </c>
      <c r="G14" s="256">
        <v>2566</v>
      </c>
      <c r="H14" s="140">
        <v>72.485</v>
      </c>
      <c r="I14" s="264">
        <f t="shared" si="3"/>
        <v>0.8721957851801495</v>
      </c>
      <c r="J14" s="265">
        <f t="shared" si="4"/>
        <v>0.8494667760459393</v>
      </c>
      <c r="K14" s="69" t="s">
        <v>84</v>
      </c>
    </row>
    <row r="15" spans="1:11" ht="12.75" customHeight="1">
      <c r="A15" s="12"/>
      <c r="B15" s="167" t="s">
        <v>68</v>
      </c>
      <c r="C15" s="255">
        <f t="shared" si="5"/>
        <v>93</v>
      </c>
      <c r="D15" s="168">
        <f t="shared" si="6"/>
        <v>0.315</v>
      </c>
      <c r="E15" s="255">
        <v>30</v>
      </c>
      <c r="F15" s="168">
        <v>0.095</v>
      </c>
      <c r="G15" s="255">
        <v>63</v>
      </c>
      <c r="H15" s="168">
        <v>0.22</v>
      </c>
      <c r="I15" s="261">
        <f t="shared" si="3"/>
        <v>0.6774193548387096</v>
      </c>
      <c r="J15" s="260">
        <f t="shared" si="4"/>
        <v>0.6984126984126984</v>
      </c>
      <c r="K15" s="167" t="s">
        <v>68</v>
      </c>
    </row>
    <row r="16" spans="1:11" ht="12.75" customHeight="1">
      <c r="A16" s="12"/>
      <c r="B16" s="69" t="s">
        <v>87</v>
      </c>
      <c r="C16" s="256">
        <f t="shared" si="5"/>
        <v>37</v>
      </c>
      <c r="D16" s="140">
        <f t="shared" si="6"/>
        <v>0.179</v>
      </c>
      <c r="E16" s="256">
        <v>18</v>
      </c>
      <c r="F16" s="140">
        <v>0.108</v>
      </c>
      <c r="G16" s="256">
        <v>19</v>
      </c>
      <c r="H16" s="140">
        <v>0.071</v>
      </c>
      <c r="I16" s="264">
        <f t="shared" si="3"/>
        <v>0.5135135135135135</v>
      </c>
      <c r="J16" s="265">
        <f t="shared" si="4"/>
        <v>0.3966480446927374</v>
      </c>
      <c r="K16" s="69" t="s">
        <v>87</v>
      </c>
    </row>
    <row r="17" spans="1:11" ht="12.75" customHeight="1">
      <c r="A17" s="12"/>
      <c r="B17" s="167" t="s">
        <v>79</v>
      </c>
      <c r="C17" s="255">
        <f t="shared" si="5"/>
        <v>3041</v>
      </c>
      <c r="D17" s="168">
        <f t="shared" si="6"/>
        <v>170.26</v>
      </c>
      <c r="E17" s="255">
        <v>700</v>
      </c>
      <c r="F17" s="168">
        <v>49.172</v>
      </c>
      <c r="G17" s="255">
        <v>2341</v>
      </c>
      <c r="H17" s="168">
        <v>121.088</v>
      </c>
      <c r="I17" s="261">
        <f t="shared" si="3"/>
        <v>0.7698125616573496</v>
      </c>
      <c r="J17" s="260">
        <f t="shared" si="4"/>
        <v>0.7111946434864325</v>
      </c>
      <c r="K17" s="167" t="s">
        <v>79</v>
      </c>
    </row>
    <row r="18" spans="1:11" ht="12.75" customHeight="1">
      <c r="A18" s="12"/>
      <c r="B18" s="69" t="s">
        <v>85</v>
      </c>
      <c r="C18" s="256">
        <f t="shared" si="5"/>
        <v>234</v>
      </c>
      <c r="D18" s="140">
        <f t="shared" si="6"/>
        <v>4.443</v>
      </c>
      <c r="E18" s="256">
        <v>124</v>
      </c>
      <c r="F18" s="140">
        <v>0.859</v>
      </c>
      <c r="G18" s="256">
        <v>110</v>
      </c>
      <c r="H18" s="140">
        <v>3.584</v>
      </c>
      <c r="I18" s="264">
        <f t="shared" si="3"/>
        <v>0.4700854700854701</v>
      </c>
      <c r="J18" s="265">
        <f t="shared" si="4"/>
        <v>0.8066621652036913</v>
      </c>
      <c r="K18" s="69" t="s">
        <v>85</v>
      </c>
    </row>
    <row r="19" spans="1:11" ht="12.75" customHeight="1">
      <c r="A19" s="12"/>
      <c r="B19" s="167" t="s">
        <v>86</v>
      </c>
      <c r="C19" s="255">
        <f t="shared" si="5"/>
        <v>208</v>
      </c>
      <c r="D19" s="168">
        <f t="shared" si="6"/>
        <v>5.724</v>
      </c>
      <c r="E19" s="255">
        <v>97</v>
      </c>
      <c r="F19" s="168">
        <v>2.651</v>
      </c>
      <c r="G19" s="255">
        <v>111</v>
      </c>
      <c r="H19" s="168">
        <v>3.073</v>
      </c>
      <c r="I19" s="261">
        <f t="shared" si="3"/>
        <v>0.5336538461538461</v>
      </c>
      <c r="J19" s="260">
        <f t="shared" si="4"/>
        <v>0.5368623340321453</v>
      </c>
      <c r="K19" s="167" t="s">
        <v>86</v>
      </c>
    </row>
    <row r="20" spans="1:11" ht="12.75" customHeight="1">
      <c r="A20" s="12"/>
      <c r="B20" s="69" t="s">
        <v>88</v>
      </c>
      <c r="C20" s="256">
        <f t="shared" si="5"/>
        <v>677</v>
      </c>
      <c r="D20" s="140">
        <f t="shared" si="6"/>
        <v>15.364</v>
      </c>
      <c r="E20" s="256">
        <v>524</v>
      </c>
      <c r="F20" s="140">
        <v>11.571</v>
      </c>
      <c r="G20" s="256">
        <v>153</v>
      </c>
      <c r="H20" s="140">
        <v>3.793</v>
      </c>
      <c r="I20" s="264">
        <f t="shared" si="3"/>
        <v>0.2259970457902511</v>
      </c>
      <c r="J20" s="265">
        <f t="shared" si="4"/>
        <v>0.24687581359021088</v>
      </c>
      <c r="K20" s="69" t="s">
        <v>88</v>
      </c>
    </row>
    <row r="21" spans="1:11" ht="12.75" customHeight="1">
      <c r="A21" s="12"/>
      <c r="B21" s="167" t="s">
        <v>66</v>
      </c>
      <c r="C21" s="255">
        <f t="shared" si="5"/>
        <v>186</v>
      </c>
      <c r="D21" s="168">
        <f t="shared" si="6"/>
        <v>5.0280000000000005</v>
      </c>
      <c r="E21" s="255">
        <v>91</v>
      </c>
      <c r="F21" s="168">
        <v>2.407</v>
      </c>
      <c r="G21" s="255">
        <v>95</v>
      </c>
      <c r="H21" s="168">
        <v>2.621</v>
      </c>
      <c r="I21" s="261">
        <f t="shared" si="3"/>
        <v>0.510752688172043</v>
      </c>
      <c r="J21" s="260">
        <f t="shared" si="4"/>
        <v>0.5212808273667462</v>
      </c>
      <c r="K21" s="167" t="s">
        <v>66</v>
      </c>
    </row>
    <row r="22" spans="1:11" ht="12.75" customHeight="1">
      <c r="A22" s="12"/>
      <c r="B22" s="69" t="s">
        <v>70</v>
      </c>
      <c r="C22" s="256">
        <f t="shared" si="5"/>
        <v>132</v>
      </c>
      <c r="D22" s="140">
        <f t="shared" si="6"/>
        <v>1.629</v>
      </c>
      <c r="E22" s="256">
        <v>18</v>
      </c>
      <c r="F22" s="140">
        <v>0.319</v>
      </c>
      <c r="G22" s="256">
        <v>114</v>
      </c>
      <c r="H22" s="140">
        <v>1.31</v>
      </c>
      <c r="I22" s="264">
        <f t="shared" si="3"/>
        <v>0.8636363636363636</v>
      </c>
      <c r="J22" s="265">
        <f t="shared" si="4"/>
        <v>0.8041743400859424</v>
      </c>
      <c r="K22" s="69" t="s">
        <v>70</v>
      </c>
    </row>
    <row r="23" spans="1:11" ht="12.75" customHeight="1">
      <c r="A23" s="12"/>
      <c r="B23" s="167" t="s">
        <v>71</v>
      </c>
      <c r="C23" s="255">
        <f t="shared" si="5"/>
        <v>57</v>
      </c>
      <c r="D23" s="168">
        <f t="shared" si="6"/>
        <v>0.39</v>
      </c>
      <c r="E23" s="255">
        <v>41</v>
      </c>
      <c r="F23" s="168">
        <v>0.307</v>
      </c>
      <c r="G23" s="255">
        <v>16</v>
      </c>
      <c r="H23" s="168">
        <v>0.083</v>
      </c>
      <c r="I23" s="261">
        <f t="shared" si="3"/>
        <v>0.2807017543859649</v>
      </c>
      <c r="J23" s="260">
        <f t="shared" si="4"/>
        <v>0.2128205128205128</v>
      </c>
      <c r="K23" s="167" t="s">
        <v>71</v>
      </c>
    </row>
    <row r="24" spans="1:11" ht="12.75" customHeight="1">
      <c r="A24" s="12"/>
      <c r="B24" s="69" t="s">
        <v>89</v>
      </c>
      <c r="C24" s="256"/>
      <c r="D24" s="140"/>
      <c r="E24" s="256"/>
      <c r="F24" s="140"/>
      <c r="G24" s="256"/>
      <c r="H24" s="140"/>
      <c r="I24" s="264"/>
      <c r="J24" s="265"/>
      <c r="K24" s="69" t="s">
        <v>89</v>
      </c>
    </row>
    <row r="25" spans="1:11" ht="12.75" customHeight="1">
      <c r="A25" s="12"/>
      <c r="B25" s="167" t="s">
        <v>69</v>
      </c>
      <c r="C25" s="255"/>
      <c r="D25" s="168"/>
      <c r="E25" s="255"/>
      <c r="F25" s="168"/>
      <c r="G25" s="255"/>
      <c r="H25" s="168"/>
      <c r="I25" s="261"/>
      <c r="J25" s="260"/>
      <c r="K25" s="167" t="s">
        <v>69</v>
      </c>
    </row>
    <row r="26" spans="1:11" ht="12.75" customHeight="1">
      <c r="A26" s="12"/>
      <c r="B26" s="69" t="s">
        <v>72</v>
      </c>
      <c r="C26" s="256">
        <f t="shared" si="5"/>
        <v>17</v>
      </c>
      <c r="D26" s="140">
        <f t="shared" si="6"/>
        <v>0.056999999999999995</v>
      </c>
      <c r="E26" s="256">
        <v>13</v>
      </c>
      <c r="F26" s="140">
        <v>0.037</v>
      </c>
      <c r="G26" s="256">
        <v>4</v>
      </c>
      <c r="H26" s="140">
        <v>0.02</v>
      </c>
      <c r="I26" s="264">
        <f t="shared" si="3"/>
        <v>0.23529411764705882</v>
      </c>
      <c r="J26" s="265">
        <f t="shared" si="4"/>
        <v>0.3508771929824562</v>
      </c>
      <c r="K26" s="69" t="s">
        <v>72</v>
      </c>
    </row>
    <row r="27" spans="1:11" ht="12.75" customHeight="1">
      <c r="A27" s="12"/>
      <c r="B27" s="169" t="s">
        <v>80</v>
      </c>
      <c r="C27" s="255">
        <f t="shared" si="5"/>
        <v>620</v>
      </c>
      <c r="D27" s="168">
        <f t="shared" si="6"/>
        <v>7.631</v>
      </c>
      <c r="E27" s="255">
        <v>429</v>
      </c>
      <c r="F27" s="168">
        <v>3.777</v>
      </c>
      <c r="G27" s="255">
        <v>191</v>
      </c>
      <c r="H27" s="168">
        <v>3.854</v>
      </c>
      <c r="I27" s="261">
        <f t="shared" si="3"/>
        <v>0.30806451612903224</v>
      </c>
      <c r="J27" s="260">
        <f t="shared" si="4"/>
        <v>0.5050452103263006</v>
      </c>
      <c r="K27" s="169" t="s">
        <v>80</v>
      </c>
    </row>
    <row r="28" spans="1:11" ht="12.75" customHeight="1">
      <c r="A28" s="12"/>
      <c r="B28" s="69" t="s">
        <v>90</v>
      </c>
      <c r="C28" s="256">
        <f t="shared" si="5"/>
        <v>8</v>
      </c>
      <c r="D28" s="140">
        <f t="shared" si="6"/>
        <v>0.048</v>
      </c>
      <c r="E28" s="256">
        <v>6</v>
      </c>
      <c r="F28" s="140">
        <v>0.038</v>
      </c>
      <c r="G28" s="256">
        <v>2</v>
      </c>
      <c r="H28" s="140">
        <v>0.01</v>
      </c>
      <c r="I28" s="264">
        <f t="shared" si="3"/>
        <v>0.25</v>
      </c>
      <c r="J28" s="265">
        <f t="shared" si="4"/>
        <v>0.20833333333333334</v>
      </c>
      <c r="K28" s="69" t="s">
        <v>90</v>
      </c>
    </row>
    <row r="29" spans="1:11" ht="12.75" customHeight="1">
      <c r="A29" s="12"/>
      <c r="B29" s="167" t="s">
        <v>73</v>
      </c>
      <c r="C29" s="255">
        <f t="shared" si="5"/>
        <v>108</v>
      </c>
      <c r="D29" s="168">
        <f t="shared" si="6"/>
        <v>1.903</v>
      </c>
      <c r="E29" s="255">
        <v>10</v>
      </c>
      <c r="F29" s="168">
        <v>0.044</v>
      </c>
      <c r="G29" s="255">
        <v>98</v>
      </c>
      <c r="H29" s="168">
        <v>1.859</v>
      </c>
      <c r="I29" s="261">
        <f t="shared" si="3"/>
        <v>0.9074074074074074</v>
      </c>
      <c r="J29" s="260">
        <f t="shared" si="4"/>
        <v>0.976878612716763</v>
      </c>
      <c r="K29" s="167" t="s">
        <v>73</v>
      </c>
    </row>
    <row r="30" spans="1:11" ht="12.75" customHeight="1">
      <c r="A30" s="12"/>
      <c r="B30" s="69" t="s">
        <v>91</v>
      </c>
      <c r="C30" s="256">
        <f t="shared" si="5"/>
        <v>39</v>
      </c>
      <c r="D30" s="140">
        <f t="shared" si="6"/>
        <v>0.734</v>
      </c>
      <c r="E30" s="256">
        <v>24</v>
      </c>
      <c r="F30" s="140">
        <v>0.107</v>
      </c>
      <c r="G30" s="256">
        <v>15</v>
      </c>
      <c r="H30" s="140">
        <v>0.627</v>
      </c>
      <c r="I30" s="264">
        <f t="shared" si="3"/>
        <v>0.38461538461538464</v>
      </c>
      <c r="J30" s="265">
        <f t="shared" si="4"/>
        <v>0.8542234332425068</v>
      </c>
      <c r="K30" s="69" t="s">
        <v>91</v>
      </c>
    </row>
    <row r="31" spans="1:11" ht="12.75" customHeight="1">
      <c r="A31" s="12"/>
      <c r="B31" s="167" t="s">
        <v>74</v>
      </c>
      <c r="C31" s="255">
        <f t="shared" si="5"/>
        <v>60</v>
      </c>
      <c r="D31" s="168">
        <f t="shared" si="6"/>
        <v>0.855</v>
      </c>
      <c r="E31" s="255">
        <v>13</v>
      </c>
      <c r="F31" s="168">
        <v>0.15</v>
      </c>
      <c r="G31" s="255">
        <v>47</v>
      </c>
      <c r="H31" s="168">
        <v>0.705</v>
      </c>
      <c r="I31" s="261">
        <f t="shared" si="3"/>
        <v>0.7833333333333333</v>
      </c>
      <c r="J31" s="260">
        <f t="shared" si="4"/>
        <v>0.8245614035087719</v>
      </c>
      <c r="K31" s="167" t="s">
        <v>74</v>
      </c>
    </row>
    <row r="32" spans="1:11" ht="12.75" customHeight="1">
      <c r="A32" s="12"/>
      <c r="B32" s="69" t="s">
        <v>76</v>
      </c>
      <c r="C32" s="256">
        <f t="shared" si="5"/>
        <v>28</v>
      </c>
      <c r="D32" s="140">
        <f t="shared" si="6"/>
        <v>0.706</v>
      </c>
      <c r="E32" s="259"/>
      <c r="F32" s="252"/>
      <c r="G32" s="256">
        <v>28</v>
      </c>
      <c r="H32" s="140">
        <v>0.706</v>
      </c>
      <c r="I32" s="264">
        <f t="shared" si="3"/>
        <v>1</v>
      </c>
      <c r="J32" s="265">
        <f t="shared" si="4"/>
        <v>1</v>
      </c>
      <c r="K32" s="69" t="s">
        <v>76</v>
      </c>
    </row>
    <row r="33" spans="1:11" ht="12.75" customHeight="1">
      <c r="A33" s="12"/>
      <c r="B33" s="167" t="s">
        <v>75</v>
      </c>
      <c r="C33" s="255"/>
      <c r="D33" s="168"/>
      <c r="E33" s="255"/>
      <c r="F33" s="168"/>
      <c r="G33" s="255"/>
      <c r="H33" s="168"/>
      <c r="I33" s="261"/>
      <c r="J33" s="260"/>
      <c r="K33" s="167" t="s">
        <v>75</v>
      </c>
    </row>
    <row r="34" spans="1:11" ht="12.75" customHeight="1">
      <c r="A34" s="12"/>
      <c r="B34" s="69" t="s">
        <v>92</v>
      </c>
      <c r="C34" s="256">
        <f t="shared" si="5"/>
        <v>123</v>
      </c>
      <c r="D34" s="140">
        <f t="shared" si="6"/>
        <v>1.655</v>
      </c>
      <c r="E34" s="256">
        <v>77</v>
      </c>
      <c r="F34" s="140">
        <v>0.599</v>
      </c>
      <c r="G34" s="256">
        <v>46</v>
      </c>
      <c r="H34" s="140">
        <v>1.056</v>
      </c>
      <c r="I34" s="264">
        <f t="shared" si="3"/>
        <v>0.37398373983739835</v>
      </c>
      <c r="J34" s="265">
        <f t="shared" si="4"/>
        <v>0.6380664652567976</v>
      </c>
      <c r="K34" s="69" t="s">
        <v>92</v>
      </c>
    </row>
    <row r="35" spans="1:11" ht="12.75" customHeight="1">
      <c r="A35" s="12"/>
      <c r="B35" s="167" t="s">
        <v>93</v>
      </c>
      <c r="C35" s="255">
        <f t="shared" si="5"/>
        <v>327</v>
      </c>
      <c r="D35" s="168">
        <f t="shared" si="6"/>
        <v>6.244000000000001</v>
      </c>
      <c r="E35" s="255">
        <v>154</v>
      </c>
      <c r="F35" s="168">
        <v>1.852</v>
      </c>
      <c r="G35" s="255">
        <v>173</v>
      </c>
      <c r="H35" s="168">
        <v>4.392</v>
      </c>
      <c r="I35" s="261">
        <f t="shared" si="3"/>
        <v>0.5290519877675841</v>
      </c>
      <c r="J35" s="260">
        <f t="shared" si="4"/>
        <v>0.7033952594490711</v>
      </c>
      <c r="K35" s="167" t="s">
        <v>93</v>
      </c>
    </row>
    <row r="36" spans="1:11" ht="12.75" customHeight="1">
      <c r="A36" s="12"/>
      <c r="B36" s="70" t="s">
        <v>81</v>
      </c>
      <c r="C36" s="257">
        <f t="shared" si="5"/>
        <v>652</v>
      </c>
      <c r="D36" s="141">
        <f t="shared" si="6"/>
        <v>24.973</v>
      </c>
      <c r="E36" s="257">
        <v>269</v>
      </c>
      <c r="F36" s="141">
        <v>9.137</v>
      </c>
      <c r="G36" s="257">
        <v>383</v>
      </c>
      <c r="H36" s="141">
        <v>15.836</v>
      </c>
      <c r="I36" s="266">
        <f t="shared" si="3"/>
        <v>0.5874233128834356</v>
      </c>
      <c r="J36" s="267">
        <f t="shared" si="4"/>
        <v>0.6341248548432308</v>
      </c>
      <c r="K36" s="70" t="s">
        <v>81</v>
      </c>
    </row>
    <row r="37" spans="1:11" ht="12.75" customHeight="1">
      <c r="A37" s="12"/>
      <c r="B37" s="167" t="s">
        <v>97</v>
      </c>
      <c r="C37" s="255">
        <f t="shared" si="5"/>
        <v>104</v>
      </c>
      <c r="D37" s="168">
        <f t="shared" si="6"/>
        <v>2.5789999999999997</v>
      </c>
      <c r="E37" s="255">
        <v>68</v>
      </c>
      <c r="F37" s="168">
        <v>1.496</v>
      </c>
      <c r="G37" s="255">
        <v>36</v>
      </c>
      <c r="H37" s="168">
        <v>1.083</v>
      </c>
      <c r="I37" s="261">
        <f t="shared" si="3"/>
        <v>0.34615384615384615</v>
      </c>
      <c r="J37" s="260">
        <f t="shared" si="4"/>
        <v>0.4199302055060101</v>
      </c>
      <c r="K37" s="167" t="s">
        <v>97</v>
      </c>
    </row>
    <row r="38" spans="1:11" ht="12.75" customHeight="1">
      <c r="A38" s="12"/>
      <c r="B38" s="69" t="s">
        <v>1</v>
      </c>
      <c r="C38" s="256"/>
      <c r="D38" s="140"/>
      <c r="E38" s="256"/>
      <c r="F38" s="140"/>
      <c r="G38" s="256"/>
      <c r="H38" s="140"/>
      <c r="I38" s="264"/>
      <c r="J38" s="265"/>
      <c r="K38" s="69" t="s">
        <v>1</v>
      </c>
    </row>
    <row r="39" spans="1:11" ht="12.75" customHeight="1">
      <c r="A39" s="12"/>
      <c r="B39" s="170" t="s">
        <v>77</v>
      </c>
      <c r="C39" s="258">
        <f t="shared" si="5"/>
        <v>870</v>
      </c>
      <c r="D39" s="171">
        <f t="shared" si="6"/>
        <v>11.114</v>
      </c>
      <c r="E39" s="258">
        <v>446</v>
      </c>
      <c r="F39" s="171">
        <v>6.464</v>
      </c>
      <c r="G39" s="258">
        <v>424</v>
      </c>
      <c r="H39" s="171">
        <v>4.65</v>
      </c>
      <c r="I39" s="268">
        <f t="shared" si="3"/>
        <v>0.48735632183908045</v>
      </c>
      <c r="J39" s="269">
        <f t="shared" si="4"/>
        <v>0.4183912182832464</v>
      </c>
      <c r="K39" s="170" t="s">
        <v>77</v>
      </c>
    </row>
    <row r="40" spans="1:11" ht="12.75" customHeight="1">
      <c r="A40" s="12"/>
      <c r="B40" s="69" t="s">
        <v>63</v>
      </c>
      <c r="C40" s="256">
        <f t="shared" si="5"/>
        <v>44</v>
      </c>
      <c r="D40" s="140">
        <f t="shared" si="6"/>
        <v>0.354</v>
      </c>
      <c r="E40" s="256">
        <v>1</v>
      </c>
      <c r="F40" s="140">
        <v>0</v>
      </c>
      <c r="G40" s="256">
        <v>43</v>
      </c>
      <c r="H40" s="140">
        <v>0.354</v>
      </c>
      <c r="I40" s="264">
        <f t="shared" si="3"/>
        <v>0.9772727272727273</v>
      </c>
      <c r="J40" s="265">
        <f t="shared" si="4"/>
        <v>1</v>
      </c>
      <c r="K40" s="69" t="s">
        <v>63</v>
      </c>
    </row>
    <row r="41" spans="1:11" ht="12.75" customHeight="1">
      <c r="A41" s="12"/>
      <c r="B41" s="167" t="s">
        <v>94</v>
      </c>
      <c r="C41" s="255">
        <f t="shared" si="5"/>
        <v>1424</v>
      </c>
      <c r="D41" s="168">
        <f t="shared" si="6"/>
        <v>47.97</v>
      </c>
      <c r="E41" s="255">
        <v>502</v>
      </c>
      <c r="F41" s="168">
        <v>13.943</v>
      </c>
      <c r="G41" s="255">
        <v>922</v>
      </c>
      <c r="H41" s="168">
        <v>34.027</v>
      </c>
      <c r="I41" s="261">
        <f t="shared" si="3"/>
        <v>0.6474719101123596</v>
      </c>
      <c r="J41" s="260">
        <f t="shared" si="4"/>
        <v>0.7093391703147801</v>
      </c>
      <c r="K41" s="167" t="s">
        <v>94</v>
      </c>
    </row>
    <row r="42" spans="1:11" ht="12.75" customHeight="1">
      <c r="A42" s="12"/>
      <c r="B42" s="70" t="s">
        <v>64</v>
      </c>
      <c r="C42" s="257">
        <f t="shared" si="5"/>
        <v>362</v>
      </c>
      <c r="D42" s="141">
        <f t="shared" si="6"/>
        <v>12.333</v>
      </c>
      <c r="E42" s="257">
        <v>29</v>
      </c>
      <c r="F42" s="141">
        <v>0.81</v>
      </c>
      <c r="G42" s="257">
        <v>333</v>
      </c>
      <c r="H42" s="141">
        <v>11.523</v>
      </c>
      <c r="I42" s="266">
        <f t="shared" si="3"/>
        <v>0.919889502762431</v>
      </c>
      <c r="J42" s="267">
        <f t="shared" si="4"/>
        <v>0.934322549258088</v>
      </c>
      <c r="K42" s="70" t="s">
        <v>64</v>
      </c>
    </row>
    <row r="43" spans="2:11" ht="26.25" customHeight="1">
      <c r="B43" s="860" t="s">
        <v>196</v>
      </c>
      <c r="C43" s="860"/>
      <c r="D43" s="860"/>
      <c r="E43" s="860"/>
      <c r="F43" s="860"/>
      <c r="G43" s="860"/>
      <c r="H43" s="860"/>
      <c r="I43" s="860"/>
      <c r="J43" s="860"/>
      <c r="K43" s="155"/>
    </row>
    <row r="44" spans="2:11" ht="11.25" customHeight="1">
      <c r="B44" s="900" t="s">
        <v>0</v>
      </c>
      <c r="C44" s="900"/>
      <c r="D44" s="21"/>
      <c r="E44" s="21"/>
      <c r="F44" s="21"/>
      <c r="G44" s="21"/>
      <c r="H44" s="21"/>
      <c r="I44" s="21"/>
      <c r="J44" s="21"/>
      <c r="K44" s="21"/>
    </row>
    <row r="45" spans="2:11" ht="22.5" customHeight="1">
      <c r="B45" s="900" t="s">
        <v>204</v>
      </c>
      <c r="C45" s="900"/>
      <c r="D45" s="900"/>
      <c r="E45" s="900"/>
      <c r="F45" s="900"/>
      <c r="G45" s="900"/>
      <c r="H45" s="900"/>
      <c r="I45" s="900"/>
      <c r="J45" s="900"/>
      <c r="K45" s="900"/>
    </row>
    <row r="46" spans="2:11" ht="24.75" customHeight="1">
      <c r="B46" s="900" t="s">
        <v>206</v>
      </c>
      <c r="C46" s="901"/>
      <c r="D46" s="901"/>
      <c r="E46" s="901"/>
      <c r="F46" s="901"/>
      <c r="G46" s="901"/>
      <c r="H46" s="901"/>
      <c r="I46" s="901"/>
      <c r="J46" s="901"/>
      <c r="K46" s="901"/>
    </row>
  </sheetData>
  <mergeCells count="11">
    <mergeCell ref="B44:C44"/>
    <mergeCell ref="B46:K46"/>
    <mergeCell ref="B2:K2"/>
    <mergeCell ref="B3:K3"/>
    <mergeCell ref="B4:K4"/>
    <mergeCell ref="B45:K45"/>
    <mergeCell ref="B43:J43"/>
    <mergeCell ref="C5:D5"/>
    <mergeCell ref="E5:F5"/>
    <mergeCell ref="G5:H5"/>
    <mergeCell ref="I5:J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4"/>
  <dimension ref="A1:L25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7.140625" style="0" customWidth="1"/>
    <col min="3" max="4" width="9.7109375" style="0" customWidth="1"/>
    <col min="5" max="6" width="9.7109375" style="0" hidden="1" customWidth="1"/>
    <col min="7" max="11" width="9.7109375" style="0" customWidth="1"/>
  </cols>
  <sheetData>
    <row r="1" spans="2:11" ht="14.25" customHeight="1">
      <c r="B1" s="841"/>
      <c r="C1" s="841"/>
      <c r="K1" s="20" t="s">
        <v>138</v>
      </c>
    </row>
    <row r="2" spans="2:11" s="121" customFormat="1" ht="30" customHeight="1">
      <c r="B2" s="845" t="s">
        <v>32</v>
      </c>
      <c r="C2" s="845"/>
      <c r="D2" s="845"/>
      <c r="E2" s="845"/>
      <c r="F2" s="845"/>
      <c r="G2" s="845"/>
      <c r="H2" s="845"/>
      <c r="I2" s="845"/>
      <c r="J2" s="845"/>
      <c r="K2" s="845"/>
    </row>
    <row r="3" spans="2:11" ht="19.5" customHeight="1">
      <c r="B3" s="846" t="s">
        <v>166</v>
      </c>
      <c r="C3" s="847"/>
      <c r="D3" s="847"/>
      <c r="E3" s="847"/>
      <c r="F3" s="847"/>
      <c r="G3" s="847"/>
      <c r="H3" s="847"/>
      <c r="I3" s="847"/>
      <c r="J3" s="847"/>
      <c r="K3" s="848"/>
    </row>
    <row r="4" spans="2:11" ht="9.75" customHeight="1">
      <c r="B4" s="843" t="s">
        <v>167</v>
      </c>
      <c r="C4" s="406" t="s">
        <v>165</v>
      </c>
      <c r="D4" s="392"/>
      <c r="E4" s="392"/>
      <c r="F4" s="392"/>
      <c r="G4" s="392"/>
      <c r="H4" s="392"/>
      <c r="I4" s="392"/>
      <c r="J4" s="392"/>
      <c r="K4" s="393"/>
    </row>
    <row r="5" spans="2:11" ht="15" customHeight="1">
      <c r="B5" s="843"/>
      <c r="C5" s="407">
        <v>1995</v>
      </c>
      <c r="D5" s="408">
        <v>2000</v>
      </c>
      <c r="E5" s="408">
        <v>2001</v>
      </c>
      <c r="F5" s="408">
        <v>2002</v>
      </c>
      <c r="G5" s="408">
        <v>2003</v>
      </c>
      <c r="H5" s="408">
        <v>2004</v>
      </c>
      <c r="I5" s="408">
        <v>2005</v>
      </c>
      <c r="J5" s="408">
        <v>2006</v>
      </c>
      <c r="K5" s="409">
        <v>2007</v>
      </c>
    </row>
    <row r="6" spans="2:11" ht="15" customHeight="1">
      <c r="B6" s="844"/>
      <c r="C6" s="849" t="s">
        <v>60</v>
      </c>
      <c r="D6" s="850"/>
      <c r="E6" s="850"/>
      <c r="F6" s="850"/>
      <c r="G6" s="850"/>
      <c r="H6" s="850"/>
      <c r="I6" s="850"/>
      <c r="J6" s="850"/>
      <c r="K6" s="851"/>
    </row>
    <row r="7" spans="2:11" ht="19.5" customHeight="1">
      <c r="B7" s="156" t="s">
        <v>33</v>
      </c>
      <c r="C7" s="545">
        <v>311.246</v>
      </c>
      <c r="D7" s="546">
        <v>350.136</v>
      </c>
      <c r="E7" s="546"/>
      <c r="F7" s="546">
        <v>372.28</v>
      </c>
      <c r="G7" s="546">
        <v>371.672</v>
      </c>
      <c r="H7" s="546">
        <v>383.181</v>
      </c>
      <c r="I7" s="546">
        <v>400.947</v>
      </c>
      <c r="J7" s="546">
        <v>420.624</v>
      </c>
      <c r="K7" s="547">
        <v>465.147</v>
      </c>
    </row>
    <row r="8" spans="2:11" ht="19.5" customHeight="1">
      <c r="B8" s="71" t="s">
        <v>153</v>
      </c>
      <c r="C8" s="548">
        <v>223.56400000000002</v>
      </c>
      <c r="D8" s="549">
        <v>257.975</v>
      </c>
      <c r="E8" s="549"/>
      <c r="F8" s="558">
        <v>275</v>
      </c>
      <c r="G8" s="549">
        <v>277.386</v>
      </c>
      <c r="H8" s="549">
        <v>292.79100000000005</v>
      </c>
      <c r="I8" s="549">
        <v>316.85</v>
      </c>
      <c r="J8" s="549">
        <v>332.11</v>
      </c>
      <c r="K8" s="550">
        <v>368.486</v>
      </c>
    </row>
    <row r="9" spans="2:11" ht="19.5" customHeight="1">
      <c r="B9" s="71" t="s">
        <v>149</v>
      </c>
      <c r="C9" s="548">
        <v>207.543</v>
      </c>
      <c r="D9" s="549">
        <v>247.549</v>
      </c>
      <c r="E9" s="549"/>
      <c r="F9" s="549">
        <v>264.523</v>
      </c>
      <c r="G9" s="549">
        <v>267.194</v>
      </c>
      <c r="H9" s="549">
        <v>282.171</v>
      </c>
      <c r="I9" s="549">
        <v>305.03</v>
      </c>
      <c r="J9" s="549">
        <v>321.244</v>
      </c>
      <c r="K9" s="550">
        <v>355.85</v>
      </c>
    </row>
    <row r="10" spans="2:11" ht="19.5" customHeight="1">
      <c r="B10" s="157" t="s">
        <v>34</v>
      </c>
      <c r="C10" s="551">
        <v>51.024</v>
      </c>
      <c r="D10" s="552">
        <v>49.413</v>
      </c>
      <c r="E10" s="552"/>
      <c r="F10" s="552">
        <v>42.62</v>
      </c>
      <c r="G10" s="552">
        <v>45.818</v>
      </c>
      <c r="H10" s="552">
        <v>49.67</v>
      </c>
      <c r="I10" s="552">
        <v>45.414</v>
      </c>
      <c r="J10" s="552">
        <v>51.569</v>
      </c>
      <c r="K10" s="553">
        <v>49.342</v>
      </c>
    </row>
    <row r="11" spans="2:11" ht="19.5" customHeight="1">
      <c r="B11" s="157" t="s">
        <v>35</v>
      </c>
      <c r="C11" s="551">
        <v>18.691</v>
      </c>
      <c r="D11" s="552">
        <v>15.679</v>
      </c>
      <c r="E11" s="552"/>
      <c r="F11" s="552">
        <v>15.473</v>
      </c>
      <c r="G11" s="552">
        <v>14.599</v>
      </c>
      <c r="H11" s="552">
        <v>12.605</v>
      </c>
      <c r="I11" s="552">
        <v>14.422</v>
      </c>
      <c r="J11" s="552">
        <v>12.314</v>
      </c>
      <c r="K11" s="553">
        <v>12.398</v>
      </c>
    </row>
    <row r="12" spans="2:12" ht="19.5" customHeight="1">
      <c r="B12" s="157" t="s">
        <v>36</v>
      </c>
      <c r="C12" s="551">
        <v>246.722</v>
      </c>
      <c r="D12" s="552">
        <v>292.722</v>
      </c>
      <c r="E12" s="552"/>
      <c r="F12" s="552">
        <v>304.7</v>
      </c>
      <c r="G12" s="552">
        <v>313.808</v>
      </c>
      <c r="H12" s="552">
        <v>329.485</v>
      </c>
      <c r="I12" s="552">
        <v>361.311</v>
      </c>
      <c r="J12" s="552">
        <v>399.419</v>
      </c>
      <c r="K12" s="553">
        <v>423.425</v>
      </c>
      <c r="L12" s="559"/>
    </row>
    <row r="13" spans="2:11" ht="19.5" customHeight="1">
      <c r="B13" s="157" t="s">
        <v>37</v>
      </c>
      <c r="C13" s="551">
        <v>6.742</v>
      </c>
      <c r="D13" s="552">
        <v>7.121</v>
      </c>
      <c r="E13" s="552"/>
      <c r="F13" s="552">
        <v>5.123</v>
      </c>
      <c r="G13" s="552">
        <v>4.831</v>
      </c>
      <c r="H13" s="552">
        <v>4.727</v>
      </c>
      <c r="I13" s="552">
        <v>5.142</v>
      </c>
      <c r="J13" s="552">
        <v>5.039</v>
      </c>
      <c r="K13" s="553">
        <v>5.016</v>
      </c>
    </row>
    <row r="14" spans="2:11" ht="19.5" customHeight="1">
      <c r="B14" s="157" t="s">
        <v>38</v>
      </c>
      <c r="C14" s="554">
        <v>37.956</v>
      </c>
      <c r="D14" s="552">
        <v>38.115</v>
      </c>
      <c r="E14" s="552"/>
      <c r="F14" s="552">
        <v>51.14900000000005</v>
      </c>
      <c r="G14" s="552">
        <v>57.487</v>
      </c>
      <c r="H14" s="552">
        <v>52.56</v>
      </c>
      <c r="I14" s="552">
        <v>52.687</v>
      </c>
      <c r="J14" s="552">
        <v>47.4</v>
      </c>
      <c r="K14" s="553">
        <v>45.79</v>
      </c>
    </row>
    <row r="15" spans="2:11" ht="19.5" customHeight="1">
      <c r="B15" s="158" t="s">
        <v>116</v>
      </c>
      <c r="C15" s="555">
        <v>672.381</v>
      </c>
      <c r="D15" s="556">
        <v>753.226</v>
      </c>
      <c r="E15" s="556"/>
      <c r="F15" s="556">
        <v>791.345</v>
      </c>
      <c r="G15" s="556">
        <v>808.215</v>
      </c>
      <c r="H15" s="556">
        <v>832.228</v>
      </c>
      <c r="I15" s="556">
        <f>827.237+52.686</f>
        <v>879.923</v>
      </c>
      <c r="J15" s="556">
        <v>936.363</v>
      </c>
      <c r="K15" s="557">
        <v>1001.118</v>
      </c>
    </row>
    <row r="16" spans="2:11" ht="19.5" customHeight="1">
      <c r="B16" s="397"/>
      <c r="C16" s="852" t="s">
        <v>168</v>
      </c>
      <c r="D16" s="902"/>
      <c r="E16" s="902"/>
      <c r="F16" s="902"/>
      <c r="G16" s="902"/>
      <c r="H16" s="902"/>
      <c r="I16" s="902"/>
      <c r="J16" s="902"/>
      <c r="K16" s="903"/>
    </row>
    <row r="17" spans="2:11" ht="19.5" customHeight="1">
      <c r="B17" s="159" t="s">
        <v>154</v>
      </c>
      <c r="C17" s="143">
        <f aca="true" t="shared" si="0" ref="C17:J17">C8/C15</f>
        <v>0.3324960104464582</v>
      </c>
      <c r="D17" s="144">
        <f t="shared" si="0"/>
        <v>0.34249348801023866</v>
      </c>
      <c r="E17" s="144"/>
      <c r="F17" s="144"/>
      <c r="G17" s="144">
        <f t="shared" si="0"/>
        <v>0.3432081809914441</v>
      </c>
      <c r="H17" s="144">
        <f t="shared" si="0"/>
        <v>0.35181584854150555</v>
      </c>
      <c r="I17" s="144">
        <f t="shared" si="0"/>
        <v>0.36008832591033535</v>
      </c>
      <c r="J17" s="144">
        <f t="shared" si="0"/>
        <v>0.35468082356949177</v>
      </c>
      <c r="K17" s="145">
        <f>K8/K15</f>
        <v>0.3680744927171422</v>
      </c>
    </row>
    <row r="18" spans="2:11" ht="19.5" customHeight="1">
      <c r="B18" s="160" t="s">
        <v>150</v>
      </c>
      <c r="C18" s="146">
        <f aca="true" t="shared" si="1" ref="C18:J18">C9/C15</f>
        <v>0.3086687458449897</v>
      </c>
      <c r="D18" s="147">
        <f t="shared" si="1"/>
        <v>0.3286516928518134</v>
      </c>
      <c r="E18" s="147"/>
      <c r="F18" s="147"/>
      <c r="G18" s="147">
        <f t="shared" si="1"/>
        <v>0.3305976751235748</v>
      </c>
      <c r="H18" s="147">
        <f t="shared" si="1"/>
        <v>0.33905492244913654</v>
      </c>
      <c r="I18" s="147">
        <f t="shared" si="1"/>
        <v>0.34665533234157986</v>
      </c>
      <c r="J18" s="147">
        <f t="shared" si="1"/>
        <v>0.3430763496635386</v>
      </c>
      <c r="K18" s="148">
        <f>K9/K15</f>
        <v>0.35545260398874057</v>
      </c>
    </row>
    <row r="19" spans="2:11" ht="19.5" customHeight="1">
      <c r="B19" s="161" t="s">
        <v>155</v>
      </c>
      <c r="C19" s="149">
        <v>0.565</v>
      </c>
      <c r="D19" s="150">
        <v>0.681</v>
      </c>
      <c r="E19" s="150"/>
      <c r="F19" s="150"/>
      <c r="G19" s="150">
        <v>0.678</v>
      </c>
      <c r="H19" s="150">
        <v>0.678</v>
      </c>
      <c r="I19" s="151">
        <v>0.678</v>
      </c>
      <c r="J19" s="151">
        <v>0.677</v>
      </c>
      <c r="K19" s="152">
        <v>0.693</v>
      </c>
    </row>
    <row r="20" spans="2:11" ht="19.5" customHeight="1">
      <c r="B20" s="162" t="s">
        <v>151</v>
      </c>
      <c r="C20" s="511">
        <v>0.577</v>
      </c>
      <c r="D20" s="153">
        <v>0.677</v>
      </c>
      <c r="E20" s="153"/>
      <c r="F20" s="153"/>
      <c r="G20" s="153">
        <v>0.677</v>
      </c>
      <c r="H20" s="153">
        <v>0.677</v>
      </c>
      <c r="I20" s="153">
        <v>0.67038</v>
      </c>
      <c r="J20" s="153">
        <v>0.676</v>
      </c>
      <c r="K20" s="154">
        <v>0.694</v>
      </c>
    </row>
    <row r="21" spans="2:11" ht="26.25" customHeight="1">
      <c r="B21" s="904" t="s">
        <v>196</v>
      </c>
      <c r="C21" s="904"/>
      <c r="D21" s="904"/>
      <c r="E21" s="904"/>
      <c r="F21" s="904"/>
      <c r="G21" s="904"/>
      <c r="H21" s="904"/>
      <c r="I21" s="904"/>
      <c r="J21" s="904"/>
      <c r="K21" s="904"/>
    </row>
    <row r="22" spans="1:10" ht="15" customHeight="1">
      <c r="A22" s="1"/>
      <c r="B22" s="842" t="s">
        <v>61</v>
      </c>
      <c r="C22" s="842"/>
      <c r="D22" s="842"/>
      <c r="E22" s="842"/>
      <c r="F22" s="842"/>
      <c r="G22" s="842"/>
      <c r="H22" s="842"/>
      <c r="I22" s="842"/>
      <c r="J22" s="842"/>
    </row>
    <row r="23" spans="1:11" ht="26.25" customHeight="1">
      <c r="A23" s="1"/>
      <c r="B23" s="840" t="s">
        <v>152</v>
      </c>
      <c r="C23" s="840"/>
      <c r="D23" s="840"/>
      <c r="E23" s="840"/>
      <c r="F23" s="840"/>
      <c r="G23" s="840"/>
      <c r="H23" s="840"/>
      <c r="I23" s="840"/>
      <c r="J23" s="840"/>
      <c r="K23" s="840"/>
    </row>
    <row r="24" spans="1:10" ht="12.75" customHeight="1">
      <c r="A24" s="1"/>
      <c r="B24" s="840" t="s">
        <v>13</v>
      </c>
      <c r="C24" s="840"/>
      <c r="D24" s="840"/>
      <c r="E24" s="840"/>
      <c r="F24" s="840"/>
      <c r="G24" s="840"/>
      <c r="H24" s="840"/>
      <c r="I24" s="840"/>
      <c r="J24" s="840"/>
    </row>
    <row r="25" ht="12.75">
      <c r="B25" s="4"/>
    </row>
  </sheetData>
  <mergeCells count="10">
    <mergeCell ref="B24:J24"/>
    <mergeCell ref="B1:C1"/>
    <mergeCell ref="B22:J22"/>
    <mergeCell ref="B4:B6"/>
    <mergeCell ref="B23:K23"/>
    <mergeCell ref="B2:K2"/>
    <mergeCell ref="B3:K3"/>
    <mergeCell ref="C6:K6"/>
    <mergeCell ref="C16:K16"/>
    <mergeCell ref="B21:K21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5"/>
  <dimension ref="B1:L34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9.7109375" style="0" customWidth="1"/>
    <col min="3" max="3" width="9.7109375" style="0" customWidth="1"/>
    <col min="4" max="4" width="5.7109375" style="0" customWidth="1"/>
    <col min="5" max="5" width="9.7109375" style="0" customWidth="1"/>
    <col min="6" max="6" width="5.7109375" style="0" customWidth="1"/>
    <col min="7" max="7" width="9.7109375" style="0" customWidth="1"/>
    <col min="8" max="8" width="5.7109375" style="0" customWidth="1"/>
    <col min="9" max="9" width="9.7109375" style="0" customWidth="1"/>
    <col min="10" max="10" width="5.7109375" style="0" customWidth="1"/>
    <col min="11" max="11" width="10.140625" style="0" bestFit="1" customWidth="1"/>
  </cols>
  <sheetData>
    <row r="1" spans="2:11" ht="14.25" customHeight="1">
      <c r="B1" s="841"/>
      <c r="C1" s="841"/>
      <c r="D1" s="544"/>
      <c r="J1" s="20" t="s">
        <v>139</v>
      </c>
      <c r="K1" s="280"/>
    </row>
    <row r="2" spans="2:10" s="121" customFormat="1" ht="30" customHeight="1">
      <c r="B2" s="898" t="s">
        <v>32</v>
      </c>
      <c r="C2" s="898"/>
      <c r="D2" s="898"/>
      <c r="E2" s="898"/>
      <c r="F2" s="898"/>
      <c r="G2" s="898"/>
      <c r="H2" s="898"/>
      <c r="I2" s="898"/>
      <c r="J2" s="898"/>
    </row>
    <row r="3" spans="2:10" s="401" customFormat="1" ht="18" customHeight="1">
      <c r="B3" s="906" t="s">
        <v>39</v>
      </c>
      <c r="C3" s="906"/>
      <c r="D3" s="906"/>
      <c r="E3" s="906"/>
      <c r="F3" s="906"/>
      <c r="G3" s="906"/>
      <c r="H3" s="906"/>
      <c r="I3" s="906"/>
      <c r="J3" s="906"/>
    </row>
    <row r="4" spans="2:10" ht="19.5" customHeight="1">
      <c r="B4" s="846" t="s">
        <v>40</v>
      </c>
      <c r="C4" s="847"/>
      <c r="D4" s="847"/>
      <c r="E4" s="847"/>
      <c r="F4" s="847"/>
      <c r="G4" s="847"/>
      <c r="H4" s="847"/>
      <c r="I4" s="847"/>
      <c r="J4" s="848"/>
    </row>
    <row r="5" spans="2:10" ht="19.5" customHeight="1">
      <c r="B5" s="599" t="s">
        <v>213</v>
      </c>
      <c r="C5" s="870" t="s">
        <v>30</v>
      </c>
      <c r="D5" s="871"/>
      <c r="E5" s="871"/>
      <c r="F5" s="853"/>
      <c r="G5" s="870" t="s">
        <v>177</v>
      </c>
      <c r="H5" s="871"/>
      <c r="I5" s="871"/>
      <c r="J5" s="853"/>
    </row>
    <row r="6" spans="2:10" ht="19.5" customHeight="1">
      <c r="B6" s="560" t="s">
        <v>41</v>
      </c>
      <c r="C6" s="911" t="s">
        <v>98</v>
      </c>
      <c r="D6" s="912"/>
      <c r="E6" s="913" t="s">
        <v>148</v>
      </c>
      <c r="F6" s="914"/>
      <c r="G6" s="911" t="s">
        <v>98</v>
      </c>
      <c r="H6" s="912"/>
      <c r="I6" s="913" t="s">
        <v>148</v>
      </c>
      <c r="J6" s="914"/>
    </row>
    <row r="7" spans="2:10" ht="19.5" customHeight="1">
      <c r="B7" s="273" t="s">
        <v>208</v>
      </c>
      <c r="C7" s="202">
        <v>42872</v>
      </c>
      <c r="D7" s="615"/>
      <c r="E7" s="181">
        <v>7840</v>
      </c>
      <c r="F7" s="561"/>
      <c r="G7" s="541">
        <v>1009.524</v>
      </c>
      <c r="H7" s="616"/>
      <c r="I7" s="542">
        <v>219.436</v>
      </c>
      <c r="J7" s="561"/>
    </row>
    <row r="8" spans="2:10" ht="15" customHeight="1">
      <c r="B8" s="84" t="s">
        <v>42</v>
      </c>
      <c r="C8" s="389">
        <v>8194</v>
      </c>
      <c r="D8" s="566"/>
      <c r="E8" s="570">
        <v>1507</v>
      </c>
      <c r="F8" s="142"/>
      <c r="G8" s="529">
        <v>374.454</v>
      </c>
      <c r="H8" s="576"/>
      <c r="I8" s="562">
        <v>83.339</v>
      </c>
      <c r="J8" s="63"/>
    </row>
    <row r="9" spans="2:12" ht="15" customHeight="1">
      <c r="B9" s="163" t="s">
        <v>143</v>
      </c>
      <c r="C9" s="190">
        <v>1385</v>
      </c>
      <c r="D9" s="567"/>
      <c r="E9" s="571">
        <v>189</v>
      </c>
      <c r="F9" s="164"/>
      <c r="G9" s="532">
        <v>10.008</v>
      </c>
      <c r="H9" s="577"/>
      <c r="I9" s="612">
        <v>1.275</v>
      </c>
      <c r="J9" s="165"/>
      <c r="L9" s="614"/>
    </row>
    <row r="10" spans="2:10" ht="15" customHeight="1">
      <c r="B10" s="85" t="s">
        <v>144</v>
      </c>
      <c r="C10" s="90">
        <v>1245</v>
      </c>
      <c r="D10" s="568"/>
      <c r="E10" s="572">
        <v>189</v>
      </c>
      <c r="F10" s="98"/>
      <c r="G10" s="535">
        <v>26.857</v>
      </c>
      <c r="H10" s="578"/>
      <c r="I10" s="613">
        <v>4.507</v>
      </c>
      <c r="J10" s="43"/>
    </row>
    <row r="11" spans="2:10" ht="15" customHeight="1">
      <c r="B11" s="163" t="s">
        <v>43</v>
      </c>
      <c r="C11" s="190">
        <v>6781</v>
      </c>
      <c r="D11" s="567"/>
      <c r="E11" s="571">
        <v>1259</v>
      </c>
      <c r="F11" s="164"/>
      <c r="G11" s="532">
        <v>357.568</v>
      </c>
      <c r="H11" s="577"/>
      <c r="I11" s="563">
        <v>72.865</v>
      </c>
      <c r="J11" s="165"/>
    </row>
    <row r="12" spans="2:10" ht="15" customHeight="1">
      <c r="B12" s="85" t="s">
        <v>145</v>
      </c>
      <c r="C12" s="90">
        <v>106</v>
      </c>
      <c r="D12" s="568"/>
      <c r="E12" s="572">
        <v>5</v>
      </c>
      <c r="F12" s="98"/>
      <c r="G12" s="535">
        <v>6.078</v>
      </c>
      <c r="H12" s="578"/>
      <c r="I12" s="27">
        <v>0.021</v>
      </c>
      <c r="J12" s="43"/>
    </row>
    <row r="13" spans="2:10" ht="15" customHeight="1">
      <c r="B13" s="163" t="s">
        <v>146</v>
      </c>
      <c r="C13" s="190">
        <v>3881</v>
      </c>
      <c r="D13" s="567"/>
      <c r="E13" s="571">
        <v>965</v>
      </c>
      <c r="F13" s="164"/>
      <c r="G13" s="532">
        <v>128.174</v>
      </c>
      <c r="H13" s="577"/>
      <c r="I13" s="563">
        <v>37.572</v>
      </c>
      <c r="J13" s="165"/>
    </row>
    <row r="14" spans="2:10" ht="15" customHeight="1">
      <c r="B14" s="85" t="s">
        <v>44</v>
      </c>
      <c r="C14" s="90">
        <v>17185</v>
      </c>
      <c r="D14" s="568"/>
      <c r="E14" s="572">
        <v>2448</v>
      </c>
      <c r="F14" s="98"/>
      <c r="G14" s="535">
        <v>100.322</v>
      </c>
      <c r="H14" s="578"/>
      <c r="I14" s="27">
        <v>17.229</v>
      </c>
      <c r="J14" s="43"/>
    </row>
    <row r="15" spans="2:10" ht="9.75" customHeight="1">
      <c r="B15" s="271" t="s">
        <v>132</v>
      </c>
      <c r="C15" s="90"/>
      <c r="D15" s="568"/>
      <c r="E15" s="572"/>
      <c r="F15" s="98"/>
      <c r="G15" s="535"/>
      <c r="H15" s="578"/>
      <c r="I15" s="27"/>
      <c r="J15" s="43"/>
    </row>
    <row r="16" spans="2:12" ht="15" customHeight="1">
      <c r="B16" s="272" t="s">
        <v>134</v>
      </c>
      <c r="C16" s="90"/>
      <c r="D16" s="568">
        <v>9478</v>
      </c>
      <c r="E16" s="572"/>
      <c r="F16" s="98">
        <v>1254</v>
      </c>
      <c r="G16" s="535"/>
      <c r="H16" s="580">
        <v>48.66</v>
      </c>
      <c r="I16" s="27"/>
      <c r="J16" s="43"/>
      <c r="K16" s="270"/>
      <c r="L16" s="270"/>
    </row>
    <row r="17" spans="2:10" ht="15" customHeight="1">
      <c r="B17" s="272" t="s">
        <v>135</v>
      </c>
      <c r="C17" s="90"/>
      <c r="D17" s="568">
        <v>3977</v>
      </c>
      <c r="E17" s="572"/>
      <c r="F17" s="98">
        <v>549</v>
      </c>
      <c r="G17" s="535"/>
      <c r="H17" s="580">
        <v>25.473</v>
      </c>
      <c r="I17" s="27"/>
      <c r="J17" s="43"/>
    </row>
    <row r="18" spans="2:11" ht="15" customHeight="1">
      <c r="B18" s="272" t="s">
        <v>45</v>
      </c>
      <c r="C18" s="90"/>
      <c r="D18" s="568">
        <v>1269</v>
      </c>
      <c r="E18" s="572"/>
      <c r="F18" s="98">
        <v>295</v>
      </c>
      <c r="G18" s="535"/>
      <c r="H18" s="580">
        <v>6.952</v>
      </c>
      <c r="I18" s="27"/>
      <c r="J18" s="43"/>
      <c r="K18" s="270"/>
    </row>
    <row r="19" spans="2:10" ht="15" customHeight="1">
      <c r="B19" s="272" t="s">
        <v>133</v>
      </c>
      <c r="C19" s="90"/>
      <c r="D19" s="568">
        <v>1133</v>
      </c>
      <c r="E19" s="572"/>
      <c r="F19" s="98">
        <v>159</v>
      </c>
      <c r="G19" s="535"/>
      <c r="H19" s="580">
        <v>6.585</v>
      </c>
      <c r="I19" s="27"/>
      <c r="J19" s="43"/>
    </row>
    <row r="20" spans="2:10" ht="15" customHeight="1">
      <c r="B20" s="272" t="s">
        <v>136</v>
      </c>
      <c r="C20" s="90"/>
      <c r="D20" s="568">
        <v>1328</v>
      </c>
      <c r="E20" s="572"/>
      <c r="F20" s="98">
        <v>191</v>
      </c>
      <c r="G20" s="535"/>
      <c r="H20" s="580">
        <v>12.652</v>
      </c>
      <c r="I20" s="27"/>
      <c r="J20" s="43"/>
    </row>
    <row r="21" spans="2:10" ht="15" customHeight="1">
      <c r="B21" s="163" t="s">
        <v>207</v>
      </c>
      <c r="C21" s="190">
        <v>216</v>
      </c>
      <c r="D21" s="567"/>
      <c r="E21" s="916">
        <v>882</v>
      </c>
      <c r="F21" s="917"/>
      <c r="G21" s="532">
        <v>0.283</v>
      </c>
      <c r="H21" s="577"/>
      <c r="I21" s="563"/>
      <c r="J21" s="907" t="s">
        <v>215</v>
      </c>
    </row>
    <row r="22" spans="2:10" ht="15" customHeight="1">
      <c r="B22" s="163" t="s">
        <v>137</v>
      </c>
      <c r="C22" s="190">
        <v>2355</v>
      </c>
      <c r="D22" s="567"/>
      <c r="E22" s="916"/>
      <c r="F22" s="917"/>
      <c r="G22" s="532">
        <v>4.013</v>
      </c>
      <c r="H22" s="577"/>
      <c r="I22" s="905"/>
      <c r="J22" s="907"/>
    </row>
    <row r="23" spans="2:10" ht="12" customHeight="1">
      <c r="B23" s="274" t="s">
        <v>62</v>
      </c>
      <c r="C23" s="600"/>
      <c r="D23" s="601"/>
      <c r="E23" s="602"/>
      <c r="F23" s="603"/>
      <c r="G23" s="574"/>
      <c r="H23" s="577" t="s">
        <v>209</v>
      </c>
      <c r="I23" s="905"/>
      <c r="J23" s="165"/>
    </row>
    <row r="24" spans="2:10" ht="15" customHeight="1">
      <c r="B24" s="85" t="s">
        <v>140</v>
      </c>
      <c r="C24" s="90">
        <v>1524</v>
      </c>
      <c r="D24" s="568"/>
      <c r="E24" s="572">
        <v>396</v>
      </c>
      <c r="F24" s="98"/>
      <c r="G24" s="604">
        <v>1.766</v>
      </c>
      <c r="H24" s="578"/>
      <c r="I24" s="27"/>
      <c r="J24" s="43"/>
    </row>
    <row r="25" spans="2:10" ht="12" customHeight="1">
      <c r="B25" s="276" t="s">
        <v>62</v>
      </c>
      <c r="C25" s="605"/>
      <c r="D25" s="606"/>
      <c r="E25" s="607"/>
      <c r="F25" s="608"/>
      <c r="G25" s="609"/>
      <c r="H25" s="610" t="s">
        <v>210</v>
      </c>
      <c r="I25" s="611"/>
      <c r="J25" s="64" t="s">
        <v>214</v>
      </c>
    </row>
    <row r="26" spans="2:10" ht="15" customHeight="1">
      <c r="B26" s="581" t="s">
        <v>46</v>
      </c>
      <c r="C26" s="582">
        <v>277</v>
      </c>
      <c r="D26" s="583"/>
      <c r="E26" s="584">
        <v>76</v>
      </c>
      <c r="F26" s="585"/>
      <c r="G26" s="586"/>
      <c r="H26" s="587"/>
      <c r="I26" s="588"/>
      <c r="J26" s="589"/>
    </row>
    <row r="27" spans="2:10" ht="9.75" customHeight="1">
      <c r="B27" s="590" t="s">
        <v>48</v>
      </c>
      <c r="C27" s="591"/>
      <c r="D27" s="592"/>
      <c r="E27" s="593"/>
      <c r="F27" s="594"/>
      <c r="G27" s="595"/>
      <c r="H27" s="596"/>
      <c r="I27" s="597"/>
      <c r="J27" s="598"/>
    </row>
    <row r="28" spans="2:10" ht="12" customHeight="1">
      <c r="B28" s="277" t="s">
        <v>62</v>
      </c>
      <c r="C28" s="565"/>
      <c r="D28" s="569"/>
      <c r="E28" s="573"/>
      <c r="F28" s="278"/>
      <c r="G28" s="575"/>
      <c r="H28" s="579" t="s">
        <v>211</v>
      </c>
      <c r="I28" s="564"/>
      <c r="J28" s="279" t="s">
        <v>212</v>
      </c>
    </row>
    <row r="29" spans="2:9" ht="15.75" customHeight="1">
      <c r="B29" s="915" t="s">
        <v>197</v>
      </c>
      <c r="C29" s="915"/>
      <c r="D29" s="915"/>
      <c r="E29" s="915"/>
      <c r="F29" s="915"/>
      <c r="G29" s="915"/>
      <c r="H29" s="915"/>
      <c r="I29" s="915"/>
    </row>
    <row r="30" spans="2:9" ht="15" customHeight="1">
      <c r="B30" s="275" t="s">
        <v>0</v>
      </c>
      <c r="C30" s="35"/>
      <c r="D30" s="35"/>
      <c r="E30" s="35"/>
      <c r="F30" s="35"/>
      <c r="G30" s="35"/>
      <c r="H30" s="35"/>
      <c r="I30" s="35"/>
    </row>
    <row r="31" spans="2:10" ht="15" customHeight="1">
      <c r="B31" s="909" t="s">
        <v>216</v>
      </c>
      <c r="C31" s="910"/>
      <c r="D31" s="910"/>
      <c r="E31" s="910"/>
      <c r="F31" s="910"/>
      <c r="G31" s="910"/>
      <c r="H31" s="910"/>
      <c r="I31" s="910"/>
      <c r="J31" s="910"/>
    </row>
    <row r="32" spans="2:10" ht="12.75" customHeight="1">
      <c r="B32" s="908" t="s">
        <v>141</v>
      </c>
      <c r="C32" s="908"/>
      <c r="D32" s="908"/>
      <c r="E32" s="908"/>
      <c r="F32" s="908"/>
      <c r="G32" s="908"/>
      <c r="H32" s="908"/>
      <c r="I32" s="908"/>
      <c r="J32" s="908"/>
    </row>
    <row r="33" spans="2:4" ht="12.75" customHeight="1">
      <c r="B33" s="189" t="s">
        <v>142</v>
      </c>
      <c r="C33" s="270"/>
      <c r="D33" s="270"/>
    </row>
    <row r="34" ht="12.75" customHeight="1">
      <c r="B34" s="189" t="s">
        <v>147</v>
      </c>
    </row>
  </sheetData>
  <mergeCells count="17">
    <mergeCell ref="B32:J32"/>
    <mergeCell ref="B31:J31"/>
    <mergeCell ref="B4:J4"/>
    <mergeCell ref="C6:D6"/>
    <mergeCell ref="E6:F6"/>
    <mergeCell ref="G6:H6"/>
    <mergeCell ref="I6:J6"/>
    <mergeCell ref="B29:I29"/>
    <mergeCell ref="E21:E22"/>
    <mergeCell ref="F21:F22"/>
    <mergeCell ref="I22:I23"/>
    <mergeCell ref="B1:C1"/>
    <mergeCell ref="C5:F5"/>
    <mergeCell ref="G5:J5"/>
    <mergeCell ref="B3:J3"/>
    <mergeCell ref="B2:J2"/>
    <mergeCell ref="J21:J22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42"/>
  <dimension ref="A1:O4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7" width="8.7109375" style="4" customWidth="1"/>
    <col min="8" max="8" width="4.00390625" style="4" customWidth="1"/>
    <col min="9" max="12" width="4.7109375" style="4" customWidth="1"/>
    <col min="13" max="13" width="4.7109375" style="32" customWidth="1"/>
    <col min="14" max="24" width="4.7109375" style="4" customWidth="1"/>
    <col min="25" max="16384" width="9.140625" style="4" customWidth="1"/>
  </cols>
  <sheetData>
    <row r="1" spans="2:9" ht="14.25" customHeight="1">
      <c r="B1" s="2"/>
      <c r="C1" s="2"/>
      <c r="D1" s="2"/>
      <c r="E1" s="2"/>
      <c r="F1" s="2"/>
      <c r="H1" s="24" t="s">
        <v>109</v>
      </c>
      <c r="I1" s="2"/>
    </row>
    <row r="2" spans="2:13" s="189" customFormat="1" ht="30" customHeight="1">
      <c r="B2" s="895" t="s">
        <v>161</v>
      </c>
      <c r="C2" s="895"/>
      <c r="D2" s="895"/>
      <c r="E2" s="895"/>
      <c r="F2" s="895"/>
      <c r="G2" s="895"/>
      <c r="H2" s="895"/>
      <c r="I2" s="402"/>
      <c r="M2" s="388"/>
    </row>
    <row r="3" spans="2:10" ht="15" customHeight="1">
      <c r="B3" s="896" t="s">
        <v>162</v>
      </c>
      <c r="C3" s="896"/>
      <c r="D3" s="896"/>
      <c r="E3" s="896"/>
      <c r="F3" s="896"/>
      <c r="G3" s="896"/>
      <c r="H3" s="896"/>
      <c r="I3" s="2"/>
      <c r="J3" s="2"/>
    </row>
    <row r="4" spans="2:10" ht="12.75" customHeight="1">
      <c r="B4" s="923" t="s">
        <v>218</v>
      </c>
      <c r="C4" s="924"/>
      <c r="D4" s="924"/>
      <c r="E4" s="924"/>
      <c r="F4" s="924"/>
      <c r="G4" s="924"/>
      <c r="H4" s="924"/>
      <c r="I4" s="2"/>
      <c r="J4" s="2"/>
    </row>
    <row r="5" spans="2:8" ht="15" customHeight="1">
      <c r="B5" s="39"/>
      <c r="C5" s="918" t="s">
        <v>49</v>
      </c>
      <c r="D5" s="919"/>
      <c r="E5" s="919"/>
      <c r="F5" s="919"/>
      <c r="G5" s="920"/>
      <c r="H5" s="39"/>
    </row>
    <row r="6" spans="2:10" ht="33" customHeight="1">
      <c r="B6" s="39"/>
      <c r="C6" s="410" t="s">
        <v>50</v>
      </c>
      <c r="D6" s="411" t="s">
        <v>51</v>
      </c>
      <c r="E6" s="411" t="s">
        <v>52</v>
      </c>
      <c r="F6" s="412" t="s">
        <v>53</v>
      </c>
      <c r="G6" s="369" t="s">
        <v>116</v>
      </c>
      <c r="H6" s="38"/>
      <c r="I6" s="2"/>
      <c r="J6" s="2"/>
    </row>
    <row r="7" spans="2:10" ht="12.75" customHeight="1">
      <c r="B7" s="177" t="s">
        <v>47</v>
      </c>
      <c r="C7" s="363">
        <f>SUM(C10:C36)</f>
        <v>706</v>
      </c>
      <c r="D7" s="338">
        <f>SUM(D10:D36)</f>
        <v>1443</v>
      </c>
      <c r="E7" s="338">
        <f>SUM(E10:E36)</f>
        <v>1527</v>
      </c>
      <c r="F7" s="339">
        <f>SUM(F10:F36)</f>
        <v>521</v>
      </c>
      <c r="G7" s="339">
        <f>SUM(G10:G36)</f>
        <v>4197</v>
      </c>
      <c r="H7" s="177" t="s">
        <v>47</v>
      </c>
      <c r="I7" s="2"/>
      <c r="J7" s="2"/>
    </row>
    <row r="8" spans="2:14" ht="12.75" customHeight="1">
      <c r="B8" s="174" t="s">
        <v>82</v>
      </c>
      <c r="C8" s="364">
        <f>SUM(C10,C13:C14,C16:C20,C24,C27:C28,C30,C34:C36)</f>
        <v>590</v>
      </c>
      <c r="D8" s="341">
        <f>SUM(D10,D13:D14,D16:D20,D24,D27:D28,D30,D34:D36)</f>
        <v>1251</v>
      </c>
      <c r="E8" s="341">
        <f>SUM(E10,E13:E14,E16:E20,E24,E27:E28,E30,E34:E36)</f>
        <v>1417</v>
      </c>
      <c r="F8" s="342">
        <f>SUM(F10,F13:F14,F16:F20,F24,F27:F28,F30,F34:F36)</f>
        <v>518</v>
      </c>
      <c r="G8" s="341">
        <f>SUM(G10,G13:G14,G16:G20,G24,G27:G28,G30,G34:G36)</f>
        <v>3776</v>
      </c>
      <c r="H8" s="174" t="s">
        <v>82</v>
      </c>
      <c r="I8" s="72"/>
      <c r="J8" s="72"/>
      <c r="K8" s="72"/>
      <c r="L8" s="72"/>
      <c r="M8" s="72"/>
      <c r="N8" s="38"/>
    </row>
    <row r="9" spans="2:14" ht="12.75" customHeight="1">
      <c r="B9" s="176" t="s">
        <v>175</v>
      </c>
      <c r="C9" s="344">
        <f>SUM(C11,C12,C15,C21,C22,C23,C25,C26,C29,C31,C32,C33)</f>
        <v>116</v>
      </c>
      <c r="D9" s="344">
        <f>SUM(D11,D12,D15,D21,D22,D23,D25,D26,D29,D31,D32,D33)</f>
        <v>192</v>
      </c>
      <c r="E9" s="344">
        <f>SUM(E11,E12,E15,E21,E22,E23,E25,E26,E29,E31,E32,E33)</f>
        <v>110</v>
      </c>
      <c r="F9" s="345">
        <f>SUM(F11,F12,F15,F21,F22,F23,F25,F26,F29,F31,F32,F33)</f>
        <v>3</v>
      </c>
      <c r="G9" s="344">
        <f>SUM(G11,G12,G15,G21,G22,G23,G25,G26,G29,G31,G32,G33)</f>
        <v>421</v>
      </c>
      <c r="H9" s="176" t="s">
        <v>175</v>
      </c>
      <c r="I9" s="72"/>
      <c r="J9" s="72"/>
      <c r="K9" s="72"/>
      <c r="L9" s="72"/>
      <c r="M9" s="72"/>
      <c r="N9" s="38"/>
    </row>
    <row r="10" spans="1:10" ht="12.75" customHeight="1">
      <c r="A10" s="12"/>
      <c r="B10" s="13" t="s">
        <v>83</v>
      </c>
      <c r="C10" s="366">
        <v>20</v>
      </c>
      <c r="D10" s="346">
        <v>39</v>
      </c>
      <c r="E10" s="346">
        <v>18</v>
      </c>
      <c r="F10" s="347">
        <v>5</v>
      </c>
      <c r="G10" s="347">
        <f aca="true" t="shared" si="0" ref="G10:G37">SUM(C10:F10)</f>
        <v>82</v>
      </c>
      <c r="H10" s="13" t="s">
        <v>83</v>
      </c>
      <c r="I10" s="27"/>
      <c r="J10" s="27"/>
    </row>
    <row r="11" spans="1:14" ht="12.75" customHeight="1">
      <c r="A11" s="12"/>
      <c r="B11" s="174" t="s">
        <v>65</v>
      </c>
      <c r="C11" s="349">
        <v>6</v>
      </c>
      <c r="D11" s="355">
        <v>15</v>
      </c>
      <c r="E11" s="355">
        <v>19</v>
      </c>
      <c r="F11" s="350"/>
      <c r="G11" s="350">
        <f t="shared" si="0"/>
        <v>40</v>
      </c>
      <c r="H11" s="174" t="s">
        <v>65</v>
      </c>
      <c r="I11" s="27"/>
      <c r="J11" s="27"/>
      <c r="K11" s="2"/>
      <c r="L11" s="2"/>
      <c r="M11" s="31"/>
      <c r="N11" s="2"/>
    </row>
    <row r="12" spans="1:10" ht="12.75" customHeight="1">
      <c r="A12" s="12"/>
      <c r="B12" s="14" t="s">
        <v>67</v>
      </c>
      <c r="C12" s="359">
        <v>14</v>
      </c>
      <c r="D12" s="352">
        <v>31</v>
      </c>
      <c r="E12" s="352">
        <v>18</v>
      </c>
      <c r="F12" s="353"/>
      <c r="G12" s="353">
        <f t="shared" si="0"/>
        <v>63</v>
      </c>
      <c r="H12" s="14" t="s">
        <v>67</v>
      </c>
      <c r="I12" s="27"/>
      <c r="J12" s="27"/>
    </row>
    <row r="13" spans="1:10" ht="12.75" customHeight="1">
      <c r="A13" s="12"/>
      <c r="B13" s="174" t="s">
        <v>78</v>
      </c>
      <c r="C13" s="349">
        <v>33</v>
      </c>
      <c r="D13" s="355">
        <v>33</v>
      </c>
      <c r="E13" s="355">
        <v>17</v>
      </c>
      <c r="F13" s="350">
        <v>6</v>
      </c>
      <c r="G13" s="350">
        <f t="shared" si="0"/>
        <v>89</v>
      </c>
      <c r="H13" s="174" t="s">
        <v>78</v>
      </c>
      <c r="I13" s="27"/>
      <c r="J13" s="27"/>
    </row>
    <row r="14" spans="1:10" ht="12.75" customHeight="1">
      <c r="A14" s="12"/>
      <c r="B14" s="14" t="s">
        <v>84</v>
      </c>
      <c r="C14" s="359">
        <v>104</v>
      </c>
      <c r="D14" s="352">
        <v>271</v>
      </c>
      <c r="E14" s="352">
        <v>226</v>
      </c>
      <c r="F14" s="353">
        <v>101</v>
      </c>
      <c r="G14" s="353">
        <f t="shared" si="0"/>
        <v>702</v>
      </c>
      <c r="H14" s="14" t="s">
        <v>84</v>
      </c>
      <c r="I14" s="27"/>
      <c r="J14" s="27"/>
    </row>
    <row r="15" spans="1:10" ht="12.75" customHeight="1">
      <c r="A15" s="12"/>
      <c r="B15" s="174" t="s">
        <v>68</v>
      </c>
      <c r="C15" s="349">
        <v>8</v>
      </c>
      <c r="D15" s="355">
        <v>6</v>
      </c>
      <c r="E15" s="355"/>
      <c r="F15" s="350"/>
      <c r="G15" s="350">
        <f t="shared" si="0"/>
        <v>14</v>
      </c>
      <c r="H15" s="174" t="s">
        <v>68</v>
      </c>
      <c r="I15" s="27"/>
      <c r="J15" s="27"/>
    </row>
    <row r="16" spans="1:10" ht="12.75" customHeight="1">
      <c r="A16" s="12"/>
      <c r="B16" s="14" t="s">
        <v>87</v>
      </c>
      <c r="C16" s="359">
        <v>3</v>
      </c>
      <c r="D16" s="352">
        <v>34</v>
      </c>
      <c r="E16" s="352">
        <v>200</v>
      </c>
      <c r="F16" s="353">
        <v>9</v>
      </c>
      <c r="G16" s="353">
        <f t="shared" si="0"/>
        <v>246</v>
      </c>
      <c r="H16" s="14" t="s">
        <v>87</v>
      </c>
      <c r="I16" s="27"/>
      <c r="J16" s="27"/>
    </row>
    <row r="17" spans="1:10" ht="12.75" customHeight="1">
      <c r="A17" s="12"/>
      <c r="B17" s="174" t="s">
        <v>79</v>
      </c>
      <c r="C17" s="349">
        <v>20</v>
      </c>
      <c r="D17" s="355">
        <v>33</v>
      </c>
      <c r="E17" s="355">
        <v>25</v>
      </c>
      <c r="F17" s="350">
        <v>4</v>
      </c>
      <c r="G17" s="350">
        <f t="shared" si="0"/>
        <v>82</v>
      </c>
      <c r="H17" s="174" t="s">
        <v>79</v>
      </c>
      <c r="I17" s="27"/>
      <c r="J17" s="27"/>
    </row>
    <row r="18" spans="1:10" ht="12.75" customHeight="1">
      <c r="A18" s="12"/>
      <c r="B18" s="14" t="s">
        <v>85</v>
      </c>
      <c r="C18" s="359">
        <v>45</v>
      </c>
      <c r="D18" s="352">
        <v>112</v>
      </c>
      <c r="E18" s="352">
        <v>177</v>
      </c>
      <c r="F18" s="353">
        <v>51</v>
      </c>
      <c r="G18" s="353">
        <f t="shared" si="0"/>
        <v>385</v>
      </c>
      <c r="H18" s="14" t="s">
        <v>85</v>
      </c>
      <c r="I18" s="27"/>
      <c r="J18" s="27"/>
    </row>
    <row r="19" spans="1:10" ht="12.75" customHeight="1">
      <c r="A19" s="12"/>
      <c r="B19" s="174" t="s">
        <v>86</v>
      </c>
      <c r="C19" s="349">
        <v>100</v>
      </c>
      <c r="D19" s="355">
        <v>138</v>
      </c>
      <c r="E19" s="355">
        <v>128</v>
      </c>
      <c r="F19" s="350">
        <v>92</v>
      </c>
      <c r="G19" s="350">
        <f t="shared" si="0"/>
        <v>458</v>
      </c>
      <c r="H19" s="174" t="s">
        <v>86</v>
      </c>
      <c r="I19" s="27"/>
      <c r="J19" s="27"/>
    </row>
    <row r="20" spans="1:10" ht="12.75" customHeight="1">
      <c r="A20" s="12"/>
      <c r="B20" s="14" t="s">
        <v>88</v>
      </c>
      <c r="C20" s="359">
        <v>14</v>
      </c>
      <c r="D20" s="352">
        <v>106</v>
      </c>
      <c r="E20" s="352">
        <v>142</v>
      </c>
      <c r="F20" s="353">
        <v>24</v>
      </c>
      <c r="G20" s="353">
        <f t="shared" si="0"/>
        <v>286</v>
      </c>
      <c r="H20" s="14" t="s">
        <v>88</v>
      </c>
      <c r="I20" s="27"/>
      <c r="J20" s="27"/>
    </row>
    <row r="21" spans="1:10" ht="12.75" customHeight="1">
      <c r="A21" s="12"/>
      <c r="B21" s="174" t="s">
        <v>66</v>
      </c>
      <c r="C21" s="349"/>
      <c r="D21" s="355">
        <v>3</v>
      </c>
      <c r="E21" s="355">
        <v>10</v>
      </c>
      <c r="F21" s="350">
        <v>2</v>
      </c>
      <c r="G21" s="350">
        <f t="shared" si="0"/>
        <v>15</v>
      </c>
      <c r="H21" s="174" t="s">
        <v>66</v>
      </c>
      <c r="I21" s="27"/>
      <c r="J21" s="27"/>
    </row>
    <row r="22" spans="1:10" ht="12.75" customHeight="1">
      <c r="A22" s="12"/>
      <c r="B22" s="14" t="s">
        <v>70</v>
      </c>
      <c r="C22" s="359">
        <v>6</v>
      </c>
      <c r="D22" s="352">
        <v>22</v>
      </c>
      <c r="E22" s="352">
        <v>6</v>
      </c>
      <c r="F22" s="353">
        <v>1</v>
      </c>
      <c r="G22" s="353">
        <f t="shared" si="0"/>
        <v>35</v>
      </c>
      <c r="H22" s="14" t="s">
        <v>70</v>
      </c>
      <c r="I22" s="27"/>
      <c r="J22" s="27"/>
    </row>
    <row r="23" spans="1:10" ht="12.75" customHeight="1">
      <c r="A23" s="12"/>
      <c r="B23" s="174" t="s">
        <v>71</v>
      </c>
      <c r="C23" s="349">
        <v>14</v>
      </c>
      <c r="D23" s="355">
        <v>9</v>
      </c>
      <c r="E23" s="355">
        <v>3</v>
      </c>
      <c r="F23" s="350"/>
      <c r="G23" s="350">
        <f t="shared" si="0"/>
        <v>26</v>
      </c>
      <c r="H23" s="174" t="s">
        <v>71</v>
      </c>
      <c r="I23" s="27"/>
      <c r="J23" s="27"/>
    </row>
    <row r="24" spans="1:10" ht="12.75" customHeight="1">
      <c r="A24" s="12"/>
      <c r="B24" s="14" t="s">
        <v>89</v>
      </c>
      <c r="C24" s="359">
        <v>10</v>
      </c>
      <c r="D24" s="352">
        <v>7</v>
      </c>
      <c r="E24" s="352"/>
      <c r="F24" s="353"/>
      <c r="G24" s="353">
        <f t="shared" si="0"/>
        <v>17</v>
      </c>
      <c r="H24" s="14" t="s">
        <v>89</v>
      </c>
      <c r="I24" s="27"/>
      <c r="J24" s="27"/>
    </row>
    <row r="25" spans="1:10" ht="12.75" customHeight="1">
      <c r="A25" s="12"/>
      <c r="B25" s="174" t="s">
        <v>69</v>
      </c>
      <c r="C25" s="349">
        <v>6</v>
      </c>
      <c r="D25" s="355">
        <v>19</v>
      </c>
      <c r="E25" s="355">
        <v>22</v>
      </c>
      <c r="F25" s="350"/>
      <c r="G25" s="350">
        <f t="shared" si="0"/>
        <v>47</v>
      </c>
      <c r="H25" s="174" t="s">
        <v>69</v>
      </c>
      <c r="I25" s="27"/>
      <c r="J25" s="27"/>
    </row>
    <row r="26" spans="1:10" ht="12.75" customHeight="1">
      <c r="A26" s="12"/>
      <c r="B26" s="14" t="s">
        <v>72</v>
      </c>
      <c r="C26" s="359">
        <v>12</v>
      </c>
      <c r="D26" s="352">
        <v>5</v>
      </c>
      <c r="E26" s="352">
        <v>7</v>
      </c>
      <c r="F26" s="353"/>
      <c r="G26" s="353">
        <f t="shared" si="0"/>
        <v>24</v>
      </c>
      <c r="H26" s="14" t="s">
        <v>72</v>
      </c>
      <c r="I26" s="27"/>
      <c r="J26" s="27"/>
    </row>
    <row r="27" spans="1:10" ht="12.75" customHeight="1">
      <c r="A27" s="12"/>
      <c r="B27" s="175" t="s">
        <v>80</v>
      </c>
      <c r="C27" s="349">
        <v>17</v>
      </c>
      <c r="D27" s="355">
        <v>80</v>
      </c>
      <c r="E27" s="355">
        <v>38</v>
      </c>
      <c r="F27" s="350">
        <v>52</v>
      </c>
      <c r="G27" s="350">
        <f t="shared" si="0"/>
        <v>187</v>
      </c>
      <c r="H27" s="175" t="s">
        <v>80</v>
      </c>
      <c r="I27" s="27"/>
      <c r="J27" s="27"/>
    </row>
    <row r="28" spans="1:10" ht="12.75" customHeight="1">
      <c r="A28" s="12"/>
      <c r="B28" s="14" t="s">
        <v>90</v>
      </c>
      <c r="C28" s="359">
        <v>41</v>
      </c>
      <c r="D28" s="352">
        <v>47</v>
      </c>
      <c r="E28" s="352">
        <v>32</v>
      </c>
      <c r="F28" s="353">
        <v>7</v>
      </c>
      <c r="G28" s="353">
        <f t="shared" si="0"/>
        <v>127</v>
      </c>
      <c r="H28" s="14" t="s">
        <v>90</v>
      </c>
      <c r="I28" s="27"/>
      <c r="J28" s="27"/>
    </row>
    <row r="29" spans="1:10" ht="12.75" customHeight="1">
      <c r="A29" s="12"/>
      <c r="B29" s="174" t="s">
        <v>73</v>
      </c>
      <c r="C29" s="349">
        <v>21</v>
      </c>
      <c r="D29" s="355">
        <v>34</v>
      </c>
      <c r="E29" s="355">
        <v>8</v>
      </c>
      <c r="F29" s="350"/>
      <c r="G29" s="350">
        <f t="shared" si="0"/>
        <v>63</v>
      </c>
      <c r="H29" s="174" t="s">
        <v>73</v>
      </c>
      <c r="I29" s="27"/>
      <c r="J29" s="27"/>
    </row>
    <row r="30" spans="1:10" ht="12.75" customHeight="1">
      <c r="A30" s="12"/>
      <c r="B30" s="14" t="s">
        <v>91</v>
      </c>
      <c r="C30" s="359">
        <v>14</v>
      </c>
      <c r="D30" s="352">
        <v>31</v>
      </c>
      <c r="E30" s="352">
        <v>26</v>
      </c>
      <c r="F30" s="353">
        <v>18</v>
      </c>
      <c r="G30" s="353">
        <f t="shared" si="0"/>
        <v>89</v>
      </c>
      <c r="H30" s="14" t="s">
        <v>91</v>
      </c>
      <c r="I30" s="27"/>
      <c r="J30" s="27"/>
    </row>
    <row r="31" spans="1:14" ht="12.75" customHeight="1">
      <c r="A31" s="12"/>
      <c r="B31" s="174" t="s">
        <v>74</v>
      </c>
      <c r="C31" s="349">
        <v>19</v>
      </c>
      <c r="D31" s="355">
        <v>25</v>
      </c>
      <c r="E31" s="355">
        <v>10</v>
      </c>
      <c r="F31" s="350"/>
      <c r="G31" s="350">
        <f t="shared" si="0"/>
        <v>54</v>
      </c>
      <c r="H31" s="174" t="s">
        <v>74</v>
      </c>
      <c r="I31" s="27"/>
      <c r="J31" s="27"/>
      <c r="K31" s="2"/>
      <c r="L31" s="2"/>
      <c r="M31" s="31"/>
      <c r="N31" s="2"/>
    </row>
    <row r="32" spans="1:10" ht="12.75" customHeight="1">
      <c r="A32" s="12"/>
      <c r="B32" s="14" t="s">
        <v>76</v>
      </c>
      <c r="C32" s="359">
        <v>7</v>
      </c>
      <c r="D32" s="352">
        <v>4</v>
      </c>
      <c r="E32" s="352">
        <v>3</v>
      </c>
      <c r="F32" s="353"/>
      <c r="G32" s="353">
        <f t="shared" si="0"/>
        <v>14</v>
      </c>
      <c r="H32" s="14" t="s">
        <v>76</v>
      </c>
      <c r="I32" s="27"/>
      <c r="J32" s="27"/>
    </row>
    <row r="33" spans="1:10" ht="12.75" customHeight="1">
      <c r="A33" s="12"/>
      <c r="B33" s="174" t="s">
        <v>75</v>
      </c>
      <c r="C33" s="349">
        <v>3</v>
      </c>
      <c r="D33" s="355">
        <v>19</v>
      </c>
      <c r="E33" s="355">
        <v>4</v>
      </c>
      <c r="F33" s="350"/>
      <c r="G33" s="350">
        <f t="shared" si="0"/>
        <v>26</v>
      </c>
      <c r="H33" s="174" t="s">
        <v>75</v>
      </c>
      <c r="I33" s="27"/>
      <c r="J33" s="27"/>
    </row>
    <row r="34" spans="1:10" ht="12.75" customHeight="1">
      <c r="A34" s="12"/>
      <c r="B34" s="14" t="s">
        <v>92</v>
      </c>
      <c r="C34" s="359">
        <v>7</v>
      </c>
      <c r="D34" s="352">
        <v>53</v>
      </c>
      <c r="E34" s="352">
        <v>20</v>
      </c>
      <c r="F34" s="353">
        <v>12</v>
      </c>
      <c r="G34" s="353">
        <f t="shared" si="0"/>
        <v>92</v>
      </c>
      <c r="H34" s="14" t="s">
        <v>92</v>
      </c>
      <c r="I34" s="27"/>
      <c r="J34" s="27"/>
    </row>
    <row r="35" spans="1:10" ht="12.75" customHeight="1">
      <c r="A35" s="12"/>
      <c r="B35" s="174" t="s">
        <v>93</v>
      </c>
      <c r="C35" s="349">
        <v>54</v>
      </c>
      <c r="D35" s="355">
        <v>33</v>
      </c>
      <c r="E35" s="355">
        <v>21</v>
      </c>
      <c r="F35" s="350">
        <v>5</v>
      </c>
      <c r="G35" s="350">
        <f t="shared" si="0"/>
        <v>113</v>
      </c>
      <c r="H35" s="174" t="s">
        <v>93</v>
      </c>
      <c r="I35" s="27"/>
      <c r="J35" s="27"/>
    </row>
    <row r="36" spans="1:14" ht="12.75" customHeight="1">
      <c r="A36" s="12"/>
      <c r="B36" s="15" t="s">
        <v>81</v>
      </c>
      <c r="C36" s="356">
        <v>108</v>
      </c>
      <c r="D36" s="367">
        <v>234</v>
      </c>
      <c r="E36" s="367">
        <v>347</v>
      </c>
      <c r="F36" s="357">
        <v>132</v>
      </c>
      <c r="G36" s="357">
        <f t="shared" si="0"/>
        <v>821</v>
      </c>
      <c r="H36" s="15" t="s">
        <v>81</v>
      </c>
      <c r="I36" s="27"/>
      <c r="J36" s="27"/>
      <c r="K36" s="2"/>
      <c r="L36" s="2"/>
      <c r="M36" s="31"/>
      <c r="N36" s="2"/>
    </row>
    <row r="37" spans="1:14" ht="12.75" customHeight="1">
      <c r="A37" s="12"/>
      <c r="B37" s="174" t="s">
        <v>97</v>
      </c>
      <c r="C37" s="349">
        <v>3</v>
      </c>
      <c r="D37" s="355">
        <v>8</v>
      </c>
      <c r="E37" s="355">
        <v>9</v>
      </c>
      <c r="F37" s="350"/>
      <c r="G37" s="350">
        <f t="shared" si="0"/>
        <v>20</v>
      </c>
      <c r="H37" s="174" t="s">
        <v>97</v>
      </c>
      <c r="I37" s="27"/>
      <c r="J37" s="27"/>
      <c r="K37" s="2"/>
      <c r="L37" s="2"/>
      <c r="M37" s="31"/>
      <c r="N37" s="2"/>
    </row>
    <row r="38" spans="1:14" ht="12.75" customHeight="1">
      <c r="A38" s="12"/>
      <c r="B38" s="14" t="s">
        <v>1</v>
      </c>
      <c r="C38" s="359">
        <v>2</v>
      </c>
      <c r="D38" s="352">
        <v>2</v>
      </c>
      <c r="E38" s="352"/>
      <c r="F38" s="353"/>
      <c r="G38" s="353"/>
      <c r="H38" s="14" t="s">
        <v>1</v>
      </c>
      <c r="I38" s="27"/>
      <c r="J38" s="27"/>
      <c r="K38" s="2"/>
      <c r="L38" s="2"/>
      <c r="M38" s="31"/>
      <c r="N38" s="2"/>
    </row>
    <row r="39" spans="1:14" ht="12.75" customHeight="1">
      <c r="A39" s="12"/>
      <c r="B39" s="176" t="s">
        <v>77</v>
      </c>
      <c r="C39" s="360"/>
      <c r="D39" s="368">
        <v>39</v>
      </c>
      <c r="E39" s="368">
        <v>143</v>
      </c>
      <c r="F39" s="361">
        <v>13</v>
      </c>
      <c r="G39" s="361">
        <f>SUM(C39:F39)</f>
        <v>195</v>
      </c>
      <c r="H39" s="176" t="s">
        <v>77</v>
      </c>
      <c r="I39" s="27"/>
      <c r="J39" s="27"/>
      <c r="K39" s="2"/>
      <c r="L39" s="2"/>
      <c r="M39" s="31"/>
      <c r="N39" s="2"/>
    </row>
    <row r="40" spans="1:14" ht="12.75" customHeight="1">
      <c r="A40" s="12"/>
      <c r="B40" s="13" t="s">
        <v>63</v>
      </c>
      <c r="C40" s="359">
        <v>13</v>
      </c>
      <c r="D40" s="352"/>
      <c r="E40" s="352">
        <v>16</v>
      </c>
      <c r="F40" s="353">
        <v>1</v>
      </c>
      <c r="G40" s="353">
        <f>SUM(C40:F40)</f>
        <v>30</v>
      </c>
      <c r="H40" s="13" t="s">
        <v>63</v>
      </c>
      <c r="I40" s="27"/>
      <c r="J40" s="27"/>
      <c r="K40" s="2"/>
      <c r="L40" s="2"/>
      <c r="M40" s="31"/>
      <c r="N40" s="2"/>
    </row>
    <row r="41" spans="1:14" ht="12.75" customHeight="1">
      <c r="A41" s="12"/>
      <c r="B41" s="174" t="s">
        <v>94</v>
      </c>
      <c r="C41" s="349">
        <v>40</v>
      </c>
      <c r="D41" s="355">
        <v>117</v>
      </c>
      <c r="E41" s="355">
        <v>20</v>
      </c>
      <c r="F41" s="350">
        <v>3</v>
      </c>
      <c r="G41" s="350">
        <f>SUM(C41:F41)</f>
        <v>180</v>
      </c>
      <c r="H41" s="174" t="s">
        <v>94</v>
      </c>
      <c r="I41" s="27"/>
      <c r="J41" s="27"/>
      <c r="K41" s="2"/>
      <c r="L41" s="2"/>
      <c r="M41" s="31"/>
      <c r="N41" s="2"/>
    </row>
    <row r="42" spans="1:14" ht="12.75" customHeight="1">
      <c r="A42" s="12"/>
      <c r="B42" s="15" t="s">
        <v>64</v>
      </c>
      <c r="C42" s="356">
        <v>20</v>
      </c>
      <c r="D42" s="367">
        <v>58</v>
      </c>
      <c r="E42" s="367">
        <v>48</v>
      </c>
      <c r="F42" s="357">
        <v>6</v>
      </c>
      <c r="G42" s="357">
        <f>SUM(C42:F42)</f>
        <v>132</v>
      </c>
      <c r="H42" s="15" t="s">
        <v>64</v>
      </c>
      <c r="I42" s="27"/>
      <c r="J42" s="27"/>
      <c r="K42" s="2"/>
      <c r="L42" s="2"/>
      <c r="M42" s="31"/>
      <c r="N42" s="2"/>
    </row>
    <row r="43" spans="2:15" ht="15.75" customHeight="1">
      <c r="B43" s="925" t="s">
        <v>198</v>
      </c>
      <c r="C43" s="925"/>
      <c r="D43" s="925"/>
      <c r="E43" s="925"/>
      <c r="F43" s="925"/>
      <c r="G43" s="925"/>
      <c r="H43" s="925"/>
      <c r="I43" s="73"/>
      <c r="J43" s="19"/>
      <c r="K43" s="19"/>
      <c r="L43" s="19"/>
      <c r="M43" s="19"/>
      <c r="N43" s="19"/>
      <c r="O43" s="52"/>
    </row>
    <row r="44" spans="2:15" ht="11.25">
      <c r="B44" s="922" t="s">
        <v>120</v>
      </c>
      <c r="C44" s="922"/>
      <c r="I44" s="16"/>
      <c r="J44" s="16"/>
      <c r="K44" s="16"/>
      <c r="L44" s="16"/>
      <c r="M44" s="16"/>
      <c r="N44" s="16"/>
      <c r="O44" s="16"/>
    </row>
    <row r="45" spans="2:7" ht="12.75" customHeight="1">
      <c r="B45" s="921" t="s">
        <v>118</v>
      </c>
      <c r="C45" s="921"/>
      <c r="D45" s="921"/>
      <c r="E45" s="921"/>
      <c r="F45" s="921"/>
      <c r="G45" s="921"/>
    </row>
    <row r="46" ht="12.75" customHeight="1">
      <c r="B46" s="189" t="s">
        <v>227</v>
      </c>
    </row>
  </sheetData>
  <mergeCells count="7">
    <mergeCell ref="B2:H2"/>
    <mergeCell ref="C5:G5"/>
    <mergeCell ref="B45:G45"/>
    <mergeCell ref="B44:C44"/>
    <mergeCell ref="B3:H3"/>
    <mergeCell ref="B4:H4"/>
    <mergeCell ref="B43:H43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44"/>
  <dimension ref="A1:R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7" width="10.7109375" style="4" customWidth="1"/>
    <col min="8" max="8" width="4.00390625" style="4" customWidth="1"/>
    <col min="9" max="11" width="4.7109375" style="4" customWidth="1"/>
    <col min="12" max="12" width="4.7109375" style="32" customWidth="1"/>
    <col min="13" max="23" width="4.7109375" style="4" customWidth="1"/>
    <col min="24" max="16384" width="9.140625" style="4" customWidth="1"/>
  </cols>
  <sheetData>
    <row r="1" spans="2:8" ht="14.25" customHeight="1">
      <c r="B1" s="2"/>
      <c r="C1" s="2"/>
      <c r="D1" s="2"/>
      <c r="E1" s="2"/>
      <c r="F1" s="2"/>
      <c r="H1" s="24" t="s">
        <v>110</v>
      </c>
    </row>
    <row r="2" spans="2:12" s="189" customFormat="1" ht="30" customHeight="1">
      <c r="B2" s="895" t="s">
        <v>163</v>
      </c>
      <c r="C2" s="895"/>
      <c r="D2" s="895"/>
      <c r="E2" s="895"/>
      <c r="F2" s="895"/>
      <c r="G2" s="895"/>
      <c r="H2" s="895"/>
      <c r="L2" s="388"/>
    </row>
    <row r="3" spans="1:18" s="399" customFormat="1" ht="15" customHeight="1">
      <c r="A3" s="398"/>
      <c r="B3" s="933" t="s">
        <v>162</v>
      </c>
      <c r="C3" s="933"/>
      <c r="D3" s="933"/>
      <c r="E3" s="933"/>
      <c r="F3" s="933"/>
      <c r="G3" s="933"/>
      <c r="H3" s="933"/>
      <c r="I3" s="404"/>
      <c r="L3" s="405"/>
      <c r="M3" s="403"/>
      <c r="N3" s="403"/>
      <c r="O3" s="403"/>
      <c r="P3" s="403"/>
      <c r="Q3" s="403"/>
      <c r="R3" s="403"/>
    </row>
    <row r="4" spans="2:9" ht="12.75" customHeight="1">
      <c r="B4" s="928" t="s">
        <v>218</v>
      </c>
      <c r="C4" s="929"/>
      <c r="D4" s="929"/>
      <c r="E4" s="929"/>
      <c r="F4" s="929"/>
      <c r="G4" s="929"/>
      <c r="H4" s="929"/>
      <c r="I4" s="2"/>
    </row>
    <row r="5" spans="2:8" ht="36" customHeight="1">
      <c r="B5" s="39"/>
      <c r="C5" s="931" t="s">
        <v>54</v>
      </c>
      <c r="D5" s="932"/>
      <c r="E5" s="479" t="s">
        <v>55</v>
      </c>
      <c r="F5" s="930" t="s">
        <v>56</v>
      </c>
      <c r="G5" s="930" t="s">
        <v>57</v>
      </c>
      <c r="H5" s="39"/>
    </row>
    <row r="6" spans="2:9" ht="22.5" customHeight="1">
      <c r="B6" s="39"/>
      <c r="C6" s="506" t="s">
        <v>180</v>
      </c>
      <c r="D6" s="504" t="s">
        <v>181</v>
      </c>
      <c r="E6" s="505" t="s">
        <v>182</v>
      </c>
      <c r="F6" s="843"/>
      <c r="G6" s="843"/>
      <c r="H6" s="38"/>
      <c r="I6" s="2"/>
    </row>
    <row r="7" spans="2:9" ht="10.5" customHeight="1">
      <c r="B7" s="39"/>
      <c r="C7" s="480" t="s">
        <v>183</v>
      </c>
      <c r="D7" s="481" t="s">
        <v>183</v>
      </c>
      <c r="E7" s="482" t="s">
        <v>184</v>
      </c>
      <c r="F7" s="507"/>
      <c r="G7" s="501"/>
      <c r="H7" s="38"/>
      <c r="I7" s="2"/>
    </row>
    <row r="8" spans="2:12" ht="12.75" customHeight="1">
      <c r="B8" s="177" t="s">
        <v>47</v>
      </c>
      <c r="C8" s="338">
        <f>SUM(C11:C37)</f>
        <v>186</v>
      </c>
      <c r="D8" s="339">
        <f>SUM(D11:D37)</f>
        <v>181</v>
      </c>
      <c r="E8" s="340">
        <f>SUM(E11:E37)</f>
        <v>77</v>
      </c>
      <c r="F8" s="339">
        <f>SUM(F11:F37)</f>
        <v>81</v>
      </c>
      <c r="G8" s="340">
        <f>SUM(G11:G37)</f>
        <v>1878</v>
      </c>
      <c r="H8" s="177" t="s">
        <v>47</v>
      </c>
      <c r="I8" s="2"/>
      <c r="K8" s="491"/>
      <c r="L8" s="491"/>
    </row>
    <row r="9" spans="2:13" ht="12.75" customHeight="1">
      <c r="B9" s="174" t="s">
        <v>82</v>
      </c>
      <c r="C9" s="341">
        <f>SUM(C11,C14:C15,C17:C21,C25,C28:C29,C31,C35:C37)</f>
        <v>135</v>
      </c>
      <c r="D9" s="342">
        <f>SUM(D11,D14:D15,D17:D21,D25,D28:D29,D31,D35:D37)</f>
        <v>176</v>
      </c>
      <c r="E9" s="343">
        <f>SUM(E11,E14:E15,E17:E21,E25,E28:E29,E31,E35:E37)</f>
        <v>70</v>
      </c>
      <c r="F9" s="342">
        <f>SUM(F11,F14:F15,F17:F21,F25,F28:F29,F31,F35:F37)</f>
        <v>75</v>
      </c>
      <c r="G9" s="343">
        <f>SUM(G11,G14:G15,G17:G21,G25,G28:G29,G31,G35:G37)</f>
        <v>1756</v>
      </c>
      <c r="H9" s="174" t="s">
        <v>82</v>
      </c>
      <c r="I9" s="72"/>
      <c r="J9" s="72"/>
      <c r="K9" s="72"/>
      <c r="L9" s="72"/>
      <c r="M9" s="38"/>
    </row>
    <row r="10" spans="2:13" ht="12.75" customHeight="1">
      <c r="B10" s="176" t="s">
        <v>175</v>
      </c>
      <c r="C10" s="365">
        <f>SUM(C12,C13,C16,C22,C23,C24,C26,C27,C30,C32,C33,C34)</f>
        <v>51</v>
      </c>
      <c r="D10" s="345">
        <f>SUM(D12,D13,D16,D22,D23,D24,D26,D27,D30,D32,D33,D34)</f>
        <v>5</v>
      </c>
      <c r="E10" s="345">
        <f>SUM(E12,E13,E16,E22,E23,E24,E26,E27,E30,E32,E33,E34)</f>
        <v>7</v>
      </c>
      <c r="F10" s="345">
        <f>SUM(F12,F13,F16,F22,F23,F24,F26,F27,F30,F32,F33,F34)</f>
        <v>6</v>
      </c>
      <c r="G10" s="345">
        <f>SUM(G12,G13,G16,G22,G23,G24,G26,G27,G30,G32,G33,G34)</f>
        <v>122</v>
      </c>
      <c r="H10" s="176" t="s">
        <v>175</v>
      </c>
      <c r="I10" s="72"/>
      <c r="J10" s="72"/>
      <c r="K10" s="72"/>
      <c r="L10" s="72"/>
      <c r="M10" s="38"/>
    </row>
    <row r="11" spans="1:9" ht="12.75" customHeight="1">
      <c r="A11" s="12"/>
      <c r="B11" s="13" t="s">
        <v>83</v>
      </c>
      <c r="C11" s="346">
        <v>12</v>
      </c>
      <c r="D11" s="347">
        <v>43</v>
      </c>
      <c r="E11" s="348">
        <v>4</v>
      </c>
      <c r="F11" s="348">
        <v>1</v>
      </c>
      <c r="G11" s="348">
        <v>45</v>
      </c>
      <c r="H11" s="13" t="s">
        <v>83</v>
      </c>
      <c r="I11" s="27"/>
    </row>
    <row r="12" spans="1:13" ht="12.75" customHeight="1">
      <c r="A12" s="12"/>
      <c r="B12" s="174" t="s">
        <v>65</v>
      </c>
      <c r="C12" s="349"/>
      <c r="D12" s="350">
        <v>1</v>
      </c>
      <c r="E12" s="351">
        <v>1</v>
      </c>
      <c r="F12" s="351"/>
      <c r="G12" s="351">
        <v>20</v>
      </c>
      <c r="H12" s="174" t="s">
        <v>65</v>
      </c>
      <c r="I12" s="27"/>
      <c r="J12" s="2"/>
      <c r="K12" s="2"/>
      <c r="L12" s="31"/>
      <c r="M12" s="2"/>
    </row>
    <row r="13" spans="1:9" ht="12.75" customHeight="1">
      <c r="A13" s="12"/>
      <c r="B13" s="14" t="s">
        <v>67</v>
      </c>
      <c r="C13" s="352">
        <v>4</v>
      </c>
      <c r="D13" s="353"/>
      <c r="E13" s="354"/>
      <c r="F13" s="354">
        <v>1</v>
      </c>
      <c r="G13" s="354">
        <v>16</v>
      </c>
      <c r="H13" s="14" t="s">
        <v>67</v>
      </c>
      <c r="I13" s="27"/>
    </row>
    <row r="14" spans="1:9" ht="12.75" customHeight="1">
      <c r="A14" s="12"/>
      <c r="B14" s="174" t="s">
        <v>78</v>
      </c>
      <c r="C14" s="355"/>
      <c r="D14" s="350">
        <v>11</v>
      </c>
      <c r="E14" s="351">
        <v>6</v>
      </c>
      <c r="F14" s="351"/>
      <c r="G14" s="351">
        <v>65</v>
      </c>
      <c r="H14" s="174" t="s">
        <v>78</v>
      </c>
      <c r="I14" s="27"/>
    </row>
    <row r="15" spans="1:9" ht="12.75" customHeight="1">
      <c r="A15" s="12"/>
      <c r="B15" s="14" t="s">
        <v>84</v>
      </c>
      <c r="C15" s="352">
        <v>7</v>
      </c>
      <c r="D15" s="353">
        <v>20</v>
      </c>
      <c r="E15" s="354">
        <v>2</v>
      </c>
      <c r="F15" s="354">
        <v>23</v>
      </c>
      <c r="G15" s="354">
        <v>360</v>
      </c>
      <c r="H15" s="14" t="s">
        <v>84</v>
      </c>
      <c r="I15" s="27"/>
    </row>
    <row r="16" spans="1:9" ht="12.75" customHeight="1">
      <c r="A16" s="12"/>
      <c r="B16" s="174" t="s">
        <v>68</v>
      </c>
      <c r="C16" s="355">
        <v>1</v>
      </c>
      <c r="D16" s="350"/>
      <c r="E16" s="351"/>
      <c r="F16" s="351">
        <v>1</v>
      </c>
      <c r="G16" s="351">
        <v>7</v>
      </c>
      <c r="H16" s="174" t="s">
        <v>68</v>
      </c>
      <c r="I16" s="27"/>
    </row>
    <row r="17" spans="1:9" ht="12.75" customHeight="1">
      <c r="A17" s="12"/>
      <c r="B17" s="14" t="s">
        <v>87</v>
      </c>
      <c r="C17" s="352">
        <v>15</v>
      </c>
      <c r="D17" s="353">
        <v>2</v>
      </c>
      <c r="E17" s="354"/>
      <c r="F17" s="354"/>
      <c r="G17" s="354">
        <v>23</v>
      </c>
      <c r="H17" s="14" t="s">
        <v>87</v>
      </c>
      <c r="I17" s="27"/>
    </row>
    <row r="18" spans="1:9" ht="12.75" customHeight="1">
      <c r="A18" s="12"/>
      <c r="B18" s="174" t="s">
        <v>79</v>
      </c>
      <c r="C18" s="355">
        <v>5</v>
      </c>
      <c r="D18" s="350"/>
      <c r="E18" s="351"/>
      <c r="F18" s="351">
        <v>1</v>
      </c>
      <c r="G18" s="351">
        <v>30</v>
      </c>
      <c r="H18" s="174" t="s">
        <v>79</v>
      </c>
      <c r="I18" s="27"/>
    </row>
    <row r="19" spans="1:9" ht="12.75" customHeight="1">
      <c r="A19" s="12"/>
      <c r="B19" s="14" t="s">
        <v>85</v>
      </c>
      <c r="C19" s="352">
        <v>36</v>
      </c>
      <c r="D19" s="353">
        <v>13</v>
      </c>
      <c r="E19" s="354">
        <v>9</v>
      </c>
      <c r="F19" s="354">
        <v>7</v>
      </c>
      <c r="G19" s="354">
        <v>121</v>
      </c>
      <c r="H19" s="14" t="s">
        <v>85</v>
      </c>
      <c r="I19" s="27"/>
    </row>
    <row r="20" spans="1:9" ht="12.75" customHeight="1">
      <c r="A20" s="12"/>
      <c r="B20" s="174" t="s">
        <v>86</v>
      </c>
      <c r="C20" s="355">
        <v>1</v>
      </c>
      <c r="D20" s="350">
        <v>15</v>
      </c>
      <c r="E20" s="351">
        <v>19</v>
      </c>
      <c r="F20" s="351">
        <v>17</v>
      </c>
      <c r="G20" s="351">
        <v>113</v>
      </c>
      <c r="H20" s="174" t="s">
        <v>86</v>
      </c>
      <c r="I20" s="27"/>
    </row>
    <row r="21" spans="1:9" ht="12.75" customHeight="1">
      <c r="A21" s="12"/>
      <c r="B21" s="14" t="s">
        <v>88</v>
      </c>
      <c r="C21" s="352">
        <v>10</v>
      </c>
      <c r="D21" s="353">
        <v>3</v>
      </c>
      <c r="E21" s="354">
        <v>4</v>
      </c>
      <c r="F21" s="354">
        <v>2</v>
      </c>
      <c r="G21" s="354">
        <v>120</v>
      </c>
      <c r="H21" s="14" t="s">
        <v>88</v>
      </c>
      <c r="I21" s="27"/>
    </row>
    <row r="22" spans="1:9" ht="12.75" customHeight="1">
      <c r="A22" s="12"/>
      <c r="B22" s="174" t="s">
        <v>66</v>
      </c>
      <c r="C22" s="355"/>
      <c r="D22" s="350"/>
      <c r="E22" s="351"/>
      <c r="F22" s="351"/>
      <c r="G22" s="351">
        <v>5</v>
      </c>
      <c r="H22" s="174" t="s">
        <v>66</v>
      </c>
      <c r="I22" s="27"/>
    </row>
    <row r="23" spans="1:9" ht="12.75" customHeight="1">
      <c r="A23" s="12"/>
      <c r="B23" s="14" t="s">
        <v>70</v>
      </c>
      <c r="C23" s="352">
        <v>8</v>
      </c>
      <c r="D23" s="353">
        <v>2</v>
      </c>
      <c r="E23" s="354"/>
      <c r="F23" s="354"/>
      <c r="G23" s="354">
        <v>10</v>
      </c>
      <c r="H23" s="14" t="s">
        <v>70</v>
      </c>
      <c r="I23" s="27"/>
    </row>
    <row r="24" spans="1:9" ht="12.75" customHeight="1">
      <c r="A24" s="12"/>
      <c r="B24" s="174" t="s">
        <v>71</v>
      </c>
      <c r="C24" s="355">
        <v>7</v>
      </c>
      <c r="D24" s="350"/>
      <c r="E24" s="351"/>
      <c r="F24" s="351"/>
      <c r="G24" s="351">
        <v>3</v>
      </c>
      <c r="H24" s="174" t="s">
        <v>71</v>
      </c>
      <c r="I24" s="27"/>
    </row>
    <row r="25" spans="1:9" ht="12.75" customHeight="1">
      <c r="A25" s="12"/>
      <c r="B25" s="14" t="s">
        <v>89</v>
      </c>
      <c r="C25" s="352">
        <v>10</v>
      </c>
      <c r="D25" s="353">
        <v>17</v>
      </c>
      <c r="E25" s="354"/>
      <c r="F25" s="354">
        <v>3</v>
      </c>
      <c r="G25" s="354">
        <v>52</v>
      </c>
      <c r="H25" s="14" t="s">
        <v>89</v>
      </c>
      <c r="I25" s="27"/>
    </row>
    <row r="26" spans="1:9" ht="12.75" customHeight="1">
      <c r="A26" s="12"/>
      <c r="B26" s="174" t="s">
        <v>69</v>
      </c>
      <c r="C26" s="355">
        <v>16</v>
      </c>
      <c r="D26" s="350">
        <v>1</v>
      </c>
      <c r="E26" s="351">
        <v>1</v>
      </c>
      <c r="F26" s="351">
        <v>1</v>
      </c>
      <c r="G26" s="351">
        <v>7</v>
      </c>
      <c r="H26" s="174" t="s">
        <v>69</v>
      </c>
      <c r="I26" s="27"/>
    </row>
    <row r="27" spans="1:9" ht="12.75" customHeight="1">
      <c r="A27" s="12"/>
      <c r="B27" s="14" t="s">
        <v>72</v>
      </c>
      <c r="C27" s="352"/>
      <c r="D27" s="353"/>
      <c r="E27" s="354"/>
      <c r="F27" s="354"/>
      <c r="G27" s="354">
        <v>4</v>
      </c>
      <c r="H27" s="14" t="s">
        <v>72</v>
      </c>
      <c r="I27" s="27"/>
    </row>
    <row r="28" spans="1:9" ht="12.75" customHeight="1">
      <c r="A28" s="12"/>
      <c r="B28" s="175" t="s">
        <v>80</v>
      </c>
      <c r="C28" s="355"/>
      <c r="D28" s="350">
        <v>12</v>
      </c>
      <c r="E28" s="351">
        <v>3</v>
      </c>
      <c r="F28" s="351">
        <v>3</v>
      </c>
      <c r="G28" s="351">
        <v>40</v>
      </c>
      <c r="H28" s="175" t="s">
        <v>80</v>
      </c>
      <c r="I28" s="27"/>
    </row>
    <row r="29" spans="1:9" ht="12.75" customHeight="1">
      <c r="A29" s="12"/>
      <c r="B29" s="14" t="s">
        <v>90</v>
      </c>
      <c r="C29" s="352">
        <v>1</v>
      </c>
      <c r="D29" s="353"/>
      <c r="E29" s="354"/>
      <c r="F29" s="354">
        <v>4</v>
      </c>
      <c r="G29" s="354">
        <v>235</v>
      </c>
      <c r="H29" s="14" t="s">
        <v>90</v>
      </c>
      <c r="I29" s="27"/>
    </row>
    <row r="30" spans="1:9" ht="12.75" customHeight="1">
      <c r="A30" s="12"/>
      <c r="B30" s="174" t="s">
        <v>73</v>
      </c>
      <c r="C30" s="355">
        <v>12</v>
      </c>
      <c r="D30" s="350"/>
      <c r="E30" s="351">
        <v>5</v>
      </c>
      <c r="F30" s="351">
        <v>3</v>
      </c>
      <c r="G30" s="351">
        <v>11</v>
      </c>
      <c r="H30" s="174" t="s">
        <v>73</v>
      </c>
      <c r="I30" s="27"/>
    </row>
    <row r="31" spans="1:9" ht="12.75" customHeight="1">
      <c r="A31" s="12"/>
      <c r="B31" s="14" t="s">
        <v>91</v>
      </c>
      <c r="C31" s="352"/>
      <c r="D31" s="353"/>
      <c r="E31" s="354">
        <v>2</v>
      </c>
      <c r="F31" s="354">
        <v>1</v>
      </c>
      <c r="G31" s="354">
        <v>188</v>
      </c>
      <c r="H31" s="14" t="s">
        <v>91</v>
      </c>
      <c r="I31" s="27"/>
    </row>
    <row r="32" spans="1:13" ht="12.75" customHeight="1">
      <c r="A32" s="12"/>
      <c r="B32" s="174" t="s">
        <v>74</v>
      </c>
      <c r="C32" s="349"/>
      <c r="D32" s="350"/>
      <c r="E32" s="351"/>
      <c r="F32" s="351"/>
      <c r="G32" s="351">
        <v>13</v>
      </c>
      <c r="H32" s="174" t="s">
        <v>74</v>
      </c>
      <c r="I32" s="27"/>
      <c r="J32" s="2"/>
      <c r="K32" s="2"/>
      <c r="L32" s="31"/>
      <c r="M32" s="2"/>
    </row>
    <row r="33" spans="1:9" ht="12.75" customHeight="1">
      <c r="A33" s="12"/>
      <c r="B33" s="14" t="s">
        <v>76</v>
      </c>
      <c r="C33" s="352">
        <v>3</v>
      </c>
      <c r="D33" s="353">
        <v>1</v>
      </c>
      <c r="E33" s="354"/>
      <c r="F33" s="354"/>
      <c r="G33" s="354">
        <v>15</v>
      </c>
      <c r="H33" s="14" t="s">
        <v>76</v>
      </c>
      <c r="I33" s="27"/>
    </row>
    <row r="34" spans="1:9" ht="12.75" customHeight="1">
      <c r="A34" s="12"/>
      <c r="B34" s="174" t="s">
        <v>75</v>
      </c>
      <c r="C34" s="355"/>
      <c r="D34" s="350"/>
      <c r="E34" s="351"/>
      <c r="F34" s="351"/>
      <c r="G34" s="351">
        <v>11</v>
      </c>
      <c r="H34" s="174" t="s">
        <v>75</v>
      </c>
      <c r="I34" s="27"/>
    </row>
    <row r="35" spans="1:9" ht="12.75" customHeight="1">
      <c r="A35" s="12"/>
      <c r="B35" s="14" t="s">
        <v>92</v>
      </c>
      <c r="C35" s="352"/>
      <c r="D35" s="353"/>
      <c r="E35" s="354">
        <v>1</v>
      </c>
      <c r="F35" s="354">
        <v>2</v>
      </c>
      <c r="G35" s="354">
        <v>21</v>
      </c>
      <c r="H35" s="14" t="s">
        <v>92</v>
      </c>
      <c r="I35" s="27"/>
    </row>
    <row r="36" spans="1:9" ht="12.75" customHeight="1">
      <c r="A36" s="12"/>
      <c r="B36" s="174" t="s">
        <v>93</v>
      </c>
      <c r="C36" s="355">
        <v>25</v>
      </c>
      <c r="D36" s="350"/>
      <c r="E36" s="351">
        <v>1</v>
      </c>
      <c r="F36" s="351">
        <v>3</v>
      </c>
      <c r="G36" s="351">
        <v>42</v>
      </c>
      <c r="H36" s="174" t="s">
        <v>93</v>
      </c>
      <c r="I36" s="27"/>
    </row>
    <row r="37" spans="1:13" ht="12.75" customHeight="1">
      <c r="A37" s="12"/>
      <c r="B37" s="15" t="s">
        <v>81</v>
      </c>
      <c r="C37" s="356">
        <v>13</v>
      </c>
      <c r="D37" s="357">
        <v>40</v>
      </c>
      <c r="E37" s="358">
        <v>19</v>
      </c>
      <c r="F37" s="358">
        <v>8</v>
      </c>
      <c r="G37" s="358">
        <v>301</v>
      </c>
      <c r="H37" s="15" t="s">
        <v>81</v>
      </c>
      <c r="I37" s="27"/>
      <c r="J37" s="2"/>
      <c r="K37" s="2"/>
      <c r="L37" s="31"/>
      <c r="M37" s="2"/>
    </row>
    <row r="38" spans="1:13" ht="12.75" customHeight="1">
      <c r="A38" s="12"/>
      <c r="B38" s="174" t="s">
        <v>97</v>
      </c>
      <c r="C38" s="349"/>
      <c r="D38" s="350"/>
      <c r="E38" s="351"/>
      <c r="F38" s="351"/>
      <c r="G38" s="351">
        <v>4</v>
      </c>
      <c r="H38" s="174" t="s">
        <v>97</v>
      </c>
      <c r="I38" s="27"/>
      <c r="J38" s="2"/>
      <c r="K38" s="2"/>
      <c r="L38" s="31"/>
      <c r="M38" s="2"/>
    </row>
    <row r="39" spans="1:13" ht="12.75" customHeight="1">
      <c r="A39" s="12"/>
      <c r="B39" s="14" t="s">
        <v>1</v>
      </c>
      <c r="C39" s="359"/>
      <c r="D39" s="353">
        <v>1</v>
      </c>
      <c r="E39" s="354"/>
      <c r="F39" s="354"/>
      <c r="G39" s="354"/>
      <c r="H39" s="14" t="s">
        <v>1</v>
      </c>
      <c r="I39" s="27"/>
      <c r="J39" s="2"/>
      <c r="K39" s="2"/>
      <c r="L39" s="31"/>
      <c r="M39" s="2"/>
    </row>
    <row r="40" spans="1:13" ht="12.75" customHeight="1">
      <c r="A40" s="12"/>
      <c r="B40" s="176" t="s">
        <v>77</v>
      </c>
      <c r="C40" s="360">
        <v>4</v>
      </c>
      <c r="D40" s="361">
        <v>20</v>
      </c>
      <c r="E40" s="362"/>
      <c r="F40" s="362">
        <v>1</v>
      </c>
      <c r="G40" s="362">
        <v>53</v>
      </c>
      <c r="H40" s="176" t="s">
        <v>77</v>
      </c>
      <c r="I40" s="27"/>
      <c r="J40" s="2"/>
      <c r="K40" s="2"/>
      <c r="L40" s="31"/>
      <c r="M40" s="2"/>
    </row>
    <row r="41" spans="1:13" ht="12.75" customHeight="1">
      <c r="A41" s="12"/>
      <c r="B41" s="13" t="s">
        <v>63</v>
      </c>
      <c r="C41" s="359"/>
      <c r="D41" s="353">
        <v>10</v>
      </c>
      <c r="E41" s="354"/>
      <c r="F41" s="354"/>
      <c r="G41" s="354">
        <v>4</v>
      </c>
      <c r="H41" s="13" t="s">
        <v>63</v>
      </c>
      <c r="I41" s="27"/>
      <c r="J41" s="2"/>
      <c r="K41" s="2"/>
      <c r="L41" s="31"/>
      <c r="M41" s="2"/>
    </row>
    <row r="42" spans="1:13" ht="12.75" customHeight="1">
      <c r="A42" s="12"/>
      <c r="B42" s="174" t="s">
        <v>94</v>
      </c>
      <c r="C42" s="349"/>
      <c r="D42" s="350"/>
      <c r="E42" s="351"/>
      <c r="F42" s="351">
        <v>1</v>
      </c>
      <c r="G42" s="351">
        <v>16</v>
      </c>
      <c r="H42" s="174" t="s">
        <v>94</v>
      </c>
      <c r="I42" s="27"/>
      <c r="J42" s="2"/>
      <c r="K42" s="2"/>
      <c r="L42" s="31"/>
      <c r="M42" s="2"/>
    </row>
    <row r="43" spans="1:13" ht="12.75" customHeight="1">
      <c r="A43" s="12"/>
      <c r="B43" s="15" t="s">
        <v>64</v>
      </c>
      <c r="C43" s="356">
        <v>12</v>
      </c>
      <c r="D43" s="357"/>
      <c r="E43" s="358"/>
      <c r="F43" s="358">
        <v>4</v>
      </c>
      <c r="G43" s="358">
        <v>168</v>
      </c>
      <c r="H43" s="15" t="s">
        <v>64</v>
      </c>
      <c r="I43" s="27"/>
      <c r="J43" s="2"/>
      <c r="K43" s="2"/>
      <c r="L43" s="31"/>
      <c r="M43" s="2"/>
    </row>
    <row r="44" spans="2:14" ht="15" customHeight="1">
      <c r="B44" s="3" t="s">
        <v>198</v>
      </c>
      <c r="C44" s="73"/>
      <c r="D44" s="73"/>
      <c r="E44" s="73"/>
      <c r="F44" s="19"/>
      <c r="G44" s="19"/>
      <c r="H44" s="73"/>
      <c r="I44" s="19"/>
      <c r="J44" s="19"/>
      <c r="K44" s="19"/>
      <c r="L44" s="19"/>
      <c r="M44" s="19"/>
      <c r="N44" s="52"/>
    </row>
    <row r="45" spans="2:14" ht="11.25" customHeight="1">
      <c r="B45" s="922" t="s">
        <v>0</v>
      </c>
      <c r="C45" s="922"/>
      <c r="D45" s="922"/>
      <c r="E45" s="922"/>
      <c r="F45" s="922"/>
      <c r="G45" s="922"/>
      <c r="H45" s="16"/>
      <c r="I45" s="16"/>
      <c r="J45" s="16"/>
      <c r="K45" s="16"/>
      <c r="L45" s="16"/>
      <c r="M45" s="16"/>
      <c r="N45" s="16"/>
    </row>
    <row r="46" spans="2:14" ht="22.5" customHeight="1">
      <c r="B46" s="926" t="s">
        <v>186</v>
      </c>
      <c r="C46" s="927"/>
      <c r="D46" s="927"/>
      <c r="E46" s="927"/>
      <c r="F46" s="927"/>
      <c r="G46" s="927"/>
      <c r="H46" s="927"/>
      <c r="I46" s="16"/>
      <c r="J46" s="16"/>
      <c r="K46" s="16"/>
      <c r="L46" s="16"/>
      <c r="M46" s="16"/>
      <c r="N46" s="16"/>
    </row>
    <row r="47" ht="12.75" customHeight="1">
      <c r="B47" s="6" t="s">
        <v>185</v>
      </c>
    </row>
    <row r="48" ht="12.75" customHeight="1">
      <c r="B48" s="189" t="s">
        <v>227</v>
      </c>
    </row>
  </sheetData>
  <mergeCells count="8">
    <mergeCell ref="B46:H46"/>
    <mergeCell ref="B2:H2"/>
    <mergeCell ref="B4:H4"/>
    <mergeCell ref="B45:G45"/>
    <mergeCell ref="G5:G6"/>
    <mergeCell ref="F5:F6"/>
    <mergeCell ref="C5:D5"/>
    <mergeCell ref="B3:H3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2"/>
  <dimension ref="A1:N4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2" customWidth="1"/>
    <col min="2" max="2" width="4.00390625" style="4" customWidth="1"/>
    <col min="3" max="6" width="7.7109375" style="4" customWidth="1"/>
    <col min="7" max="8" width="7.7109375" style="4" hidden="1" customWidth="1"/>
    <col min="9" max="10" width="7.7109375" style="4" customWidth="1"/>
    <col min="11" max="13" width="8.28125" style="4" customWidth="1"/>
    <col min="14" max="14" width="4.00390625" style="4" customWidth="1"/>
    <col min="15" max="16384" width="9.140625" style="4" customWidth="1"/>
  </cols>
  <sheetData>
    <row r="1" spans="2:14" ht="14.25" customHeight="1">
      <c r="B1" s="60"/>
      <c r="C1" s="42"/>
      <c r="D1" s="42"/>
      <c r="E1" s="42"/>
      <c r="F1" s="42"/>
      <c r="G1" s="42"/>
      <c r="K1" s="65"/>
      <c r="L1" s="65"/>
      <c r="M1" s="65"/>
      <c r="N1" s="65" t="s">
        <v>111</v>
      </c>
    </row>
    <row r="2" spans="1:14" s="189" customFormat="1" ht="30" customHeight="1">
      <c r="A2" s="400"/>
      <c r="B2" s="898" t="s">
        <v>22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</row>
    <row r="3" spans="2:14" ht="18" customHeight="1">
      <c r="B3" s="858" t="s">
        <v>18</v>
      </c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</row>
    <row r="4" spans="2:14" ht="24.75" customHeight="1">
      <c r="B4" s="5"/>
      <c r="C4" s="178">
        <v>1970</v>
      </c>
      <c r="D4" s="179">
        <v>1980</v>
      </c>
      <c r="E4" s="179">
        <v>1990</v>
      </c>
      <c r="F4" s="179">
        <v>2000</v>
      </c>
      <c r="G4" s="179">
        <v>2001</v>
      </c>
      <c r="H4" s="179">
        <v>2002</v>
      </c>
      <c r="I4" s="179">
        <v>2003</v>
      </c>
      <c r="J4" s="179">
        <v>2004</v>
      </c>
      <c r="K4" s="179">
        <v>2005</v>
      </c>
      <c r="L4" s="179">
        <v>2006</v>
      </c>
      <c r="M4" s="180">
        <v>2007</v>
      </c>
      <c r="N4" s="10"/>
    </row>
    <row r="5" spans="2:14" ht="12.75" customHeight="1">
      <c r="B5" s="177" t="s">
        <v>47</v>
      </c>
      <c r="C5" s="241"/>
      <c r="D5" s="242"/>
      <c r="E5" s="243">
        <f>6010+SUM(E8:E34)</f>
        <v>65715</v>
      </c>
      <c r="F5" s="242"/>
      <c r="G5" s="242"/>
      <c r="H5" s="242">
        <f aca="true" t="shared" si="0" ref="H5:M5">SUM(H8:H34)</f>
        <v>53259</v>
      </c>
      <c r="I5" s="242">
        <f t="shared" si="0"/>
        <v>51618</v>
      </c>
      <c r="J5" s="242">
        <f t="shared" si="0"/>
        <v>48721</v>
      </c>
      <c r="K5" s="619">
        <f t="shared" si="0"/>
        <v>47546</v>
      </c>
      <c r="L5" s="635">
        <f t="shared" si="0"/>
        <v>48261</v>
      </c>
      <c r="M5" s="619">
        <f t="shared" si="0"/>
        <v>61625</v>
      </c>
      <c r="N5" s="177" t="s">
        <v>47</v>
      </c>
    </row>
    <row r="6" spans="2:14" ht="12.75" customHeight="1">
      <c r="B6" s="174" t="s">
        <v>82</v>
      </c>
      <c r="C6" s="510">
        <f>SUM(C8,C11:C12,C14:C18,C22,C25:C26,C28,C32:C34)</f>
        <v>43259</v>
      </c>
      <c r="D6" s="440">
        <f aca="true" t="shared" si="1" ref="D6:K6">SUM(D8,D11:D12,D14:D18,D22,D25:D26,D28,D32:D34)</f>
        <v>40361</v>
      </c>
      <c r="E6" s="440">
        <f t="shared" si="1"/>
        <v>43444</v>
      </c>
      <c r="F6" s="440"/>
      <c r="G6" s="440"/>
      <c r="H6" s="440">
        <f t="shared" si="1"/>
        <v>36515</v>
      </c>
      <c r="I6" s="440">
        <f t="shared" si="1"/>
        <v>36349</v>
      </c>
      <c r="J6" s="440">
        <f t="shared" si="1"/>
        <v>33986</v>
      </c>
      <c r="K6" s="620">
        <f t="shared" si="1"/>
        <v>33062</v>
      </c>
      <c r="L6" s="636">
        <f>SUM(L8,L11:L12,L14:L18,L22,L25:L26,L28,L32:L34)</f>
        <v>34026</v>
      </c>
      <c r="M6" s="620">
        <f>SUM(M8,M11:M12,M14:M18,M22,M25:M26,M28,M32:M34)</f>
        <v>47314</v>
      </c>
      <c r="N6" s="174" t="s">
        <v>82</v>
      </c>
    </row>
    <row r="7" spans="2:14" ht="12.75" customHeight="1">
      <c r="B7" s="176" t="s">
        <v>175</v>
      </c>
      <c r="C7" s="244"/>
      <c r="D7" s="245"/>
      <c r="E7" s="509">
        <f>6010+SUM(E9,E10,E13,E19,E20,E21,E23,E24,E27,E29,E30,E31)</f>
        <v>22271</v>
      </c>
      <c r="F7" s="245">
        <f aca="true" t="shared" si="2" ref="F7:K7">SUM(F9,F10,F13,F19,F20,F21,F23,F24,F27,F29,F30,F31)</f>
        <v>17460</v>
      </c>
      <c r="G7" s="245">
        <f t="shared" si="2"/>
        <v>17068</v>
      </c>
      <c r="H7" s="245">
        <f t="shared" si="2"/>
        <v>16744</v>
      </c>
      <c r="I7" s="245">
        <f t="shared" si="2"/>
        <v>15269</v>
      </c>
      <c r="J7" s="245">
        <f t="shared" si="2"/>
        <v>14735</v>
      </c>
      <c r="K7" s="463">
        <f t="shared" si="2"/>
        <v>14484</v>
      </c>
      <c r="L7" s="463">
        <f>SUM(L9,L10,L13,L19,L20,L21,L23,L24,L27,L29,L30,L31)</f>
        <v>14235</v>
      </c>
      <c r="M7" s="463">
        <f>SUM(M9,M10,M13,M19,M20,M21,M23,M24,M27,M29,M30,M31)</f>
        <v>14311</v>
      </c>
      <c r="N7" s="176" t="s">
        <v>175</v>
      </c>
    </row>
    <row r="8" spans="2:14" ht="12.75" customHeight="1">
      <c r="B8" s="13" t="s">
        <v>83</v>
      </c>
      <c r="C8" s="226">
        <v>1536</v>
      </c>
      <c r="D8" s="92">
        <v>1740</v>
      </c>
      <c r="E8" s="92">
        <v>1727</v>
      </c>
      <c r="F8" s="92">
        <v>1670</v>
      </c>
      <c r="G8" s="92">
        <v>1706</v>
      </c>
      <c r="H8" s="92">
        <v>1678</v>
      </c>
      <c r="I8" s="92">
        <f>375+387+96+664</f>
        <v>1522</v>
      </c>
      <c r="J8" s="92">
        <f>385+384+96+663</f>
        <v>1528</v>
      </c>
      <c r="K8" s="621">
        <f>376+383+96+663</f>
        <v>1518</v>
      </c>
      <c r="L8" s="621">
        <f>347+370+96+656</f>
        <v>1469</v>
      </c>
      <c r="M8" s="464">
        <f>328+370+96+655</f>
        <v>1449</v>
      </c>
      <c r="N8" s="13" t="s">
        <v>83</v>
      </c>
    </row>
    <row r="9" spans="2:14" ht="12.75" customHeight="1">
      <c r="B9" s="174" t="s">
        <v>65</v>
      </c>
      <c r="C9" s="236">
        <v>1005</v>
      </c>
      <c r="D9" s="214">
        <v>1009</v>
      </c>
      <c r="E9" s="214">
        <v>1119</v>
      </c>
      <c r="F9" s="214">
        <v>762</v>
      </c>
      <c r="G9" s="214">
        <v>753</v>
      </c>
      <c r="H9" s="214">
        <v>680</v>
      </c>
      <c r="I9" s="214">
        <f>328+269+74</f>
        <v>671</v>
      </c>
      <c r="J9" s="214">
        <f>315+266+4+72</f>
        <v>657</v>
      </c>
      <c r="K9" s="622">
        <f>314+266+17+72</f>
        <v>669</v>
      </c>
      <c r="L9" s="622">
        <f>319+266+25+72+5</f>
        <v>687</v>
      </c>
      <c r="M9" s="465">
        <f>319+266+25+72+10+5+2</f>
        <v>699</v>
      </c>
      <c r="N9" s="174" t="s">
        <v>65</v>
      </c>
    </row>
    <row r="10" spans="2:14" ht="12.75" customHeight="1">
      <c r="B10" s="14" t="s">
        <v>67</v>
      </c>
      <c r="C10" s="228"/>
      <c r="D10" s="229"/>
      <c r="E10" s="229"/>
      <c r="F10" s="82">
        <v>3596</v>
      </c>
      <c r="G10" s="82">
        <v>3481</v>
      </c>
      <c r="H10" s="82">
        <v>3301</v>
      </c>
      <c r="I10" s="82">
        <f>1373+938+791+178</f>
        <v>3280</v>
      </c>
      <c r="J10" s="82">
        <f>1347+934+785+192</f>
        <v>3258</v>
      </c>
      <c r="K10" s="623">
        <f>1237+930+785+211</f>
        <v>3163</v>
      </c>
      <c r="L10" s="623">
        <f>1130+925+766+216</f>
        <v>3037</v>
      </c>
      <c r="M10" s="466">
        <f>1047+905+747+222</f>
        <v>2921</v>
      </c>
      <c r="N10" s="14" t="s">
        <v>67</v>
      </c>
    </row>
    <row r="11" spans="2:14" ht="12.75" customHeight="1">
      <c r="B11" s="174" t="s">
        <v>78</v>
      </c>
      <c r="C11" s="236">
        <v>480</v>
      </c>
      <c r="D11" s="214">
        <v>461</v>
      </c>
      <c r="E11" s="214">
        <v>524</v>
      </c>
      <c r="F11" s="214">
        <v>415</v>
      </c>
      <c r="G11" s="214">
        <v>495</v>
      </c>
      <c r="H11" s="214">
        <v>566</v>
      </c>
      <c r="I11" s="222">
        <f>51+12+170+225</f>
        <v>458</v>
      </c>
      <c r="J11" s="222">
        <f>51+12+170+225</f>
        <v>458</v>
      </c>
      <c r="K11" s="624">
        <f>51+12+177+224</f>
        <v>464</v>
      </c>
      <c r="L11" s="624">
        <f>50+12+177+208</f>
        <v>447</v>
      </c>
      <c r="M11" s="467">
        <f>50+12+177+208</f>
        <v>447</v>
      </c>
      <c r="N11" s="174" t="s">
        <v>78</v>
      </c>
    </row>
    <row r="12" spans="2:14" ht="12.75" customHeight="1">
      <c r="B12" s="14" t="s">
        <v>84</v>
      </c>
      <c r="C12" s="508">
        <f>983+659+2550+2247+5000</f>
        <v>11439</v>
      </c>
      <c r="D12" s="82">
        <f>598+1793+3102+2695+3923+583</f>
        <v>12694</v>
      </c>
      <c r="E12" s="82">
        <f>488+1638+3444+2536+157+544+4367+1263</f>
        <v>14437</v>
      </c>
      <c r="F12" s="82">
        <v>9656</v>
      </c>
      <c r="G12" s="82">
        <f>2108+1784+2597+3509</f>
        <v>9998</v>
      </c>
      <c r="H12" s="82">
        <f>2720+688+2526+3102</f>
        <v>9036</v>
      </c>
      <c r="I12" s="82">
        <f>2937+971+2291+3329+835</f>
        <v>10363</v>
      </c>
      <c r="J12" s="82">
        <f>2+2091+3059+2+2303+1+835</f>
        <v>8293</v>
      </c>
      <c r="K12" s="623">
        <f>2+1709+3009+2452+567+3</f>
        <v>7742</v>
      </c>
      <c r="L12" s="637">
        <f>1378+2783+3131+1525</f>
        <v>8817</v>
      </c>
      <c r="M12" s="466">
        <f>1786+2954+3136+6014</f>
        <v>13890</v>
      </c>
      <c r="N12" s="14" t="s">
        <v>84</v>
      </c>
    </row>
    <row r="13" spans="2:14" ht="12.75" customHeight="1">
      <c r="B13" s="174" t="s">
        <v>68</v>
      </c>
      <c r="C13" s="236"/>
      <c r="D13" s="214"/>
      <c r="E13" s="237">
        <v>300</v>
      </c>
      <c r="F13" s="214">
        <v>194</v>
      </c>
      <c r="G13" s="214">
        <v>194</v>
      </c>
      <c r="H13" s="214">
        <v>236</v>
      </c>
      <c r="I13" s="214">
        <f>178+32+31</f>
        <v>241</v>
      </c>
      <c r="J13" s="214">
        <f>121+32+25</f>
        <v>178</v>
      </c>
      <c r="K13" s="622">
        <f>113+32+25</f>
        <v>170</v>
      </c>
      <c r="L13" s="622">
        <f>111+32+24</f>
        <v>167</v>
      </c>
      <c r="M13" s="465">
        <f>131+32+27</f>
        <v>190</v>
      </c>
      <c r="N13" s="174" t="s">
        <v>68</v>
      </c>
    </row>
    <row r="14" spans="2:14" ht="12.75" customHeight="1">
      <c r="B14" s="14" t="s">
        <v>87</v>
      </c>
      <c r="C14" s="227">
        <v>307</v>
      </c>
      <c r="D14" s="82">
        <v>192</v>
      </c>
      <c r="E14" s="82">
        <v>166</v>
      </c>
      <c r="F14" s="82">
        <v>172</v>
      </c>
      <c r="G14" s="82">
        <v>169</v>
      </c>
      <c r="H14" s="82">
        <v>225</v>
      </c>
      <c r="I14" s="82">
        <f>97+114+57</f>
        <v>268</v>
      </c>
      <c r="J14" s="230">
        <f>97+144+65</f>
        <v>306</v>
      </c>
      <c r="K14" s="625">
        <f>94+164+154</f>
        <v>412</v>
      </c>
      <c r="L14" s="625">
        <f>94+180+154</f>
        <v>428</v>
      </c>
      <c r="M14" s="468">
        <f>94+180+154</f>
        <v>428</v>
      </c>
      <c r="N14" s="14" t="s">
        <v>87</v>
      </c>
    </row>
    <row r="15" spans="2:14" ht="12.75" customHeight="1">
      <c r="B15" s="174" t="s">
        <v>79</v>
      </c>
      <c r="C15" s="236">
        <v>514</v>
      </c>
      <c r="D15" s="214">
        <v>313</v>
      </c>
      <c r="E15" s="214">
        <v>400</v>
      </c>
      <c r="F15" s="214">
        <v>244</v>
      </c>
      <c r="G15" s="214">
        <v>290</v>
      </c>
      <c r="H15" s="214">
        <v>278</v>
      </c>
      <c r="I15" s="214">
        <f>142+6+89</f>
        <v>237</v>
      </c>
      <c r="J15" s="214">
        <f>151+6+112</f>
        <v>269</v>
      </c>
      <c r="K15" s="622">
        <f>150+14+116+9</f>
        <v>289</v>
      </c>
      <c r="L15" s="622">
        <f>144+26+101+13</f>
        <v>284</v>
      </c>
      <c r="M15" s="465">
        <f>143+29+103+20</f>
        <v>295</v>
      </c>
      <c r="N15" s="174" t="s">
        <v>79</v>
      </c>
    </row>
    <row r="16" spans="2:14" ht="12.75" customHeight="1">
      <c r="B16" s="14" t="s">
        <v>85</v>
      </c>
      <c r="C16" s="227">
        <v>1928</v>
      </c>
      <c r="D16" s="82">
        <v>1791</v>
      </c>
      <c r="E16" s="82">
        <v>1922</v>
      </c>
      <c r="F16" s="82">
        <v>1693</v>
      </c>
      <c r="G16" s="82">
        <v>1951</v>
      </c>
      <c r="H16" s="82">
        <v>1931</v>
      </c>
      <c r="I16" s="82">
        <f>54+8+414+420+39+138+48+49+73+668</f>
        <v>1911</v>
      </c>
      <c r="J16" s="82">
        <f>52+149+80+410+411+147+679</f>
        <v>1928</v>
      </c>
      <c r="K16" s="623">
        <f>4+48+61+39+49+8+79+223+417+299+719</f>
        <v>1946</v>
      </c>
      <c r="L16" s="625">
        <f>4+47+61+39+55+8+85+188+363+138+757</f>
        <v>1745</v>
      </c>
      <c r="M16" s="466">
        <f>4+47+56+39+58+8+182+202+360+135+827</f>
        <v>1918</v>
      </c>
      <c r="N16" s="14" t="s">
        <v>85</v>
      </c>
    </row>
    <row r="17" spans="2:14" ht="12.75" customHeight="1">
      <c r="B17" s="174" t="s">
        <v>86</v>
      </c>
      <c r="C17" s="236">
        <v>6261</v>
      </c>
      <c r="D17" s="214">
        <v>6204</v>
      </c>
      <c r="E17" s="214">
        <v>7279</v>
      </c>
      <c r="F17" s="214">
        <v>7158</v>
      </c>
      <c r="G17" s="214">
        <v>7224</v>
      </c>
      <c r="H17" s="214">
        <v>7336</v>
      </c>
      <c r="I17" s="214">
        <f>2863+1973+956+1448</f>
        <v>7240</v>
      </c>
      <c r="J17" s="214">
        <f>2790+1880+975+1504</f>
        <v>7149</v>
      </c>
      <c r="K17" s="622">
        <f>2640+1732+996+1580+202+14+190</f>
        <v>7354</v>
      </c>
      <c r="L17" s="624">
        <f>2483+1667+956+1665+224</f>
        <v>6995</v>
      </c>
      <c r="M17" s="465">
        <f>2477+1607+880+1783+182+23+203</f>
        <v>7155</v>
      </c>
      <c r="N17" s="174" t="s">
        <v>86</v>
      </c>
    </row>
    <row r="18" spans="2:14" ht="12.75" customHeight="1">
      <c r="B18" s="14" t="s">
        <v>88</v>
      </c>
      <c r="C18" s="227">
        <v>4715</v>
      </c>
      <c r="D18" s="82">
        <v>4916</v>
      </c>
      <c r="E18" s="82">
        <v>4818</v>
      </c>
      <c r="F18" s="82">
        <v>4697</v>
      </c>
      <c r="G18" s="82">
        <v>4650</v>
      </c>
      <c r="H18" s="82">
        <v>5205</v>
      </c>
      <c r="I18" s="82">
        <f>27+1446+21+1906+8+17+745+110+655+2</f>
        <v>4937</v>
      </c>
      <c r="J18" s="82">
        <f>48+127+1453+1878+707+671+17</f>
        <v>4901</v>
      </c>
      <c r="K18" s="623">
        <f>27+44+17+56+1459+1857+713+470+2+16+2+2+4+5</f>
        <v>4674</v>
      </c>
      <c r="L18" s="623">
        <f>21+31+17+108+1424+1872+788+716+2+16+2+2+4+5</f>
        <v>5008</v>
      </c>
      <c r="M18" s="466">
        <f>27+31+17+134+1389+1751+781+530+2+18+1+2</f>
        <v>4683</v>
      </c>
      <c r="N18" s="14" t="s">
        <v>88</v>
      </c>
    </row>
    <row r="19" spans="2:14" ht="12.75" customHeight="1">
      <c r="B19" s="174" t="s">
        <v>66</v>
      </c>
      <c r="C19" s="238" t="s">
        <v>96</v>
      </c>
      <c r="D19" s="239" t="s">
        <v>96</v>
      </c>
      <c r="E19" s="239" t="s">
        <v>96</v>
      </c>
      <c r="F19" s="239" t="s">
        <v>96</v>
      </c>
      <c r="G19" s="239" t="s">
        <v>96</v>
      </c>
      <c r="H19" s="239" t="s">
        <v>96</v>
      </c>
      <c r="I19" s="239" t="s">
        <v>96</v>
      </c>
      <c r="J19" s="239" t="s">
        <v>96</v>
      </c>
      <c r="K19" s="469" t="s">
        <v>96</v>
      </c>
      <c r="L19" s="469" t="s">
        <v>96</v>
      </c>
      <c r="M19" s="469" t="s">
        <v>96</v>
      </c>
      <c r="N19" s="174" t="s">
        <v>66</v>
      </c>
    </row>
    <row r="20" spans="2:14" ht="12.75" customHeight="1">
      <c r="B20" s="14" t="s">
        <v>70</v>
      </c>
      <c r="C20" s="227"/>
      <c r="D20" s="82"/>
      <c r="E20" s="82">
        <v>739</v>
      </c>
      <c r="F20" s="82">
        <v>433</v>
      </c>
      <c r="G20" s="82">
        <v>403</v>
      </c>
      <c r="H20" s="82">
        <v>392</v>
      </c>
      <c r="I20" s="82">
        <f>227+47+112</f>
        <v>386</v>
      </c>
      <c r="J20" s="82">
        <f>217+47+112</f>
        <v>376</v>
      </c>
      <c r="K20" s="623">
        <f>205+41+112</f>
        <v>358</v>
      </c>
      <c r="L20" s="623">
        <f>200+41+107</f>
        <v>348</v>
      </c>
      <c r="M20" s="466">
        <f>200+41+105</f>
        <v>346</v>
      </c>
      <c r="N20" s="14" t="s">
        <v>70</v>
      </c>
    </row>
    <row r="21" spans="2:14" ht="12.75" customHeight="1">
      <c r="B21" s="174" t="s">
        <v>71</v>
      </c>
      <c r="C21" s="236"/>
      <c r="D21" s="214"/>
      <c r="E21" s="237">
        <v>389</v>
      </c>
      <c r="F21" s="214">
        <v>419</v>
      </c>
      <c r="G21" s="214">
        <v>406</v>
      </c>
      <c r="H21" s="214">
        <v>390</v>
      </c>
      <c r="I21" s="214">
        <f>245+83+43</f>
        <v>371</v>
      </c>
      <c r="J21" s="214">
        <f>242+82+43</f>
        <v>367</v>
      </c>
      <c r="K21" s="622">
        <f>240+82+43</f>
        <v>365</v>
      </c>
      <c r="L21" s="622">
        <f>243+82+43</f>
        <v>368</v>
      </c>
      <c r="M21" s="465">
        <f>243+82+43</f>
        <v>368</v>
      </c>
      <c r="N21" s="174" t="s">
        <v>71</v>
      </c>
    </row>
    <row r="22" spans="2:14" ht="12.75" customHeight="1">
      <c r="B22" s="14" t="s">
        <v>89</v>
      </c>
      <c r="C22" s="227">
        <v>95</v>
      </c>
      <c r="D22" s="82">
        <v>85</v>
      </c>
      <c r="E22" s="82">
        <v>97</v>
      </c>
      <c r="F22" s="82">
        <v>124</v>
      </c>
      <c r="G22" s="82">
        <v>132</v>
      </c>
      <c r="H22" s="82">
        <v>131</v>
      </c>
      <c r="I22" s="82">
        <f>66+36+8+31</f>
        <v>141</v>
      </c>
      <c r="J22" s="93">
        <v>141</v>
      </c>
      <c r="K22" s="626">
        <f>51+45+2+47</f>
        <v>145</v>
      </c>
      <c r="L22" s="626">
        <f>51+39+2+36</f>
        <v>128</v>
      </c>
      <c r="M22" s="470">
        <f>71+40+2+36</f>
        <v>149</v>
      </c>
      <c r="N22" s="14" t="s">
        <v>89</v>
      </c>
    </row>
    <row r="23" spans="2:14" ht="12.75" customHeight="1">
      <c r="B23" s="174" t="s">
        <v>69</v>
      </c>
      <c r="C23" s="236"/>
      <c r="D23" s="214"/>
      <c r="E23" s="214">
        <v>2040</v>
      </c>
      <c r="F23" s="214">
        <v>1453</v>
      </c>
      <c r="G23" s="214">
        <v>1442</v>
      </c>
      <c r="H23" s="214">
        <v>1363</v>
      </c>
      <c r="I23" s="214">
        <f>589+19+466+20+5+335+24</f>
        <v>1458</v>
      </c>
      <c r="J23" s="214">
        <f>43+517+402+342+24</f>
        <v>1328</v>
      </c>
      <c r="K23" s="622">
        <f>19+24+3+501+462+352+24</f>
        <v>1385</v>
      </c>
      <c r="L23" s="622">
        <f>18+24+3+518+462+351+24</f>
        <v>1400</v>
      </c>
      <c r="M23" s="465">
        <f>17+24+3+501+460+164+54+187+3</f>
        <v>1413</v>
      </c>
      <c r="N23" s="174" t="s">
        <v>69</v>
      </c>
    </row>
    <row r="24" spans="2:14" ht="12.75" customHeight="1">
      <c r="B24" s="14" t="s">
        <v>72</v>
      </c>
      <c r="C24" s="228" t="s">
        <v>96</v>
      </c>
      <c r="D24" s="229" t="s">
        <v>96</v>
      </c>
      <c r="E24" s="229" t="s">
        <v>96</v>
      </c>
      <c r="F24" s="229" t="s">
        <v>96</v>
      </c>
      <c r="G24" s="229" t="s">
        <v>96</v>
      </c>
      <c r="H24" s="229" t="s">
        <v>96</v>
      </c>
      <c r="I24" s="229" t="s">
        <v>96</v>
      </c>
      <c r="J24" s="229" t="s">
        <v>96</v>
      </c>
      <c r="K24" s="471" t="s">
        <v>96</v>
      </c>
      <c r="L24" s="471" t="s">
        <v>96</v>
      </c>
      <c r="M24" s="471" t="s">
        <v>96</v>
      </c>
      <c r="N24" s="14" t="s">
        <v>72</v>
      </c>
    </row>
    <row r="25" spans="2:14" ht="12.75" customHeight="1">
      <c r="B25" s="175" t="s">
        <v>80</v>
      </c>
      <c r="C25" s="236">
        <v>2140</v>
      </c>
      <c r="D25" s="214">
        <v>2174</v>
      </c>
      <c r="E25" s="214">
        <v>2372</v>
      </c>
      <c r="F25" s="214">
        <v>1965</v>
      </c>
      <c r="G25" s="214">
        <v>2128</v>
      </c>
      <c r="H25" s="214">
        <v>2029</v>
      </c>
      <c r="I25" s="214">
        <f>16+132+107+24+86+1748+5</f>
        <v>2118</v>
      </c>
      <c r="J25" s="214">
        <f>107+86+1883</f>
        <v>2076</v>
      </c>
      <c r="K25" s="622">
        <f>121+80+1877</f>
        <v>2078</v>
      </c>
      <c r="L25" s="622">
        <f>114+78+1833</f>
        <v>2025</v>
      </c>
      <c r="M25" s="465">
        <f>114+84+1835</f>
        <v>2033</v>
      </c>
      <c r="N25" s="175" t="s">
        <v>80</v>
      </c>
    </row>
    <row r="26" spans="2:14" ht="12.75" customHeight="1">
      <c r="B26" s="14" t="s">
        <v>90</v>
      </c>
      <c r="C26" s="227">
        <v>1423</v>
      </c>
      <c r="D26" s="82">
        <v>1428</v>
      </c>
      <c r="E26" s="82">
        <v>1543</v>
      </c>
      <c r="F26" s="82">
        <v>1530</v>
      </c>
      <c r="G26" s="82">
        <v>1606</v>
      </c>
      <c r="H26" s="82">
        <v>1555</v>
      </c>
      <c r="I26" s="82">
        <f>481+785+129+161</f>
        <v>1556</v>
      </c>
      <c r="J26" s="82">
        <f>13+501+799+15+129+153</f>
        <v>1610</v>
      </c>
      <c r="K26" s="623">
        <f>13+15+401+731+147+193</f>
        <v>1500</v>
      </c>
      <c r="L26" s="623">
        <f>424+795+147+245+13+15</f>
        <v>1639</v>
      </c>
      <c r="M26" s="466">
        <f>13+15+412+800+174+311</f>
        <v>1725</v>
      </c>
      <c r="N26" s="14" t="s">
        <v>90</v>
      </c>
    </row>
    <row r="27" spans="2:14" ht="12.75" customHeight="1">
      <c r="B27" s="174" t="s">
        <v>73</v>
      </c>
      <c r="C27" s="236"/>
      <c r="D27" s="214"/>
      <c r="E27" s="214">
        <v>6801</v>
      </c>
      <c r="F27" s="214">
        <v>5293</v>
      </c>
      <c r="G27" s="214">
        <v>5232</v>
      </c>
      <c r="H27" s="214">
        <v>5028</v>
      </c>
      <c r="I27" s="214">
        <f>2021+1757+21+1176</f>
        <v>4975</v>
      </c>
      <c r="J27" s="214">
        <f>1936+1753+39+1165</f>
        <v>4893</v>
      </c>
      <c r="K27" s="622">
        <f>1867+1732+70+977+74+3</f>
        <v>4723</v>
      </c>
      <c r="L27" s="622">
        <f>1851+1653+82+975</f>
        <v>4561</v>
      </c>
      <c r="M27" s="465">
        <f>1865+1672+91+953</f>
        <v>4581</v>
      </c>
      <c r="N27" s="174" t="s">
        <v>73</v>
      </c>
    </row>
    <row r="28" spans="2:14" ht="12.75" customHeight="1">
      <c r="B28" s="14" t="s">
        <v>91</v>
      </c>
      <c r="C28" s="227">
        <v>626</v>
      </c>
      <c r="D28" s="82">
        <v>583</v>
      </c>
      <c r="E28" s="82">
        <v>530</v>
      </c>
      <c r="F28" s="82">
        <v>589</v>
      </c>
      <c r="G28" s="82">
        <v>536</v>
      </c>
      <c r="H28" s="82">
        <v>515</v>
      </c>
      <c r="I28" s="82">
        <f>141+77+88+200</f>
        <v>506</v>
      </c>
      <c r="J28" s="82">
        <f>112+75+81+195</f>
        <v>463</v>
      </c>
      <c r="K28" s="623">
        <f>84+71+81+203</f>
        <v>439</v>
      </c>
      <c r="L28" s="623">
        <f>79+71+76+203</f>
        <v>429</v>
      </c>
      <c r="M28" s="466">
        <f>83+71+76+203</f>
        <v>433</v>
      </c>
      <c r="N28" s="14" t="s">
        <v>91</v>
      </c>
    </row>
    <row r="29" spans="2:14" ht="12.75" customHeight="1">
      <c r="B29" s="174" t="s">
        <v>74</v>
      </c>
      <c r="C29" s="236"/>
      <c r="D29" s="214">
        <v>4564</v>
      </c>
      <c r="E29" s="214">
        <v>4515</v>
      </c>
      <c r="F29" s="214">
        <v>3440</v>
      </c>
      <c r="G29" s="214">
        <v>3341</v>
      </c>
      <c r="H29" s="214">
        <v>3594</v>
      </c>
      <c r="I29" s="214">
        <f>1157+28+768+16+190+14</f>
        <v>2173</v>
      </c>
      <c r="J29" s="214">
        <f>1065+741+205+15+45</f>
        <v>2071</v>
      </c>
      <c r="K29" s="622">
        <f>487+360+225+578+376+4+13+2+3+2+48+18+31+14+17+8</f>
        <v>2186</v>
      </c>
      <c r="L29" s="622">
        <f>487+360+242+568+376+4+10+13+2+3+2+48+18+36+24+19+8</f>
        <v>2220</v>
      </c>
      <c r="M29" s="465">
        <f>487+365+265+18+568+376+4+45+41+41+22+19+11</f>
        <v>2262</v>
      </c>
      <c r="N29" s="174" t="s">
        <v>74</v>
      </c>
    </row>
    <row r="30" spans="2:14" ht="12.75" customHeight="1">
      <c r="B30" s="14" t="s">
        <v>76</v>
      </c>
      <c r="C30" s="227"/>
      <c r="D30" s="82"/>
      <c r="E30" s="82">
        <v>358</v>
      </c>
      <c r="F30" s="82">
        <v>300</v>
      </c>
      <c r="G30" s="82">
        <v>304</v>
      </c>
      <c r="H30" s="82">
        <v>310</v>
      </c>
      <c r="I30" s="82">
        <f>83+76+72+42</f>
        <v>273</v>
      </c>
      <c r="J30" s="82">
        <f>83+76+72+42</f>
        <v>273</v>
      </c>
      <c r="K30" s="623">
        <f>78+71+70+42</f>
        <v>261</v>
      </c>
      <c r="L30" s="623">
        <f>78+83+70+40</f>
        <v>271</v>
      </c>
      <c r="M30" s="466">
        <f>76+88+70+39</f>
        <v>273</v>
      </c>
      <c r="N30" s="14" t="s">
        <v>76</v>
      </c>
    </row>
    <row r="31" spans="2:14" ht="12.75" customHeight="1">
      <c r="B31" s="174" t="s">
        <v>75</v>
      </c>
      <c r="C31" s="238"/>
      <c r="D31" s="239"/>
      <c r="E31" s="239"/>
      <c r="F31" s="214">
        <v>1570</v>
      </c>
      <c r="G31" s="214">
        <v>1512</v>
      </c>
      <c r="H31" s="214">
        <f>234+86+592+538</f>
        <v>1450</v>
      </c>
      <c r="I31" s="214">
        <f>239+86+588+528</f>
        <v>1441</v>
      </c>
      <c r="J31" s="214">
        <f>203+72+542+517</f>
        <v>1334</v>
      </c>
      <c r="K31" s="630">
        <f>201+48+64+153+448+289+1</f>
        <v>1204</v>
      </c>
      <c r="L31" s="622">
        <f>64+153+172+49+448+289+1</f>
        <v>1176</v>
      </c>
      <c r="M31" s="465">
        <f>5+3+69+153+180+49+464+333+2</f>
        <v>1258</v>
      </c>
      <c r="N31" s="174" t="s">
        <v>75</v>
      </c>
    </row>
    <row r="32" spans="2:14" ht="12.75" customHeight="1">
      <c r="B32" s="14" t="s">
        <v>92</v>
      </c>
      <c r="C32" s="227">
        <v>877</v>
      </c>
      <c r="D32" s="82">
        <v>752</v>
      </c>
      <c r="E32" s="82">
        <v>669</v>
      </c>
      <c r="F32" s="82">
        <v>735</v>
      </c>
      <c r="G32" s="82">
        <v>724</v>
      </c>
      <c r="H32" s="82">
        <v>731</v>
      </c>
      <c r="I32" s="82">
        <f>456+156+119</f>
        <v>731</v>
      </c>
      <c r="J32" s="82">
        <f>452+156+129</f>
        <v>737</v>
      </c>
      <c r="K32" s="623">
        <f>389+156+10+147</f>
        <v>702</v>
      </c>
      <c r="L32" s="623">
        <f>378+156+16+147</f>
        <v>697</v>
      </c>
      <c r="M32" s="466">
        <f>374+156+16+148</f>
        <v>694</v>
      </c>
      <c r="N32" s="14" t="s">
        <v>92</v>
      </c>
    </row>
    <row r="33" spans="2:14" ht="12.75" customHeight="1">
      <c r="B33" s="174" t="s">
        <v>93</v>
      </c>
      <c r="C33" s="236">
        <v>1408</v>
      </c>
      <c r="D33" s="214">
        <v>1576</v>
      </c>
      <c r="E33" s="214">
        <v>1350</v>
      </c>
      <c r="F33" s="214">
        <v>887</v>
      </c>
      <c r="G33" s="214" t="s">
        <v>95</v>
      </c>
      <c r="H33" s="214">
        <v>869</v>
      </c>
      <c r="I33" s="248">
        <f>205+215+115+31+207</f>
        <v>773</v>
      </c>
      <c r="J33" s="222">
        <f>155+231+50+113+5+68</f>
        <v>622</v>
      </c>
      <c r="K33" s="624">
        <f>204+231+98+6+83</f>
        <v>622</v>
      </c>
      <c r="L33" s="214">
        <f>204+231+107+6+96</f>
        <v>644</v>
      </c>
      <c r="M33" s="467">
        <f>204+231+102+6+105</f>
        <v>648</v>
      </c>
      <c r="N33" s="174" t="s">
        <v>93</v>
      </c>
    </row>
    <row r="34" spans="2:14" ht="12.75" customHeight="1">
      <c r="B34" s="15" t="s">
        <v>81</v>
      </c>
      <c r="C34" s="231">
        <v>9510</v>
      </c>
      <c r="D34" s="86">
        <v>5452</v>
      </c>
      <c r="E34" s="86">
        <v>5610</v>
      </c>
      <c r="F34" s="86" t="s">
        <v>95</v>
      </c>
      <c r="G34" s="86" t="s">
        <v>95</v>
      </c>
      <c r="H34" s="86">
        <v>4430</v>
      </c>
      <c r="I34" s="86">
        <f>165+112+1080+2231</f>
        <v>3588</v>
      </c>
      <c r="J34" s="86">
        <f>267+143+1129+1932+2+32</f>
        <v>3505</v>
      </c>
      <c r="K34" s="86">
        <f>227+47+1141+1733+2+5+22</f>
        <v>3177</v>
      </c>
      <c r="L34" s="638">
        <f>227+47+1141+1733+5+118</f>
        <v>3271</v>
      </c>
      <c r="M34" s="472">
        <f>156+88+3508+7492+5+118</f>
        <v>11367</v>
      </c>
      <c r="N34" s="15" t="s">
        <v>81</v>
      </c>
    </row>
    <row r="35" spans="2:14" ht="12.75" customHeight="1">
      <c r="B35" s="174" t="s">
        <v>97</v>
      </c>
      <c r="C35" s="236">
        <v>588</v>
      </c>
      <c r="D35" s="214">
        <v>565</v>
      </c>
      <c r="E35" s="214">
        <v>563</v>
      </c>
      <c r="F35" s="214">
        <v>480</v>
      </c>
      <c r="G35" s="214">
        <v>397</v>
      </c>
      <c r="H35" s="214">
        <v>396</v>
      </c>
      <c r="I35" s="214">
        <f>191+107+70+25</f>
        <v>393</v>
      </c>
      <c r="J35" s="214">
        <f>180+107+78+23</f>
        <v>388</v>
      </c>
      <c r="K35" s="622">
        <f>171+107+76+23</f>
        <v>377</v>
      </c>
      <c r="L35" s="622">
        <f>168+107+76+23</f>
        <v>374</v>
      </c>
      <c r="M35" s="465">
        <f>148+96+73+22</f>
        <v>339</v>
      </c>
      <c r="N35" s="174" t="s">
        <v>97</v>
      </c>
    </row>
    <row r="36" spans="2:14" ht="12.75" customHeight="1">
      <c r="B36" s="14" t="s">
        <v>1</v>
      </c>
      <c r="C36" s="227"/>
      <c r="D36" s="82">
        <v>91</v>
      </c>
      <c r="E36" s="82">
        <v>92</v>
      </c>
      <c r="F36" s="82">
        <v>101</v>
      </c>
      <c r="G36" s="82">
        <v>71</v>
      </c>
      <c r="H36" s="82">
        <v>71</v>
      </c>
      <c r="I36" s="82">
        <v>74</v>
      </c>
      <c r="J36" s="82">
        <f>40+16+13+4</f>
        <v>73</v>
      </c>
      <c r="K36" s="623">
        <f>40+16+13+4</f>
        <v>73</v>
      </c>
      <c r="L36" s="623">
        <f>40+16+12+4</f>
        <v>72</v>
      </c>
      <c r="M36" s="466">
        <f>40+16+12+4</f>
        <v>72</v>
      </c>
      <c r="N36" s="14" t="s">
        <v>1</v>
      </c>
    </row>
    <row r="37" spans="2:14" ht="12.75" customHeight="1">
      <c r="B37" s="176" t="s">
        <v>77</v>
      </c>
      <c r="C37" s="246">
        <v>1055</v>
      </c>
      <c r="D37" s="247">
        <v>1101</v>
      </c>
      <c r="E37" s="247">
        <v>897</v>
      </c>
      <c r="F37" s="217">
        <v>849</v>
      </c>
      <c r="G37" s="217">
        <v>838</v>
      </c>
      <c r="H37" s="217">
        <v>819</v>
      </c>
      <c r="I37" s="217">
        <f>544+74+49+88</f>
        <v>755</v>
      </c>
      <c r="J37" s="217">
        <f>525+73+49+87</f>
        <v>734</v>
      </c>
      <c r="K37" s="627">
        <f>529+71+49+86</f>
        <v>735</v>
      </c>
      <c r="L37" s="627">
        <f>535+67+46+84</f>
        <v>732</v>
      </c>
      <c r="M37" s="473">
        <f>530+67+44+83</f>
        <v>724</v>
      </c>
      <c r="N37" s="176" t="s">
        <v>77</v>
      </c>
    </row>
    <row r="38" spans="2:14" ht="12.75" customHeight="1">
      <c r="B38" s="13" t="s">
        <v>63</v>
      </c>
      <c r="C38" s="228" t="s">
        <v>96</v>
      </c>
      <c r="D38" s="229" t="s">
        <v>96</v>
      </c>
      <c r="E38" s="229" t="s">
        <v>96</v>
      </c>
      <c r="F38" s="229" t="s">
        <v>96</v>
      </c>
      <c r="G38" s="229" t="s">
        <v>96</v>
      </c>
      <c r="H38" s="229" t="s">
        <v>96</v>
      </c>
      <c r="I38" s="229" t="s">
        <v>96</v>
      </c>
      <c r="J38" s="229" t="s">
        <v>96</v>
      </c>
      <c r="K38" s="471" t="s">
        <v>96</v>
      </c>
      <c r="L38" s="471" t="s">
        <v>96</v>
      </c>
      <c r="M38" s="471" t="s">
        <v>96</v>
      </c>
      <c r="N38" s="13" t="s">
        <v>63</v>
      </c>
    </row>
    <row r="39" spans="2:14" ht="12.75" customHeight="1">
      <c r="B39" s="174" t="s">
        <v>94</v>
      </c>
      <c r="C39" s="236">
        <v>439</v>
      </c>
      <c r="D39" s="214">
        <v>430</v>
      </c>
      <c r="E39" s="214">
        <v>502</v>
      </c>
      <c r="F39" s="214">
        <v>299</v>
      </c>
      <c r="G39" s="214">
        <v>303</v>
      </c>
      <c r="H39" s="214">
        <v>269</v>
      </c>
      <c r="I39" s="214">
        <f>30+73+32+131</f>
        <v>266</v>
      </c>
      <c r="J39" s="222">
        <f>32+140+5+31</f>
        <v>208</v>
      </c>
      <c r="K39" s="622">
        <f>41+25+5+31+32+155</f>
        <v>289</v>
      </c>
      <c r="L39" s="622">
        <f>5+31+32+155</f>
        <v>223</v>
      </c>
      <c r="M39" s="465">
        <f>5+31+32+155</f>
        <v>223</v>
      </c>
      <c r="N39" s="174" t="s">
        <v>94</v>
      </c>
    </row>
    <row r="40" spans="2:14" ht="12.75" customHeight="1">
      <c r="B40" s="15" t="s">
        <v>64</v>
      </c>
      <c r="C40" s="232">
        <v>1116</v>
      </c>
      <c r="D40" s="233">
        <v>1205</v>
      </c>
      <c r="E40" s="86">
        <v>1254</v>
      </c>
      <c r="F40" s="86">
        <v>1528</v>
      </c>
      <c r="G40" s="86">
        <v>2011</v>
      </c>
      <c r="H40" s="86">
        <v>2008</v>
      </c>
      <c r="I40" s="86">
        <f>656+68+1067+3+50+311+9</f>
        <v>2164</v>
      </c>
      <c r="J40" s="86">
        <f>31+47+58+9+11+11+719+1000+3+326+9</f>
        <v>2224</v>
      </c>
      <c r="K40" s="474">
        <f>47+59+40+9+681+945+417</f>
        <v>2198</v>
      </c>
      <c r="L40" s="474">
        <f>6+52+94+48+587+901+479</f>
        <v>2167</v>
      </c>
      <c r="M40" s="634">
        <f>6+59+94+40+665+929+479</f>
        <v>2272</v>
      </c>
      <c r="N40" s="15" t="s">
        <v>64</v>
      </c>
    </row>
    <row r="41" spans="2:14" ht="15" customHeight="1">
      <c r="B41" s="893" t="s">
        <v>199</v>
      </c>
      <c r="C41" s="893"/>
      <c r="D41" s="893"/>
      <c r="E41" s="893"/>
      <c r="F41" s="893"/>
      <c r="G41" s="893"/>
      <c r="H41" s="893"/>
      <c r="I41" s="893"/>
      <c r="J41" s="75"/>
      <c r="K41" s="75"/>
      <c r="L41" s="75"/>
      <c r="M41" s="75"/>
      <c r="N41" s="75"/>
    </row>
    <row r="42" spans="2:14" ht="15" customHeight="1">
      <c r="B42" s="3" t="s">
        <v>0</v>
      </c>
      <c r="C42" s="22"/>
      <c r="D42" s="22"/>
      <c r="E42" s="22"/>
      <c r="F42" s="7"/>
      <c r="G42" s="7"/>
      <c r="H42" s="22"/>
      <c r="I42" s="49"/>
      <c r="J42" s="49"/>
      <c r="K42" s="49"/>
      <c r="L42" s="49"/>
      <c r="M42" s="49"/>
      <c r="N42" s="49"/>
    </row>
    <row r="43" spans="2:14" ht="12.75" customHeight="1">
      <c r="B43" s="462" t="s">
        <v>178</v>
      </c>
      <c r="C43" s="22"/>
      <c r="D43" s="22"/>
      <c r="E43" s="22"/>
      <c r="F43" s="7"/>
      <c r="G43" s="7"/>
      <c r="H43" s="22"/>
      <c r="I43" s="49"/>
      <c r="J43" s="49"/>
      <c r="K43" s="49"/>
      <c r="L43" s="49"/>
      <c r="M43" s="49"/>
      <c r="N43" s="49"/>
    </row>
    <row r="44" spans="2:14" ht="12.75" customHeight="1">
      <c r="B44" s="840" t="s">
        <v>189</v>
      </c>
      <c r="C44" s="840"/>
      <c r="D44" s="840"/>
      <c r="E44" s="840"/>
      <c r="F44" s="840"/>
      <c r="G44" s="840"/>
      <c r="H44" s="840"/>
      <c r="I44" s="840"/>
      <c r="J44" s="61"/>
      <c r="K44" s="61"/>
      <c r="L44" s="61"/>
      <c r="M44" s="61"/>
      <c r="N44" s="61"/>
    </row>
    <row r="45" spans="2:14" ht="12.75" customHeight="1">
      <c r="B45" s="934" t="s">
        <v>58</v>
      </c>
      <c r="C45" s="934"/>
      <c r="D45" s="934"/>
      <c r="E45" s="934"/>
      <c r="F45" s="934"/>
      <c r="G45" s="934"/>
      <c r="H45" s="934"/>
      <c r="I45" s="934"/>
      <c r="J45" s="47"/>
      <c r="K45" s="47"/>
      <c r="L45" s="47"/>
      <c r="M45" s="47"/>
      <c r="N45" s="47"/>
    </row>
  </sheetData>
  <mergeCells count="5">
    <mergeCell ref="B45:I45"/>
    <mergeCell ref="B41:I41"/>
    <mergeCell ref="B44:I44"/>
    <mergeCell ref="B2:N2"/>
    <mergeCell ref="B3:N3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43"/>
  <dimension ref="A1:N4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6" width="7.7109375" style="4" customWidth="1"/>
    <col min="7" max="8" width="7.7109375" style="4" hidden="1" customWidth="1"/>
    <col min="9" max="10" width="7.7109375" style="4" customWidth="1"/>
    <col min="11" max="13" width="8.28125" style="4" customWidth="1"/>
    <col min="14" max="14" width="4.00390625" style="4" customWidth="1"/>
    <col min="15" max="16384" width="9.140625" style="4" customWidth="1"/>
  </cols>
  <sheetData>
    <row r="1" spans="1:14" s="18" customFormat="1" ht="14.25" customHeight="1">
      <c r="A1" s="66"/>
      <c r="B1" s="60"/>
      <c r="C1" s="42"/>
      <c r="D1" s="42"/>
      <c r="E1" s="42"/>
      <c r="F1" s="42"/>
      <c r="K1" s="65"/>
      <c r="L1" s="65"/>
      <c r="M1" s="65"/>
      <c r="N1" s="65" t="s">
        <v>115</v>
      </c>
    </row>
    <row r="2" spans="1:14" s="189" customFormat="1" ht="30" customHeight="1">
      <c r="A2" s="402"/>
      <c r="B2" s="895" t="s">
        <v>23</v>
      </c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</row>
    <row r="3" spans="1:14" s="18" customFormat="1" ht="18" customHeight="1">
      <c r="A3" s="66"/>
      <c r="B3" s="883" t="s">
        <v>14</v>
      </c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</row>
    <row r="4" spans="1:14" ht="24.75" customHeight="1">
      <c r="A4" s="2"/>
      <c r="B4" s="5"/>
      <c r="C4" s="178">
        <v>1970</v>
      </c>
      <c r="D4" s="179">
        <v>1980</v>
      </c>
      <c r="E4" s="179">
        <v>1990</v>
      </c>
      <c r="F4" s="179">
        <v>2000</v>
      </c>
      <c r="G4" s="179">
        <v>2001</v>
      </c>
      <c r="H4" s="179">
        <v>2002</v>
      </c>
      <c r="I4" s="179">
        <v>2003</v>
      </c>
      <c r="J4" s="179">
        <v>2004</v>
      </c>
      <c r="K4" s="179">
        <v>2005</v>
      </c>
      <c r="L4" s="179">
        <v>2006</v>
      </c>
      <c r="M4" s="180">
        <v>2007</v>
      </c>
      <c r="N4" s="10"/>
    </row>
    <row r="5" spans="1:14" ht="12.75" customHeight="1">
      <c r="A5" s="2"/>
      <c r="B5" s="177" t="s">
        <v>47</v>
      </c>
      <c r="C5" s="241"/>
      <c r="D5" s="242"/>
      <c r="E5" s="243"/>
      <c r="F5" s="242"/>
      <c r="G5" s="242"/>
      <c r="H5" s="242"/>
      <c r="I5" s="242"/>
      <c r="J5" s="242">
        <f>SUM(J8:J34)</f>
        <v>101549</v>
      </c>
      <c r="K5" s="619">
        <f>SUM(K8:K34)</f>
        <v>98929</v>
      </c>
      <c r="L5" s="619">
        <f>SUM(L8:L34)</f>
        <v>96654</v>
      </c>
      <c r="M5" s="619">
        <f>SUM(M8:M34)</f>
        <v>95770</v>
      </c>
      <c r="N5" s="177" t="s">
        <v>47</v>
      </c>
    </row>
    <row r="6" spans="1:14" ht="12.75" customHeight="1">
      <c r="A6" s="12"/>
      <c r="B6" s="174" t="s">
        <v>82</v>
      </c>
      <c r="C6" s="510">
        <f>SUM(C8,C11:C12,C14:C18,C22,C25:C26,C28,C32:C34)</f>
        <v>97726</v>
      </c>
      <c r="D6" s="440">
        <f>SUM(D8,D11:D12,D14:D18,D22,D25:D26,D28,D32:D34)</f>
        <v>95907</v>
      </c>
      <c r="E6" s="440"/>
      <c r="F6" s="440"/>
      <c r="G6" s="440"/>
      <c r="H6" s="440"/>
      <c r="I6" s="440"/>
      <c r="J6" s="440">
        <f>SUM(J8,J11:J12,J14:J18,J22,J25:J26,J28,J32:J34)</f>
        <v>75901</v>
      </c>
      <c r="K6" s="620">
        <f>SUM(K8,K11:K12,K14:K18,K22,K25:K26,K28,K32:K34)</f>
        <v>75305</v>
      </c>
      <c r="L6" s="620">
        <f>SUM(L8,L11:L12,L14:L18,L22,L25:L26,L28,L32:L34)</f>
        <v>73503</v>
      </c>
      <c r="M6" s="620">
        <f>SUM(M8,M11:M12,M14:M18,M22,M25:M26,M28,M32:M34)</f>
        <v>72318</v>
      </c>
      <c r="N6" s="174" t="s">
        <v>82</v>
      </c>
    </row>
    <row r="7" spans="1:14" ht="12.75" customHeight="1">
      <c r="A7" s="12"/>
      <c r="B7" s="176" t="s">
        <v>175</v>
      </c>
      <c r="C7" s="244"/>
      <c r="D7" s="245"/>
      <c r="E7" s="245"/>
      <c r="F7" s="245">
        <f aca="true" t="shared" si="0" ref="F7:K7">SUM(F9,F10,F13,F19,F20,F21,F23,F24,F27,F29,F30,F31)</f>
        <v>30818</v>
      </c>
      <c r="G7" s="245">
        <f t="shared" si="0"/>
        <v>29925</v>
      </c>
      <c r="H7" s="245">
        <f t="shared" si="0"/>
        <v>28546</v>
      </c>
      <c r="I7" s="245">
        <f t="shared" si="0"/>
        <v>25978</v>
      </c>
      <c r="J7" s="245">
        <f t="shared" si="0"/>
        <v>25648</v>
      </c>
      <c r="K7" s="463">
        <f t="shared" si="0"/>
        <v>23624</v>
      </c>
      <c r="L7" s="463">
        <f>SUM(L9,L10,L13,L19,L20,L21,L23,L24,L27,L29,L30,L31)</f>
        <v>23151</v>
      </c>
      <c r="M7" s="463">
        <f>SUM(M9,M10,M13,M19,M20,M21,M23,M24,M27,M29,M30,M31)</f>
        <v>23452</v>
      </c>
      <c r="N7" s="176" t="s">
        <v>175</v>
      </c>
    </row>
    <row r="8" spans="1:14" ht="12.75" customHeight="1">
      <c r="A8" s="12"/>
      <c r="B8" s="13" t="s">
        <v>83</v>
      </c>
      <c r="C8" s="226">
        <v>3415</v>
      </c>
      <c r="D8" s="92">
        <v>3609</v>
      </c>
      <c r="E8" s="92">
        <v>3286</v>
      </c>
      <c r="F8" s="92">
        <v>3494</v>
      </c>
      <c r="G8" s="92">
        <v>3462</v>
      </c>
      <c r="H8" s="92">
        <v>3413</v>
      </c>
      <c r="I8" s="92">
        <v>3358</v>
      </c>
      <c r="J8" s="92">
        <v>3292</v>
      </c>
      <c r="K8" s="621">
        <v>3251</v>
      </c>
      <c r="L8" s="621">
        <v>3235</v>
      </c>
      <c r="M8" s="464">
        <v>3275</v>
      </c>
      <c r="N8" s="13" t="s">
        <v>83</v>
      </c>
    </row>
    <row r="9" spans="1:14" ht="12.75" customHeight="1">
      <c r="A9" s="12"/>
      <c r="B9" s="174" t="s">
        <v>65</v>
      </c>
      <c r="C9" s="236">
        <v>1762</v>
      </c>
      <c r="D9" s="214">
        <v>2441</v>
      </c>
      <c r="E9" s="214">
        <v>2386</v>
      </c>
      <c r="F9" s="214">
        <v>2099</v>
      </c>
      <c r="G9" s="214">
        <v>1935</v>
      </c>
      <c r="H9" s="214">
        <v>1655</v>
      </c>
      <c r="I9" s="214">
        <v>1705</v>
      </c>
      <c r="J9" s="214">
        <f>1680+69</f>
        <v>1749</v>
      </c>
      <c r="K9" s="622">
        <f>1489+69</f>
        <v>1558</v>
      </c>
      <c r="L9" s="622">
        <f>1462+69</f>
        <v>1531</v>
      </c>
      <c r="M9" s="465">
        <f>1483+67</f>
        <v>1550</v>
      </c>
      <c r="N9" s="174" t="s">
        <v>65</v>
      </c>
    </row>
    <row r="10" spans="1:14" ht="12.75" customHeight="1">
      <c r="A10" s="12"/>
      <c r="B10" s="14" t="s">
        <v>67</v>
      </c>
      <c r="C10" s="228"/>
      <c r="D10" s="229"/>
      <c r="E10" s="229"/>
      <c r="F10" s="82">
        <v>5252</v>
      </c>
      <c r="G10" s="82">
        <v>5223</v>
      </c>
      <c r="H10" s="82">
        <v>5103</v>
      </c>
      <c r="I10" s="82">
        <v>5085</v>
      </c>
      <c r="J10" s="82">
        <v>4985</v>
      </c>
      <c r="K10" s="623">
        <f>4887+8</f>
        <v>4895</v>
      </c>
      <c r="L10" s="623">
        <f>4759+8</f>
        <v>4767</v>
      </c>
      <c r="M10" s="466">
        <f>4558+8</f>
        <v>4566</v>
      </c>
      <c r="N10" s="14" t="s">
        <v>67</v>
      </c>
    </row>
    <row r="11" spans="1:14" ht="12.75" customHeight="1">
      <c r="A11" s="12"/>
      <c r="B11" s="174" t="s">
        <v>78</v>
      </c>
      <c r="C11" s="236">
        <v>1526</v>
      </c>
      <c r="D11" s="214">
        <v>1613</v>
      </c>
      <c r="E11" s="214">
        <v>1594</v>
      </c>
      <c r="F11" s="214">
        <v>1590</v>
      </c>
      <c r="G11" s="214">
        <v>1573</v>
      </c>
      <c r="H11" s="214">
        <v>1704</v>
      </c>
      <c r="I11" s="214">
        <v>1538</v>
      </c>
      <c r="J11" s="214">
        <v>1525</v>
      </c>
      <c r="K11" s="622">
        <v>1473</v>
      </c>
      <c r="L11" s="622">
        <v>1473</v>
      </c>
      <c r="M11" s="465">
        <v>1473</v>
      </c>
      <c r="N11" s="174" t="s">
        <v>78</v>
      </c>
    </row>
    <row r="12" spans="1:14" ht="12.75" customHeight="1">
      <c r="A12" s="12"/>
      <c r="B12" s="14" t="s">
        <v>84</v>
      </c>
      <c r="C12" s="508">
        <v>31506</v>
      </c>
      <c r="D12" s="82">
        <v>29118</v>
      </c>
      <c r="E12" s="82">
        <v>24139</v>
      </c>
      <c r="F12" s="82">
        <v>21097</v>
      </c>
      <c r="G12" s="82">
        <v>21139</v>
      </c>
      <c r="H12" s="82">
        <v>21728</v>
      </c>
      <c r="I12" s="82">
        <f>20916+76</f>
        <v>20992</v>
      </c>
      <c r="J12" s="82">
        <v>20396</v>
      </c>
      <c r="K12" s="623">
        <v>20169</v>
      </c>
      <c r="L12" s="623">
        <v>18174</v>
      </c>
      <c r="M12" s="466">
        <v>17537</v>
      </c>
      <c r="N12" s="14" t="s">
        <v>84</v>
      </c>
    </row>
    <row r="13" spans="1:14" ht="12.75" customHeight="1">
      <c r="A13" s="12"/>
      <c r="B13" s="174" t="s">
        <v>68</v>
      </c>
      <c r="C13" s="236"/>
      <c r="D13" s="214"/>
      <c r="E13" s="237">
        <v>596</v>
      </c>
      <c r="F13" s="214">
        <v>241</v>
      </c>
      <c r="G13" s="214">
        <v>308</v>
      </c>
      <c r="H13" s="214">
        <v>203</v>
      </c>
      <c r="I13" s="214">
        <v>251</v>
      </c>
      <c r="J13" s="214">
        <v>243</v>
      </c>
      <c r="K13" s="622">
        <v>183</v>
      </c>
      <c r="L13" s="622">
        <v>185</v>
      </c>
      <c r="M13" s="465">
        <v>189</v>
      </c>
      <c r="N13" s="174" t="s">
        <v>68</v>
      </c>
    </row>
    <row r="14" spans="1:14" ht="12.75" customHeight="1">
      <c r="A14" s="12"/>
      <c r="B14" s="14" t="s">
        <v>87</v>
      </c>
      <c r="C14" s="227">
        <v>484</v>
      </c>
      <c r="D14" s="82">
        <v>348</v>
      </c>
      <c r="E14" s="82">
        <v>314</v>
      </c>
      <c r="F14" s="82">
        <v>421</v>
      </c>
      <c r="G14" s="82">
        <v>418</v>
      </c>
      <c r="H14" s="82">
        <v>419</v>
      </c>
      <c r="I14" s="82">
        <v>405</v>
      </c>
      <c r="J14" s="82">
        <v>554</v>
      </c>
      <c r="K14" s="623">
        <v>581</v>
      </c>
      <c r="L14" s="623">
        <v>581</v>
      </c>
      <c r="M14" s="466">
        <v>581</v>
      </c>
      <c r="N14" s="14" t="s">
        <v>87</v>
      </c>
    </row>
    <row r="15" spans="1:14" ht="12.75" customHeight="1">
      <c r="A15" s="12"/>
      <c r="B15" s="174" t="s">
        <v>79</v>
      </c>
      <c r="C15" s="236">
        <v>574</v>
      </c>
      <c r="D15" s="214">
        <v>660</v>
      </c>
      <c r="E15" s="214">
        <v>810</v>
      </c>
      <c r="F15" s="214">
        <v>505</v>
      </c>
      <c r="G15" s="214">
        <v>509</v>
      </c>
      <c r="H15" s="214">
        <v>660</v>
      </c>
      <c r="I15" s="214">
        <v>457</v>
      </c>
      <c r="J15" s="214">
        <f>376+138</f>
        <v>514</v>
      </c>
      <c r="K15" s="622">
        <f>427+137</f>
        <v>564</v>
      </c>
      <c r="L15" s="622">
        <f>509+82</f>
        <v>591</v>
      </c>
      <c r="M15" s="465">
        <f>674+107</f>
        <v>781</v>
      </c>
      <c r="N15" s="174" t="s">
        <v>79</v>
      </c>
    </row>
    <row r="16" spans="1:14" ht="12.75" customHeight="1">
      <c r="A16" s="12"/>
      <c r="B16" s="14" t="s">
        <v>85</v>
      </c>
      <c r="C16" s="227">
        <v>3904</v>
      </c>
      <c r="D16" s="82">
        <v>3721</v>
      </c>
      <c r="E16" s="82">
        <v>3839</v>
      </c>
      <c r="F16" s="82">
        <v>3765</v>
      </c>
      <c r="G16" s="82">
        <v>4262</v>
      </c>
      <c r="H16" s="82">
        <v>4345</v>
      </c>
      <c r="I16" s="82">
        <f>157+236+151+87+3623+144+10</f>
        <v>4408</v>
      </c>
      <c r="J16" s="82">
        <f>157+238+148+87+3645+188+10</f>
        <v>4473</v>
      </c>
      <c r="K16" s="623">
        <f>157+248+148+108+4192+376+10</f>
        <v>5239</v>
      </c>
      <c r="L16" s="623">
        <f>157+268+148+126+3949+376</f>
        <v>5024</v>
      </c>
      <c r="M16" s="466">
        <f>274+148+126+3858+454</f>
        <v>4860</v>
      </c>
      <c r="N16" s="14" t="s">
        <v>85</v>
      </c>
    </row>
    <row r="17" spans="1:14" ht="12.75" customHeight="1">
      <c r="A17" s="12"/>
      <c r="B17" s="174" t="s">
        <v>86</v>
      </c>
      <c r="C17" s="236">
        <v>15663</v>
      </c>
      <c r="D17" s="214">
        <v>16032</v>
      </c>
      <c r="E17" s="214">
        <v>15748</v>
      </c>
      <c r="F17" s="214">
        <v>15656</v>
      </c>
      <c r="G17" s="214">
        <v>15650</v>
      </c>
      <c r="H17" s="214">
        <v>15685</v>
      </c>
      <c r="I17" s="214">
        <v>15553</v>
      </c>
      <c r="J17" s="214">
        <v>15630</v>
      </c>
      <c r="K17" s="622">
        <f>15830+49</f>
        <v>15879</v>
      </c>
      <c r="L17" s="622">
        <f>15943+52</f>
        <v>15995</v>
      </c>
      <c r="M17" s="465">
        <f>15808+55</f>
        <v>15863</v>
      </c>
      <c r="N17" s="174" t="s">
        <v>86</v>
      </c>
    </row>
    <row r="18" spans="1:14" ht="12.75" customHeight="1">
      <c r="A18" s="12"/>
      <c r="B18" s="14" t="s">
        <v>88</v>
      </c>
      <c r="C18" s="227">
        <v>11060</v>
      </c>
      <c r="D18" s="82">
        <v>13444</v>
      </c>
      <c r="E18" s="82">
        <v>14025</v>
      </c>
      <c r="F18" s="82">
        <v>11914</v>
      </c>
      <c r="G18" s="82">
        <v>11933</v>
      </c>
      <c r="H18" s="82">
        <v>11007</v>
      </c>
      <c r="I18" s="82">
        <f>10374+439</f>
        <v>10813</v>
      </c>
      <c r="J18" s="82">
        <f>10036+241</f>
        <v>10277</v>
      </c>
      <c r="K18" s="623">
        <f>241+9825</f>
        <v>10066</v>
      </c>
      <c r="L18" s="623">
        <f>425+9993</f>
        <v>10418</v>
      </c>
      <c r="M18" s="466">
        <f>425+9749</f>
        <v>10174</v>
      </c>
      <c r="N18" s="14" t="s">
        <v>88</v>
      </c>
    </row>
    <row r="19" spans="1:14" ht="12.75" customHeight="1">
      <c r="A19" s="12"/>
      <c r="B19" s="174" t="s">
        <v>66</v>
      </c>
      <c r="C19" s="238" t="s">
        <v>96</v>
      </c>
      <c r="D19" s="239" t="s">
        <v>96</v>
      </c>
      <c r="E19" s="239" t="s">
        <v>96</v>
      </c>
      <c r="F19" s="239" t="s">
        <v>96</v>
      </c>
      <c r="G19" s="239" t="s">
        <v>96</v>
      </c>
      <c r="H19" s="239" t="s">
        <v>96</v>
      </c>
      <c r="I19" s="239" t="s">
        <v>96</v>
      </c>
      <c r="J19" s="239" t="s">
        <v>96</v>
      </c>
      <c r="K19" s="469" t="s">
        <v>96</v>
      </c>
      <c r="L19" s="469" t="s">
        <v>96</v>
      </c>
      <c r="M19" s="469" t="s">
        <v>96</v>
      </c>
      <c r="N19" s="174" t="s">
        <v>66</v>
      </c>
    </row>
    <row r="20" spans="1:14" ht="12.75" customHeight="1">
      <c r="A20" s="12"/>
      <c r="B20" s="14" t="s">
        <v>70</v>
      </c>
      <c r="C20" s="227"/>
      <c r="D20" s="82"/>
      <c r="E20" s="82">
        <v>1226</v>
      </c>
      <c r="F20" s="82">
        <v>702</v>
      </c>
      <c r="G20" s="82">
        <v>621</v>
      </c>
      <c r="H20" s="82">
        <v>597</v>
      </c>
      <c r="I20" s="82">
        <v>579</v>
      </c>
      <c r="J20" s="82">
        <v>535</v>
      </c>
      <c r="K20" s="623">
        <v>490</v>
      </c>
      <c r="L20" s="623">
        <v>490</v>
      </c>
      <c r="M20" s="466">
        <v>491</v>
      </c>
      <c r="N20" s="14" t="s">
        <v>70</v>
      </c>
    </row>
    <row r="21" spans="1:14" ht="12.75" customHeight="1">
      <c r="A21" s="12"/>
      <c r="B21" s="174" t="s">
        <v>71</v>
      </c>
      <c r="C21" s="236"/>
      <c r="D21" s="214"/>
      <c r="E21" s="237">
        <v>664</v>
      </c>
      <c r="F21" s="214">
        <v>563</v>
      </c>
      <c r="G21" s="214">
        <v>537</v>
      </c>
      <c r="H21" s="214">
        <v>509</v>
      </c>
      <c r="I21" s="214">
        <v>480</v>
      </c>
      <c r="J21" s="214">
        <v>475</v>
      </c>
      <c r="K21" s="622">
        <v>467</v>
      </c>
      <c r="L21" s="622">
        <v>458</v>
      </c>
      <c r="M21" s="465">
        <v>423</v>
      </c>
      <c r="N21" s="174" t="s">
        <v>71</v>
      </c>
    </row>
    <row r="22" spans="1:14" ht="12.75" customHeight="1">
      <c r="A22" s="12"/>
      <c r="B22" s="14" t="s">
        <v>89</v>
      </c>
      <c r="C22" s="227">
        <v>114</v>
      </c>
      <c r="D22" s="82">
        <v>102</v>
      </c>
      <c r="E22" s="82">
        <v>114</v>
      </c>
      <c r="F22" s="82">
        <v>149</v>
      </c>
      <c r="G22" s="82">
        <v>152</v>
      </c>
      <c r="H22" s="82">
        <v>150</v>
      </c>
      <c r="I22" s="82">
        <v>150</v>
      </c>
      <c r="J22" s="82">
        <v>212</v>
      </c>
      <c r="K22" s="623">
        <v>185</v>
      </c>
      <c r="L22" s="623">
        <v>191</v>
      </c>
      <c r="M22" s="466">
        <v>191</v>
      </c>
      <c r="N22" s="14" t="s">
        <v>89</v>
      </c>
    </row>
    <row r="23" spans="1:14" ht="12.75" customHeight="1">
      <c r="A23" s="12"/>
      <c r="B23" s="174" t="s">
        <v>69</v>
      </c>
      <c r="C23" s="236"/>
      <c r="D23" s="214"/>
      <c r="E23" s="214">
        <v>4385</v>
      </c>
      <c r="F23" s="214">
        <v>3232</v>
      </c>
      <c r="G23" s="214">
        <v>3142</v>
      </c>
      <c r="H23" s="214">
        <v>3376</v>
      </c>
      <c r="I23" s="214">
        <f>52+2882+81</f>
        <v>3015</v>
      </c>
      <c r="J23" s="214">
        <f>65+3249+82</f>
        <v>3396</v>
      </c>
      <c r="K23" s="622">
        <f>2646+76+65</f>
        <v>2787</v>
      </c>
      <c r="L23" s="622">
        <f>65+2657+75</f>
        <v>2797</v>
      </c>
      <c r="M23" s="465">
        <f>65+2520+787</f>
        <v>3372</v>
      </c>
      <c r="N23" s="174" t="s">
        <v>69</v>
      </c>
    </row>
    <row r="24" spans="1:14" ht="12.75" customHeight="1">
      <c r="A24" s="12"/>
      <c r="B24" s="14" t="s">
        <v>72</v>
      </c>
      <c r="C24" s="228" t="s">
        <v>96</v>
      </c>
      <c r="D24" s="229" t="s">
        <v>96</v>
      </c>
      <c r="E24" s="229" t="s">
        <v>96</v>
      </c>
      <c r="F24" s="229" t="s">
        <v>96</v>
      </c>
      <c r="G24" s="229" t="s">
        <v>96</v>
      </c>
      <c r="H24" s="229" t="s">
        <v>96</v>
      </c>
      <c r="I24" s="229" t="s">
        <v>96</v>
      </c>
      <c r="J24" s="229" t="s">
        <v>96</v>
      </c>
      <c r="K24" s="471" t="s">
        <v>96</v>
      </c>
      <c r="L24" s="471" t="s">
        <v>96</v>
      </c>
      <c r="M24" s="471" t="s">
        <v>96</v>
      </c>
      <c r="N24" s="14" t="s">
        <v>72</v>
      </c>
    </row>
    <row r="25" spans="1:14" ht="12.75" customHeight="1">
      <c r="A25" s="12"/>
      <c r="B25" s="175" t="s">
        <v>80</v>
      </c>
      <c r="C25" s="236">
        <v>1919</v>
      </c>
      <c r="D25" s="214">
        <v>1958</v>
      </c>
      <c r="E25" s="214">
        <v>2268</v>
      </c>
      <c r="F25" s="214">
        <v>2742</v>
      </c>
      <c r="G25" s="214">
        <v>2742</v>
      </c>
      <c r="H25" s="214">
        <v>2693</v>
      </c>
      <c r="I25" s="249">
        <v>2758</v>
      </c>
      <c r="J25" s="214">
        <v>833</v>
      </c>
      <c r="K25" s="622">
        <v>852</v>
      </c>
      <c r="L25" s="622">
        <v>870</v>
      </c>
      <c r="M25" s="465">
        <v>833</v>
      </c>
      <c r="N25" s="175" t="s">
        <v>80</v>
      </c>
    </row>
    <row r="26" spans="1:14" ht="12.75" customHeight="1">
      <c r="A26" s="12"/>
      <c r="B26" s="14" t="s">
        <v>90</v>
      </c>
      <c r="C26" s="227">
        <v>4125</v>
      </c>
      <c r="D26" s="82">
        <v>4025</v>
      </c>
      <c r="E26" s="82">
        <v>3689</v>
      </c>
      <c r="F26" s="82">
        <v>3468</v>
      </c>
      <c r="G26" s="82">
        <v>3332</v>
      </c>
      <c r="H26" s="82">
        <v>3320</v>
      </c>
      <c r="I26" s="82">
        <f>21+3017+111+26</f>
        <v>3175</v>
      </c>
      <c r="J26" s="82">
        <f>24+2938+140</f>
        <v>3102</v>
      </c>
      <c r="K26" s="623">
        <f>24+2949+139</f>
        <v>3112</v>
      </c>
      <c r="L26" s="623">
        <f>24+3016</f>
        <v>3040</v>
      </c>
      <c r="M26" s="466">
        <f>24+2954</f>
        <v>2978</v>
      </c>
      <c r="N26" s="14" t="s">
        <v>90</v>
      </c>
    </row>
    <row r="27" spans="1:14" ht="12.75" customHeight="1">
      <c r="A27" s="12"/>
      <c r="B27" s="174" t="s">
        <v>73</v>
      </c>
      <c r="C27" s="236">
        <v>8522</v>
      </c>
      <c r="D27" s="214">
        <v>7493</v>
      </c>
      <c r="E27" s="214">
        <v>11928</v>
      </c>
      <c r="F27" s="214">
        <v>9761</v>
      </c>
      <c r="G27" s="214">
        <v>9529</v>
      </c>
      <c r="H27" s="214">
        <v>8965</v>
      </c>
      <c r="I27" s="214">
        <v>8818</v>
      </c>
      <c r="J27" s="214">
        <v>8658</v>
      </c>
      <c r="K27" s="622">
        <v>7725</v>
      </c>
      <c r="L27" s="622">
        <v>7416</v>
      </c>
      <c r="M27" s="465">
        <v>7255</v>
      </c>
      <c r="N27" s="174" t="s">
        <v>73</v>
      </c>
    </row>
    <row r="28" spans="1:14" ht="12.75" customHeight="1">
      <c r="A28" s="12"/>
      <c r="B28" s="14" t="s">
        <v>91</v>
      </c>
      <c r="C28" s="227">
        <v>980</v>
      </c>
      <c r="D28" s="82">
        <v>1137</v>
      </c>
      <c r="E28" s="82">
        <v>1232</v>
      </c>
      <c r="F28" s="82">
        <v>1303</v>
      </c>
      <c r="G28" s="82">
        <v>1313</v>
      </c>
      <c r="H28" s="234"/>
      <c r="I28" s="82">
        <f>1184+19</f>
        <v>1203</v>
      </c>
      <c r="J28" s="82">
        <f>1131+19</f>
        <v>1150</v>
      </c>
      <c r="K28" s="623">
        <f>1106+19</f>
        <v>1125</v>
      </c>
      <c r="L28" s="623">
        <f>1043+19</f>
        <v>1062</v>
      </c>
      <c r="M28" s="466">
        <f>1041+19</f>
        <v>1060</v>
      </c>
      <c r="N28" s="14" t="s">
        <v>91</v>
      </c>
    </row>
    <row r="29" spans="1:14" ht="12.75" customHeight="1">
      <c r="A29" s="12"/>
      <c r="B29" s="174" t="s">
        <v>74</v>
      </c>
      <c r="C29" s="236"/>
      <c r="D29" s="214">
        <v>5579</v>
      </c>
      <c r="E29" s="214">
        <v>6352</v>
      </c>
      <c r="F29" s="214">
        <v>6234</v>
      </c>
      <c r="G29" s="214">
        <v>6245</v>
      </c>
      <c r="H29" s="249">
        <v>5467</v>
      </c>
      <c r="I29" s="222">
        <v>3629</v>
      </c>
      <c r="J29" s="222">
        <v>3407</v>
      </c>
      <c r="K29" s="624">
        <v>3310</v>
      </c>
      <c r="L29" s="624">
        <v>3380</v>
      </c>
      <c r="M29" s="467">
        <v>3462</v>
      </c>
      <c r="N29" s="174" t="s">
        <v>74</v>
      </c>
    </row>
    <row r="30" spans="1:14" ht="12.75" customHeight="1">
      <c r="A30" s="12"/>
      <c r="B30" s="14" t="s">
        <v>76</v>
      </c>
      <c r="C30" s="227"/>
      <c r="D30" s="82"/>
      <c r="E30" s="82">
        <v>606</v>
      </c>
      <c r="F30" s="82">
        <v>461</v>
      </c>
      <c r="G30" s="82">
        <v>470</v>
      </c>
      <c r="H30" s="82">
        <v>482</v>
      </c>
      <c r="I30" s="82">
        <v>432</v>
      </c>
      <c r="J30" s="82">
        <v>403</v>
      </c>
      <c r="K30" s="623">
        <v>401</v>
      </c>
      <c r="L30" s="623">
        <v>400</v>
      </c>
      <c r="M30" s="466">
        <v>373</v>
      </c>
      <c r="N30" s="14" t="s">
        <v>76</v>
      </c>
    </row>
    <row r="31" spans="1:14" ht="12.75" customHeight="1">
      <c r="A31" s="12"/>
      <c r="B31" s="174" t="s">
        <v>75</v>
      </c>
      <c r="C31" s="238"/>
      <c r="D31" s="239"/>
      <c r="E31" s="239"/>
      <c r="F31" s="214">
        <v>2273</v>
      </c>
      <c r="G31" s="214">
        <v>1915</v>
      </c>
      <c r="H31" s="214">
        <v>2189</v>
      </c>
      <c r="I31" s="214">
        <f>1939+45</f>
        <v>1984</v>
      </c>
      <c r="J31" s="214">
        <f>1768+27+2</f>
        <v>1797</v>
      </c>
      <c r="K31" s="622">
        <f>1782+26</f>
        <v>1808</v>
      </c>
      <c r="L31" s="622">
        <f>1671+56</f>
        <v>1727</v>
      </c>
      <c r="M31" s="465">
        <f>1713+58</f>
        <v>1771</v>
      </c>
      <c r="N31" s="174" t="s">
        <v>75</v>
      </c>
    </row>
    <row r="32" spans="1:14" ht="12.75" customHeight="1">
      <c r="A32" s="12"/>
      <c r="B32" s="14" t="s">
        <v>92</v>
      </c>
      <c r="C32" s="227">
        <v>1032</v>
      </c>
      <c r="D32" s="82">
        <v>1100</v>
      </c>
      <c r="E32" s="82">
        <v>957</v>
      </c>
      <c r="F32" s="82">
        <v>1003</v>
      </c>
      <c r="G32" s="82">
        <v>1011</v>
      </c>
      <c r="H32" s="82">
        <v>1030</v>
      </c>
      <c r="I32" s="82">
        <v>1060</v>
      </c>
      <c r="J32" s="82">
        <v>1029</v>
      </c>
      <c r="K32" s="623">
        <v>1084</v>
      </c>
      <c r="L32" s="623">
        <v>1083</v>
      </c>
      <c r="M32" s="466">
        <v>1024</v>
      </c>
      <c r="N32" s="14" t="s">
        <v>92</v>
      </c>
    </row>
    <row r="33" spans="1:14" ht="12.75" customHeight="1">
      <c r="A33" s="12"/>
      <c r="B33" s="174" t="s">
        <v>93</v>
      </c>
      <c r="C33" s="236">
        <v>2746</v>
      </c>
      <c r="D33" s="214">
        <v>1998</v>
      </c>
      <c r="E33" s="249">
        <v>1747</v>
      </c>
      <c r="F33" s="214">
        <v>1000</v>
      </c>
      <c r="G33" s="214"/>
      <c r="H33" s="214">
        <v>1263</v>
      </c>
      <c r="I33" s="214">
        <v>879</v>
      </c>
      <c r="J33" s="214">
        <v>771</v>
      </c>
      <c r="K33" s="622">
        <v>791</v>
      </c>
      <c r="L33" s="622">
        <v>832</v>
      </c>
      <c r="M33" s="465">
        <v>792</v>
      </c>
      <c r="N33" s="174" t="s">
        <v>93</v>
      </c>
    </row>
    <row r="34" spans="1:14" ht="12.75" customHeight="1">
      <c r="A34" s="12"/>
      <c r="B34" s="225" t="s">
        <v>81</v>
      </c>
      <c r="C34" s="235">
        <v>18678</v>
      </c>
      <c r="D34" s="639">
        <v>17042</v>
      </c>
      <c r="E34" s="640"/>
      <c r="F34" s="86"/>
      <c r="G34" s="86">
        <v>10425</v>
      </c>
      <c r="H34" s="86">
        <v>16982</v>
      </c>
      <c r="I34" s="86"/>
      <c r="J34" s="86">
        <f>12017+18+108</f>
        <v>12143</v>
      </c>
      <c r="K34" s="474">
        <f>10776+18+140</f>
        <v>10934</v>
      </c>
      <c r="L34" s="474">
        <f>10776+18+140</f>
        <v>10934</v>
      </c>
      <c r="M34" s="474">
        <f>10756+140</f>
        <v>10896</v>
      </c>
      <c r="N34" s="15" t="s">
        <v>81</v>
      </c>
    </row>
    <row r="35" spans="1:14" ht="12.75" customHeight="1">
      <c r="A35" s="12"/>
      <c r="B35" s="174" t="s">
        <v>97</v>
      </c>
      <c r="C35" s="236">
        <v>1062</v>
      </c>
      <c r="D35" s="214">
        <v>1038</v>
      </c>
      <c r="E35" s="214">
        <v>1052</v>
      </c>
      <c r="F35" s="214">
        <v>720</v>
      </c>
      <c r="G35" s="214">
        <v>698</v>
      </c>
      <c r="H35" s="214">
        <v>681</v>
      </c>
      <c r="I35" s="214">
        <v>640</v>
      </c>
      <c r="J35" s="214">
        <v>617</v>
      </c>
      <c r="K35" s="622">
        <v>579</v>
      </c>
      <c r="L35" s="622">
        <v>571</v>
      </c>
      <c r="M35" s="465">
        <v>552</v>
      </c>
      <c r="N35" s="174" t="s">
        <v>97</v>
      </c>
    </row>
    <row r="36" spans="1:14" ht="12.75" customHeight="1">
      <c r="A36" s="12"/>
      <c r="B36" s="14" t="s">
        <v>1</v>
      </c>
      <c r="C36" s="227"/>
      <c r="D36" s="82">
        <v>180</v>
      </c>
      <c r="E36" s="82">
        <v>175</v>
      </c>
      <c r="F36" s="82">
        <v>164</v>
      </c>
      <c r="G36" s="82">
        <v>139</v>
      </c>
      <c r="H36" s="82">
        <v>139</v>
      </c>
      <c r="I36" s="82">
        <v>137</v>
      </c>
      <c r="J36" s="82">
        <v>135</v>
      </c>
      <c r="K36" s="623">
        <v>125</v>
      </c>
      <c r="L36" s="623">
        <v>124</v>
      </c>
      <c r="M36" s="466">
        <v>124</v>
      </c>
      <c r="N36" s="14" t="s">
        <v>1</v>
      </c>
    </row>
    <row r="37" spans="1:14" ht="12.75" customHeight="1">
      <c r="A37" s="12"/>
      <c r="B37" s="176" t="s">
        <v>77</v>
      </c>
      <c r="C37" s="246">
        <v>1548</v>
      </c>
      <c r="D37" s="247">
        <v>1351</v>
      </c>
      <c r="E37" s="247">
        <v>1443</v>
      </c>
      <c r="F37" s="217">
        <v>1415</v>
      </c>
      <c r="G37" s="217">
        <v>1385</v>
      </c>
      <c r="H37" s="217">
        <v>1356</v>
      </c>
      <c r="I37" s="217">
        <v>1294</v>
      </c>
      <c r="J37" s="217">
        <v>1318</v>
      </c>
      <c r="K37" s="627">
        <v>1312</v>
      </c>
      <c r="L37" s="627">
        <v>1306</v>
      </c>
      <c r="M37" s="473">
        <v>1319</v>
      </c>
      <c r="N37" s="176" t="s">
        <v>77</v>
      </c>
    </row>
    <row r="38" spans="1:14" ht="12.75" customHeight="1">
      <c r="A38" s="12"/>
      <c r="B38" s="13" t="s">
        <v>63</v>
      </c>
      <c r="C38" s="228" t="s">
        <v>96</v>
      </c>
      <c r="D38" s="229" t="s">
        <v>96</v>
      </c>
      <c r="E38" s="229" t="s">
        <v>96</v>
      </c>
      <c r="F38" s="229" t="s">
        <v>96</v>
      </c>
      <c r="G38" s="229" t="s">
        <v>96</v>
      </c>
      <c r="H38" s="229" t="s">
        <v>96</v>
      </c>
      <c r="I38" s="229" t="s">
        <v>96</v>
      </c>
      <c r="J38" s="229" t="s">
        <v>96</v>
      </c>
      <c r="K38" s="471" t="s">
        <v>96</v>
      </c>
      <c r="L38" s="471" t="s">
        <v>96</v>
      </c>
      <c r="M38" s="471" t="s">
        <v>96</v>
      </c>
      <c r="N38" s="13" t="s">
        <v>63</v>
      </c>
    </row>
    <row r="39" spans="1:14" ht="12.75" customHeight="1">
      <c r="A39" s="12"/>
      <c r="B39" s="174" t="s">
        <v>94</v>
      </c>
      <c r="C39" s="236">
        <v>1067</v>
      </c>
      <c r="D39" s="214">
        <v>908</v>
      </c>
      <c r="E39" s="214">
        <v>900</v>
      </c>
      <c r="F39" s="214">
        <v>918</v>
      </c>
      <c r="G39" s="214">
        <v>942</v>
      </c>
      <c r="H39" s="214">
        <v>850</v>
      </c>
      <c r="I39" s="250">
        <v>231</v>
      </c>
      <c r="J39" s="240">
        <v>237</v>
      </c>
      <c r="K39" s="628">
        <v>191</v>
      </c>
      <c r="L39" s="628">
        <v>191</v>
      </c>
      <c r="M39" s="475">
        <v>191</v>
      </c>
      <c r="N39" s="174" t="s">
        <v>94</v>
      </c>
    </row>
    <row r="40" spans="1:14" ht="12.75" customHeight="1">
      <c r="A40" s="12"/>
      <c r="B40" s="15" t="s">
        <v>64</v>
      </c>
      <c r="C40" s="232">
        <v>3816</v>
      </c>
      <c r="D40" s="233">
        <v>4006</v>
      </c>
      <c r="E40" s="86">
        <v>4136</v>
      </c>
      <c r="F40" s="86">
        <v>3333</v>
      </c>
      <c r="G40" s="86">
        <v>3925</v>
      </c>
      <c r="H40" s="86">
        <v>4020</v>
      </c>
      <c r="I40" s="86">
        <f>231+3764+81</f>
        <v>4076</v>
      </c>
      <c r="J40" s="86">
        <f>263+91+3924+81</f>
        <v>4359</v>
      </c>
      <c r="K40" s="474">
        <f>251+81+150+3811</f>
        <v>4293</v>
      </c>
      <c r="L40" s="474">
        <f>333+4130</f>
        <v>4463</v>
      </c>
      <c r="M40" s="472">
        <f>478+4522</f>
        <v>5000</v>
      </c>
      <c r="N40" s="15" t="s">
        <v>64</v>
      </c>
    </row>
    <row r="41" spans="2:14" ht="15" customHeight="1">
      <c r="B41" s="915" t="s">
        <v>200</v>
      </c>
      <c r="C41" s="915"/>
      <c r="D41" s="915"/>
      <c r="E41" s="915"/>
      <c r="F41" s="915"/>
      <c r="G41" s="915"/>
      <c r="H41" s="915"/>
      <c r="I41" s="915"/>
      <c r="J41" s="915"/>
      <c r="K41" s="75"/>
      <c r="L41" s="75"/>
      <c r="M41" s="75"/>
      <c r="N41" s="75"/>
    </row>
    <row r="42" spans="2:8" ht="15" customHeight="1">
      <c r="B42" s="3" t="s">
        <v>0</v>
      </c>
      <c r="C42" s="22"/>
      <c r="D42" s="22"/>
      <c r="E42" s="22"/>
      <c r="F42" s="22"/>
      <c r="G42" s="22"/>
      <c r="H42" s="22"/>
    </row>
    <row r="43" spans="2:9" ht="12.75" customHeight="1">
      <c r="B43" s="462" t="s">
        <v>178</v>
      </c>
      <c r="C43" s="458"/>
      <c r="D43" s="458"/>
      <c r="E43" s="458"/>
      <c r="F43" s="458"/>
      <c r="G43" s="458"/>
      <c r="H43" s="458"/>
      <c r="I43" s="189"/>
    </row>
    <row r="44" spans="2:14" ht="12.75" customHeight="1">
      <c r="B44" s="840" t="s">
        <v>187</v>
      </c>
      <c r="C44" s="840"/>
      <c r="D44" s="840"/>
      <c r="E44" s="840"/>
      <c r="F44" s="840"/>
      <c r="G44" s="840"/>
      <c r="H44" s="840"/>
      <c r="I44" s="840"/>
      <c r="J44" s="61"/>
      <c r="K44" s="61"/>
      <c r="L44" s="61"/>
      <c r="M44" s="61"/>
      <c r="N44" s="61"/>
    </row>
    <row r="45" spans="2:14" ht="12.75" customHeight="1">
      <c r="B45" s="934" t="s">
        <v>59</v>
      </c>
      <c r="C45" s="934"/>
      <c r="D45" s="934"/>
      <c r="E45" s="934"/>
      <c r="F45" s="934"/>
      <c r="G45" s="934"/>
      <c r="H45" s="934"/>
      <c r="I45" s="934"/>
      <c r="J45" s="47"/>
      <c r="K45" s="47"/>
      <c r="L45" s="47"/>
      <c r="M45" s="47"/>
      <c r="N45" s="47"/>
    </row>
  </sheetData>
  <mergeCells count="5">
    <mergeCell ref="B44:I44"/>
    <mergeCell ref="B45:I45"/>
    <mergeCell ref="B41:J41"/>
    <mergeCell ref="B2:N2"/>
    <mergeCell ref="B3:N3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41"/>
  <dimension ref="A1:P4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6" width="7.7109375" style="4" customWidth="1"/>
    <col min="7" max="8" width="7.7109375" style="4" hidden="1" customWidth="1"/>
    <col min="9" max="10" width="7.7109375" style="4" customWidth="1"/>
    <col min="11" max="13" width="8.28125" style="4" customWidth="1"/>
    <col min="14" max="14" width="4.00390625" style="4" customWidth="1"/>
    <col min="15" max="15" width="6.421875" style="4" customWidth="1"/>
    <col min="16" max="16384" width="9.140625" style="4" customWidth="1"/>
  </cols>
  <sheetData>
    <row r="1" spans="2:14" ht="14.25" customHeight="1">
      <c r="B1" s="60"/>
      <c r="C1" s="26"/>
      <c r="D1" s="26"/>
      <c r="E1" s="26"/>
      <c r="F1" s="26"/>
      <c r="G1" s="26"/>
      <c r="H1" s="65"/>
      <c r="K1" s="65"/>
      <c r="L1" s="65"/>
      <c r="M1" s="65"/>
      <c r="N1" s="65" t="s">
        <v>113</v>
      </c>
    </row>
    <row r="2" spans="2:14" s="189" customFormat="1" ht="30" customHeight="1">
      <c r="B2" s="882" t="s">
        <v>24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2:14" ht="18" customHeight="1">
      <c r="B3" s="858" t="s">
        <v>18</v>
      </c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</row>
    <row r="4" spans="2:16" ht="24.75" customHeight="1">
      <c r="B4" s="5"/>
      <c r="C4" s="178">
        <v>1970</v>
      </c>
      <c r="D4" s="179">
        <v>1980</v>
      </c>
      <c r="E4" s="179">
        <v>1990</v>
      </c>
      <c r="F4" s="179">
        <v>2000</v>
      </c>
      <c r="G4" s="179">
        <v>2001</v>
      </c>
      <c r="H4" s="179">
        <v>2002</v>
      </c>
      <c r="I4" s="179">
        <v>2003</v>
      </c>
      <c r="J4" s="179">
        <v>2004</v>
      </c>
      <c r="K4" s="179">
        <v>2005</v>
      </c>
      <c r="L4" s="179">
        <v>2006</v>
      </c>
      <c r="M4" s="800" t="s">
        <v>217</v>
      </c>
      <c r="N4" s="10"/>
      <c r="O4" s="10"/>
      <c r="P4" s="17"/>
    </row>
    <row r="5" spans="2:16" ht="12.75" customHeight="1">
      <c r="B5" s="177" t="s">
        <v>47</v>
      </c>
      <c r="C5" s="306"/>
      <c r="D5" s="307"/>
      <c r="E5" s="307"/>
      <c r="F5" s="307"/>
      <c r="G5" s="308">
        <f>SUM(G8:G34)</f>
        <v>877561</v>
      </c>
      <c r="H5" s="308">
        <f>SUM(H8:H34)</f>
        <v>813016</v>
      </c>
      <c r="I5" s="308"/>
      <c r="J5" s="308"/>
      <c r="K5" s="476"/>
      <c r="L5" s="476"/>
      <c r="M5" s="801"/>
      <c r="N5" s="283" t="s">
        <v>47</v>
      </c>
      <c r="O5" s="10"/>
      <c r="P5" s="95"/>
    </row>
    <row r="6" spans="1:16" ht="12.75" customHeight="1">
      <c r="A6" s="12"/>
      <c r="B6" s="174" t="s">
        <v>82</v>
      </c>
      <c r="C6" s="309">
        <f>SUM(C8,C11:C12,C14:C18,C22,C25:C26,C28,C32:C34)</f>
        <v>1540584</v>
      </c>
      <c r="D6" s="310">
        <f>SUM(D8,D11:D12,D14:D18,D22,D25:D26,D28,D32:D34)</f>
        <v>1205463</v>
      </c>
      <c r="E6" s="310">
        <f>SUM(E8,E11:E12,E14:E18,E22,E25:E26,E28,E32:E34)</f>
        <v>825398</v>
      </c>
      <c r="F6" s="310"/>
      <c r="G6" s="311">
        <f>SUM(G8,G11:G12,G14:G18,G22,G25:G26,G28,G32:G34)</f>
        <v>503254</v>
      </c>
      <c r="H6" s="311">
        <f>SUM(H8,H11:H12,H14:H18,H22,H25:H26,H28,H32:H34)</f>
        <v>471541</v>
      </c>
      <c r="I6" s="311"/>
      <c r="J6" s="311"/>
      <c r="K6" s="477"/>
      <c r="L6" s="477"/>
      <c r="M6" s="802"/>
      <c r="N6" s="284" t="s">
        <v>82</v>
      </c>
      <c r="O6" s="80"/>
      <c r="P6" s="95"/>
    </row>
    <row r="7" spans="1:16" ht="12.75" customHeight="1">
      <c r="A7" s="12"/>
      <c r="B7" s="176" t="s">
        <v>175</v>
      </c>
      <c r="C7" s="309"/>
      <c r="D7" s="310"/>
      <c r="E7" s="310">
        <f aca="true" t="shared" si="0" ref="E7:M7">SUM(E9,E10,E13,E19,E20,E21,E23,E24,E27,E29,E30,E31)</f>
        <v>516764</v>
      </c>
      <c r="F7" s="310">
        <f t="shared" si="0"/>
        <v>421261</v>
      </c>
      <c r="G7" s="310">
        <f t="shared" si="0"/>
        <v>374307</v>
      </c>
      <c r="H7" s="310">
        <f t="shared" si="0"/>
        <v>341475</v>
      </c>
      <c r="I7" s="310">
        <f t="shared" si="0"/>
        <v>337681</v>
      </c>
      <c r="J7" s="310">
        <f t="shared" si="0"/>
        <v>293729</v>
      </c>
      <c r="K7" s="478">
        <f t="shared" si="0"/>
        <v>282394</v>
      </c>
      <c r="L7" s="798">
        <f t="shared" si="0"/>
        <v>286769</v>
      </c>
      <c r="M7" s="803">
        <f t="shared" si="0"/>
        <v>224743</v>
      </c>
      <c r="N7" s="285" t="s">
        <v>175</v>
      </c>
      <c r="O7" s="80"/>
      <c r="P7" s="95"/>
    </row>
    <row r="8" spans="1:16" ht="12.75" customHeight="1">
      <c r="A8" s="12"/>
      <c r="B8" s="13" t="s">
        <v>83</v>
      </c>
      <c r="C8" s="312">
        <v>44651</v>
      </c>
      <c r="D8" s="313">
        <v>42968</v>
      </c>
      <c r="E8" s="313">
        <v>30332</v>
      </c>
      <c r="F8" s="313">
        <v>18790</v>
      </c>
      <c r="G8" s="313">
        <v>19719</v>
      </c>
      <c r="H8" s="313">
        <v>20312</v>
      </c>
      <c r="I8" s="313">
        <v>20101</v>
      </c>
      <c r="J8" s="313">
        <v>18782</v>
      </c>
      <c r="K8" s="621">
        <v>17375</v>
      </c>
      <c r="L8" s="621">
        <f>10521+5023</f>
        <v>15544</v>
      </c>
      <c r="M8" s="804">
        <v>10616</v>
      </c>
      <c r="N8" s="286" t="s">
        <v>83</v>
      </c>
      <c r="O8" s="25"/>
      <c r="P8" s="95"/>
    </row>
    <row r="9" spans="1:16" ht="12.75" customHeight="1">
      <c r="A9" s="12"/>
      <c r="B9" s="174" t="s">
        <v>65</v>
      </c>
      <c r="C9" s="314">
        <v>33850</v>
      </c>
      <c r="D9" s="315">
        <v>37272</v>
      </c>
      <c r="E9" s="316">
        <v>42459</v>
      </c>
      <c r="F9" s="315">
        <v>29720</v>
      </c>
      <c r="G9" s="315">
        <v>16609</v>
      </c>
      <c r="H9" s="315">
        <v>17508</v>
      </c>
      <c r="I9" s="315">
        <v>17259</v>
      </c>
      <c r="J9" s="315">
        <v>16382</v>
      </c>
      <c r="K9" s="622">
        <v>16511</v>
      </c>
      <c r="L9" s="622">
        <f>11911+361+300+4539</f>
        <v>17111</v>
      </c>
      <c r="M9" s="805">
        <f>11834+361+18+204</f>
        <v>12417</v>
      </c>
      <c r="N9" s="284" t="s">
        <v>65</v>
      </c>
      <c r="O9" s="25"/>
      <c r="P9" s="95"/>
    </row>
    <row r="10" spans="1:16" ht="12.75" customHeight="1">
      <c r="A10" s="12"/>
      <c r="B10" s="14" t="s">
        <v>67</v>
      </c>
      <c r="C10" s="317"/>
      <c r="D10" s="318"/>
      <c r="E10" s="318"/>
      <c r="F10" s="319">
        <v>58524</v>
      </c>
      <c r="G10" s="319">
        <v>50180</v>
      </c>
      <c r="H10" s="319">
        <v>46789</v>
      </c>
      <c r="I10" s="319">
        <v>45506</v>
      </c>
      <c r="J10" s="319">
        <v>44805</v>
      </c>
      <c r="K10" s="623">
        <v>44545</v>
      </c>
      <c r="L10" s="623">
        <f>33354+9408</f>
        <v>42762</v>
      </c>
      <c r="M10" s="806">
        <v>32809</v>
      </c>
      <c r="N10" s="287" t="s">
        <v>67</v>
      </c>
      <c r="O10" s="25"/>
      <c r="P10" s="95"/>
    </row>
    <row r="11" spans="1:16" ht="12.75" customHeight="1">
      <c r="A11" s="12"/>
      <c r="B11" s="174" t="s">
        <v>78</v>
      </c>
      <c r="C11" s="314">
        <v>10995</v>
      </c>
      <c r="D11" s="315">
        <v>6883</v>
      </c>
      <c r="E11" s="315">
        <v>4632</v>
      </c>
      <c r="F11" s="315">
        <v>2236</v>
      </c>
      <c r="G11" s="315">
        <v>2236</v>
      </c>
      <c r="H11" s="320">
        <v>2200</v>
      </c>
      <c r="I11" s="321"/>
      <c r="J11" s="321"/>
      <c r="K11" s="629"/>
      <c r="L11" s="629"/>
      <c r="M11" s="807"/>
      <c r="N11" s="284" t="s">
        <v>78</v>
      </c>
      <c r="O11" s="41"/>
      <c r="P11" s="95"/>
    </row>
    <row r="12" spans="1:16" ht="12.75" customHeight="1">
      <c r="A12" s="12"/>
      <c r="B12" s="14" t="s">
        <v>84</v>
      </c>
      <c r="C12" s="322">
        <v>459030</v>
      </c>
      <c r="D12" s="319">
        <v>476437</v>
      </c>
      <c r="E12" s="319">
        <v>366724</v>
      </c>
      <c r="F12" s="319">
        <v>189558</v>
      </c>
      <c r="G12" s="319">
        <v>182836</v>
      </c>
      <c r="H12" s="323">
        <v>179000</v>
      </c>
      <c r="I12" s="319">
        <v>176837</v>
      </c>
      <c r="J12" s="319">
        <v>237313</v>
      </c>
      <c r="K12" s="623">
        <v>158247</v>
      </c>
      <c r="L12" s="623">
        <f>96550+58918</f>
        <v>155468</v>
      </c>
      <c r="M12" s="806">
        <v>95595</v>
      </c>
      <c r="N12" s="287" t="s">
        <v>84</v>
      </c>
      <c r="O12" s="25"/>
      <c r="P12" s="95"/>
    </row>
    <row r="13" spans="1:16" ht="12.75" customHeight="1">
      <c r="A13" s="12"/>
      <c r="B13" s="174" t="s">
        <v>68</v>
      </c>
      <c r="C13" s="314"/>
      <c r="D13" s="315"/>
      <c r="E13" s="315"/>
      <c r="F13" s="315">
        <v>5857</v>
      </c>
      <c r="G13" s="315">
        <v>6122</v>
      </c>
      <c r="H13" s="315">
        <v>7531</v>
      </c>
      <c r="I13" s="315">
        <v>17436</v>
      </c>
      <c r="J13" s="315">
        <v>20352</v>
      </c>
      <c r="K13" s="622">
        <v>18971</v>
      </c>
      <c r="L13" s="622">
        <f>3318+13791</f>
        <v>17109</v>
      </c>
      <c r="M13" s="805">
        <v>3353</v>
      </c>
      <c r="N13" s="284" t="s">
        <v>68</v>
      </c>
      <c r="O13" s="25"/>
      <c r="P13" s="95"/>
    </row>
    <row r="14" spans="1:16" ht="12.75" customHeight="1">
      <c r="A14" s="12"/>
      <c r="B14" s="14" t="s">
        <v>87</v>
      </c>
      <c r="C14" s="322">
        <v>9727</v>
      </c>
      <c r="D14" s="319">
        <v>4417</v>
      </c>
      <c r="E14" s="319">
        <v>1830</v>
      </c>
      <c r="F14" s="319">
        <v>1856</v>
      </c>
      <c r="G14" s="319">
        <v>1856</v>
      </c>
      <c r="H14" s="319">
        <v>1856</v>
      </c>
      <c r="I14" s="319">
        <v>1611</v>
      </c>
      <c r="J14" s="319">
        <v>833</v>
      </c>
      <c r="K14" s="623">
        <v>926</v>
      </c>
      <c r="L14" s="623">
        <v>1095</v>
      </c>
      <c r="M14" s="806">
        <v>891</v>
      </c>
      <c r="N14" s="287" t="s">
        <v>87</v>
      </c>
      <c r="O14" s="25"/>
      <c r="P14" s="95"/>
    </row>
    <row r="15" spans="1:16" ht="12.75" customHeight="1">
      <c r="A15" s="12"/>
      <c r="B15" s="174" t="s">
        <v>79</v>
      </c>
      <c r="C15" s="314">
        <v>9025</v>
      </c>
      <c r="D15" s="315">
        <v>10871</v>
      </c>
      <c r="E15" s="315">
        <v>10967</v>
      </c>
      <c r="F15" s="315">
        <v>3453</v>
      </c>
      <c r="G15" s="315">
        <v>3539</v>
      </c>
      <c r="H15" s="315">
        <v>3539</v>
      </c>
      <c r="I15" s="315">
        <v>3473</v>
      </c>
      <c r="J15" s="315">
        <v>3497</v>
      </c>
      <c r="K15" s="622">
        <v>3491</v>
      </c>
      <c r="L15" s="622">
        <f>2861+305</f>
        <v>3166</v>
      </c>
      <c r="M15" s="805">
        <f>3263+305</f>
        <v>3568</v>
      </c>
      <c r="N15" s="284" t="s">
        <v>79</v>
      </c>
      <c r="O15" s="25"/>
      <c r="P15" s="95"/>
    </row>
    <row r="16" spans="1:16" ht="12.75" customHeight="1">
      <c r="A16" s="12"/>
      <c r="B16" s="14" t="s">
        <v>85</v>
      </c>
      <c r="C16" s="322">
        <v>53336</v>
      </c>
      <c r="D16" s="319">
        <v>40773</v>
      </c>
      <c r="E16" s="319">
        <v>37687</v>
      </c>
      <c r="F16" s="319">
        <v>26452</v>
      </c>
      <c r="G16" s="319">
        <v>25867</v>
      </c>
      <c r="H16" s="319">
        <v>26228</v>
      </c>
      <c r="I16" s="319">
        <v>25426</v>
      </c>
      <c r="J16" s="319">
        <v>25542</v>
      </c>
      <c r="K16" s="623">
        <v>23842</v>
      </c>
      <c r="L16" s="623">
        <f>14+1020+180+13817</f>
        <v>15031</v>
      </c>
      <c r="M16" s="806">
        <f>1026+187+14311</f>
        <v>15524</v>
      </c>
      <c r="N16" s="287" t="s">
        <v>85</v>
      </c>
      <c r="O16" s="25"/>
      <c r="P16" s="95"/>
    </row>
    <row r="17" spans="1:16" ht="12.75" customHeight="1">
      <c r="A17" s="12"/>
      <c r="B17" s="174" t="s">
        <v>86</v>
      </c>
      <c r="C17" s="314">
        <v>291450</v>
      </c>
      <c r="D17" s="315">
        <v>239800</v>
      </c>
      <c r="E17" s="316">
        <v>148100</v>
      </c>
      <c r="F17" s="315">
        <v>94789</v>
      </c>
      <c r="G17" s="315">
        <v>109770</v>
      </c>
      <c r="H17" s="315">
        <v>107033</v>
      </c>
      <c r="I17" s="315">
        <v>103833</v>
      </c>
      <c r="J17" s="315">
        <v>99372</v>
      </c>
      <c r="K17" s="622">
        <v>95738</v>
      </c>
      <c r="L17" s="622">
        <f>32769+59047</f>
        <v>91816</v>
      </c>
      <c r="M17" s="805">
        <v>31589</v>
      </c>
      <c r="N17" s="284" t="s">
        <v>86</v>
      </c>
      <c r="O17" s="25"/>
      <c r="P17" s="95"/>
    </row>
    <row r="18" spans="1:16" ht="12.75" customHeight="1">
      <c r="A18" s="12"/>
      <c r="B18" s="14" t="s">
        <v>88</v>
      </c>
      <c r="C18" s="322">
        <v>125200</v>
      </c>
      <c r="D18" s="319">
        <v>115228</v>
      </c>
      <c r="E18" s="324">
        <v>99728</v>
      </c>
      <c r="F18" s="319">
        <v>70115</v>
      </c>
      <c r="G18" s="319">
        <v>73146</v>
      </c>
      <c r="H18" s="319">
        <v>56900</v>
      </c>
      <c r="I18" s="319">
        <v>56175</v>
      </c>
      <c r="J18" s="319">
        <v>54598</v>
      </c>
      <c r="K18" s="623">
        <v>45730</v>
      </c>
      <c r="L18" s="623">
        <f>79+41106+5265</f>
        <v>46450</v>
      </c>
      <c r="M18" s="806">
        <f>79+41398</f>
        <v>41477</v>
      </c>
      <c r="N18" s="287" t="s">
        <v>88</v>
      </c>
      <c r="O18" s="25"/>
      <c r="P18" s="95"/>
    </row>
    <row r="19" spans="1:16" ht="12.75" customHeight="1">
      <c r="A19" s="12"/>
      <c r="B19" s="174" t="s">
        <v>66</v>
      </c>
      <c r="C19" s="325" t="s">
        <v>96</v>
      </c>
      <c r="D19" s="326" t="s">
        <v>96</v>
      </c>
      <c r="E19" s="326" t="s">
        <v>96</v>
      </c>
      <c r="F19" s="326" t="s">
        <v>96</v>
      </c>
      <c r="G19" s="326" t="s">
        <v>96</v>
      </c>
      <c r="H19" s="326" t="s">
        <v>96</v>
      </c>
      <c r="I19" s="326" t="s">
        <v>96</v>
      </c>
      <c r="J19" s="326" t="s">
        <v>96</v>
      </c>
      <c r="K19" s="469" t="s">
        <v>96</v>
      </c>
      <c r="L19" s="469" t="s">
        <v>96</v>
      </c>
      <c r="M19" s="808" t="s">
        <v>96</v>
      </c>
      <c r="N19" s="284" t="s">
        <v>66</v>
      </c>
      <c r="O19" s="79"/>
      <c r="P19" s="95"/>
    </row>
    <row r="20" spans="1:16" ht="12.75" customHeight="1">
      <c r="A20" s="12"/>
      <c r="B20" s="14" t="s">
        <v>70</v>
      </c>
      <c r="C20" s="322"/>
      <c r="D20" s="319"/>
      <c r="E20" s="319">
        <v>11085</v>
      </c>
      <c r="F20" s="319">
        <v>9146</v>
      </c>
      <c r="G20" s="319">
        <v>8105</v>
      </c>
      <c r="H20" s="319">
        <v>7911</v>
      </c>
      <c r="I20" s="319">
        <v>7952</v>
      </c>
      <c r="J20" s="319">
        <v>8706</v>
      </c>
      <c r="K20" s="623">
        <v>8871</v>
      </c>
      <c r="L20" s="623">
        <f>5225+3623</f>
        <v>8848</v>
      </c>
      <c r="M20" s="806">
        <v>5256</v>
      </c>
      <c r="N20" s="287" t="s">
        <v>70</v>
      </c>
      <c r="O20" s="25"/>
      <c r="P20" s="95"/>
    </row>
    <row r="21" spans="1:16" ht="12.75" customHeight="1">
      <c r="A21" s="12"/>
      <c r="B21" s="174" t="s">
        <v>71</v>
      </c>
      <c r="C21" s="314"/>
      <c r="D21" s="315"/>
      <c r="E21" s="320">
        <v>12860</v>
      </c>
      <c r="F21" s="315">
        <v>13155</v>
      </c>
      <c r="G21" s="315">
        <v>12509</v>
      </c>
      <c r="H21" s="315">
        <v>12391</v>
      </c>
      <c r="I21" s="315">
        <v>12144</v>
      </c>
      <c r="J21" s="315">
        <v>13134</v>
      </c>
      <c r="K21" s="622">
        <v>13192</v>
      </c>
      <c r="L21" s="622">
        <f>9358+29+4006</f>
        <v>13393</v>
      </c>
      <c r="M21" s="805">
        <f>9457+29</f>
        <v>9486</v>
      </c>
      <c r="N21" s="284" t="s">
        <v>71</v>
      </c>
      <c r="O21" s="25"/>
      <c r="P21" s="95"/>
    </row>
    <row r="22" spans="1:16" ht="12.75" customHeight="1">
      <c r="A22" s="12"/>
      <c r="B22" s="14" t="s">
        <v>89</v>
      </c>
      <c r="C22" s="322">
        <v>4230</v>
      </c>
      <c r="D22" s="319">
        <v>3650</v>
      </c>
      <c r="E22" s="319">
        <v>2719</v>
      </c>
      <c r="F22" s="319">
        <v>2626</v>
      </c>
      <c r="G22" s="319">
        <v>2878</v>
      </c>
      <c r="H22" s="319">
        <v>3092</v>
      </c>
      <c r="I22" s="319">
        <v>3328</v>
      </c>
      <c r="J22" s="319">
        <v>3206</v>
      </c>
      <c r="K22" s="623">
        <v>3222</v>
      </c>
      <c r="L22" s="623">
        <f>3332+124</f>
        <v>3456</v>
      </c>
      <c r="M22" s="806">
        <v>3526</v>
      </c>
      <c r="N22" s="287" t="s">
        <v>89</v>
      </c>
      <c r="O22" s="25"/>
      <c r="P22" s="95"/>
    </row>
    <row r="23" spans="1:16" ht="12.75" customHeight="1">
      <c r="A23" s="12"/>
      <c r="B23" s="174" t="s">
        <v>69</v>
      </c>
      <c r="C23" s="314"/>
      <c r="D23" s="315"/>
      <c r="E23" s="315"/>
      <c r="F23" s="315">
        <v>23528</v>
      </c>
      <c r="G23" s="315">
        <v>22789</v>
      </c>
      <c r="H23" s="315">
        <v>21819</v>
      </c>
      <c r="I23" s="315">
        <v>22178</v>
      </c>
      <c r="J23" s="315">
        <v>19783</v>
      </c>
      <c r="K23" s="622">
        <v>19130</v>
      </c>
      <c r="L23" s="622">
        <f>95+13080+649</f>
        <v>13824</v>
      </c>
      <c r="M23" s="805">
        <f>95+11624</f>
        <v>11719</v>
      </c>
      <c r="N23" s="284" t="s">
        <v>69</v>
      </c>
      <c r="O23" s="25"/>
      <c r="P23" s="95"/>
    </row>
    <row r="24" spans="1:16" ht="12.75" customHeight="1">
      <c r="A24" s="12"/>
      <c r="B24" s="14" t="s">
        <v>72</v>
      </c>
      <c r="C24" s="317" t="s">
        <v>96</v>
      </c>
      <c r="D24" s="318" t="s">
        <v>96</v>
      </c>
      <c r="E24" s="318" t="s">
        <v>96</v>
      </c>
      <c r="F24" s="318" t="s">
        <v>96</v>
      </c>
      <c r="G24" s="318" t="s">
        <v>96</v>
      </c>
      <c r="H24" s="318" t="s">
        <v>96</v>
      </c>
      <c r="I24" s="318" t="s">
        <v>96</v>
      </c>
      <c r="J24" s="318" t="s">
        <v>96</v>
      </c>
      <c r="K24" s="471" t="s">
        <v>96</v>
      </c>
      <c r="L24" s="471" t="s">
        <v>96</v>
      </c>
      <c r="M24" s="809" t="s">
        <v>96</v>
      </c>
      <c r="N24" s="287" t="s">
        <v>72</v>
      </c>
      <c r="O24" s="79"/>
      <c r="P24" s="95"/>
    </row>
    <row r="25" spans="1:16" ht="12.75" customHeight="1">
      <c r="A25" s="12"/>
      <c r="B25" s="175" t="s">
        <v>80</v>
      </c>
      <c r="C25" s="314">
        <v>18750</v>
      </c>
      <c r="D25" s="315">
        <v>11355</v>
      </c>
      <c r="E25" s="315">
        <v>6697</v>
      </c>
      <c r="F25" s="315">
        <v>4700</v>
      </c>
      <c r="G25" s="315">
        <v>3331</v>
      </c>
      <c r="H25" s="315">
        <v>2099</v>
      </c>
      <c r="I25" s="327">
        <v>1807</v>
      </c>
      <c r="J25" s="327"/>
      <c r="K25" s="630"/>
      <c r="L25" s="630"/>
      <c r="M25" s="810"/>
      <c r="N25" s="288" t="s">
        <v>80</v>
      </c>
      <c r="O25" s="81"/>
      <c r="P25" s="95"/>
    </row>
    <row r="26" spans="1:16" ht="12.75" customHeight="1">
      <c r="A26" s="12"/>
      <c r="B26" s="14" t="s">
        <v>90</v>
      </c>
      <c r="C26" s="322">
        <v>39109</v>
      </c>
      <c r="D26" s="319">
        <v>38689</v>
      </c>
      <c r="E26" s="319">
        <v>34330</v>
      </c>
      <c r="F26" s="319">
        <v>23970</v>
      </c>
      <c r="G26" s="319">
        <v>24988</v>
      </c>
      <c r="H26" s="319">
        <v>24089</v>
      </c>
      <c r="I26" s="328">
        <v>22655</v>
      </c>
      <c r="J26" s="328">
        <v>22262</v>
      </c>
      <c r="K26" s="626">
        <v>22655</v>
      </c>
      <c r="L26" s="626">
        <f>67+16552+43+229</f>
        <v>16891</v>
      </c>
      <c r="M26" s="811">
        <f>59+18185+229</f>
        <v>18473</v>
      </c>
      <c r="N26" s="287" t="s">
        <v>90</v>
      </c>
      <c r="O26" s="58"/>
      <c r="P26" s="95"/>
    </row>
    <row r="27" spans="1:16" ht="12.75" customHeight="1">
      <c r="A27" s="12"/>
      <c r="B27" s="174" t="s">
        <v>73</v>
      </c>
      <c r="C27" s="314">
        <v>229222</v>
      </c>
      <c r="D27" s="315">
        <v>231364</v>
      </c>
      <c r="E27" s="316">
        <v>275582</v>
      </c>
      <c r="F27" s="315">
        <v>130116</v>
      </c>
      <c r="G27" s="315">
        <v>130660</v>
      </c>
      <c r="H27" s="315">
        <v>95379</v>
      </c>
      <c r="I27" s="315">
        <v>110985</v>
      </c>
      <c r="J27" s="315">
        <v>76785</v>
      </c>
      <c r="K27" s="622">
        <v>75164</v>
      </c>
      <c r="L27" s="622">
        <v>74146</v>
      </c>
      <c r="M27" s="805">
        <v>73993</v>
      </c>
      <c r="N27" s="284" t="s">
        <v>73</v>
      </c>
      <c r="O27" s="25"/>
      <c r="P27" s="95"/>
    </row>
    <row r="28" spans="1:16" ht="12.75" customHeight="1">
      <c r="A28" s="12"/>
      <c r="B28" s="14" t="s">
        <v>91</v>
      </c>
      <c r="C28" s="322">
        <v>9045</v>
      </c>
      <c r="D28" s="319">
        <v>5860</v>
      </c>
      <c r="E28" s="319">
        <v>4579</v>
      </c>
      <c r="F28" s="319">
        <v>4162</v>
      </c>
      <c r="G28" s="319">
        <v>4179</v>
      </c>
      <c r="H28" s="319">
        <v>4345</v>
      </c>
      <c r="I28" s="319">
        <v>3979</v>
      </c>
      <c r="J28" s="319">
        <v>3544</v>
      </c>
      <c r="K28" s="623">
        <v>3495</v>
      </c>
      <c r="L28" s="623">
        <f>2957+240</f>
        <v>3197</v>
      </c>
      <c r="M28" s="806">
        <v>2953</v>
      </c>
      <c r="N28" s="287" t="s">
        <v>91</v>
      </c>
      <c r="O28" s="25"/>
      <c r="P28" s="95"/>
    </row>
    <row r="29" spans="1:16" ht="12.75" customHeight="1">
      <c r="A29" s="12"/>
      <c r="B29" s="174" t="s">
        <v>74</v>
      </c>
      <c r="C29" s="314"/>
      <c r="D29" s="315">
        <v>144520</v>
      </c>
      <c r="E29" s="315">
        <v>166086</v>
      </c>
      <c r="F29" s="315">
        <v>117982</v>
      </c>
      <c r="G29" s="315">
        <v>96765</v>
      </c>
      <c r="H29" s="315">
        <v>101824</v>
      </c>
      <c r="I29" s="315">
        <v>75478</v>
      </c>
      <c r="J29" s="315">
        <v>64299</v>
      </c>
      <c r="K29" s="622">
        <v>65175</v>
      </c>
      <c r="L29" s="622">
        <f>50849+94+800+1232+450+11183+1308</f>
        <v>65916</v>
      </c>
      <c r="M29" s="805">
        <f>50151+1290+1625+550</f>
        <v>53616</v>
      </c>
      <c r="N29" s="284" t="s">
        <v>74</v>
      </c>
      <c r="O29" s="25"/>
      <c r="P29" s="95"/>
    </row>
    <row r="30" spans="1:16" ht="12.75" customHeight="1">
      <c r="A30" s="12"/>
      <c r="B30" s="14" t="s">
        <v>76</v>
      </c>
      <c r="C30" s="322"/>
      <c r="D30" s="319"/>
      <c r="E30" s="319">
        <v>8692</v>
      </c>
      <c r="F30" s="319">
        <v>6258</v>
      </c>
      <c r="G30" s="319">
        <v>5981</v>
      </c>
      <c r="H30" s="319">
        <v>5774</v>
      </c>
      <c r="I30" s="319">
        <v>4770</v>
      </c>
      <c r="J30" s="319">
        <v>4627</v>
      </c>
      <c r="K30" s="623">
        <v>4465</v>
      </c>
      <c r="L30" s="623">
        <f>3995+513</f>
        <v>4508</v>
      </c>
      <c r="M30" s="806">
        <v>3979</v>
      </c>
      <c r="N30" s="287" t="s">
        <v>76</v>
      </c>
      <c r="O30" s="25"/>
      <c r="P30" s="95"/>
    </row>
    <row r="31" spans="1:16" ht="12.75" customHeight="1">
      <c r="A31" s="12"/>
      <c r="B31" s="174" t="s">
        <v>75</v>
      </c>
      <c r="C31" s="325"/>
      <c r="D31" s="326"/>
      <c r="E31" s="326"/>
      <c r="F31" s="315">
        <v>26975</v>
      </c>
      <c r="G31" s="315">
        <v>24587</v>
      </c>
      <c r="H31" s="315">
        <v>24549</v>
      </c>
      <c r="I31" s="315">
        <v>23973</v>
      </c>
      <c r="J31" s="315">
        <v>24856</v>
      </c>
      <c r="K31" s="622">
        <v>16370</v>
      </c>
      <c r="L31" s="622">
        <f>17920+11232</f>
        <v>29152</v>
      </c>
      <c r="M31" s="805">
        <v>18115</v>
      </c>
      <c r="N31" s="284" t="s">
        <v>75</v>
      </c>
      <c r="O31" s="25"/>
      <c r="P31" s="95"/>
    </row>
    <row r="32" spans="1:16" ht="12.75" customHeight="1">
      <c r="A32" s="12"/>
      <c r="B32" s="14" t="s">
        <v>92</v>
      </c>
      <c r="C32" s="322">
        <v>22835</v>
      </c>
      <c r="D32" s="319">
        <v>21472</v>
      </c>
      <c r="E32" s="319">
        <v>15200</v>
      </c>
      <c r="F32" s="319">
        <v>12630</v>
      </c>
      <c r="G32" s="319">
        <v>12259</v>
      </c>
      <c r="H32" s="319">
        <v>11842</v>
      </c>
      <c r="I32" s="319">
        <v>11627</v>
      </c>
      <c r="J32" s="319">
        <v>11738</v>
      </c>
      <c r="K32" s="623">
        <v>11216</v>
      </c>
      <c r="L32" s="623">
        <f>10971+53</f>
        <v>11024</v>
      </c>
      <c r="M32" s="806">
        <v>10790</v>
      </c>
      <c r="N32" s="287" t="s">
        <v>92</v>
      </c>
      <c r="O32" s="25"/>
      <c r="P32" s="95"/>
    </row>
    <row r="33" spans="1:16" ht="12.75" customHeight="1">
      <c r="A33" s="12"/>
      <c r="B33" s="174" t="s">
        <v>93</v>
      </c>
      <c r="C33" s="314">
        <v>53394</v>
      </c>
      <c r="D33" s="315">
        <v>45890</v>
      </c>
      <c r="E33" s="315">
        <v>27470</v>
      </c>
      <c r="F33" s="315">
        <v>17596</v>
      </c>
      <c r="G33" s="315">
        <v>17600</v>
      </c>
      <c r="H33" s="315">
        <v>9900</v>
      </c>
      <c r="I33" s="315">
        <v>8500</v>
      </c>
      <c r="J33" s="315">
        <v>13649</v>
      </c>
      <c r="K33" s="622">
        <v>13649</v>
      </c>
      <c r="L33" s="622">
        <v>7000</v>
      </c>
      <c r="M33" s="805">
        <v>7000</v>
      </c>
      <c r="N33" s="284" t="s">
        <v>93</v>
      </c>
      <c r="O33" s="25"/>
      <c r="P33" s="95"/>
    </row>
    <row r="34" spans="1:16" ht="12.75" customHeight="1">
      <c r="A34" s="12"/>
      <c r="B34" s="14" t="s">
        <v>81</v>
      </c>
      <c r="C34" s="322">
        <v>389807</v>
      </c>
      <c r="D34" s="319">
        <v>141170</v>
      </c>
      <c r="E34" s="319">
        <v>34403</v>
      </c>
      <c r="F34" s="319"/>
      <c r="G34" s="329">
        <v>19050</v>
      </c>
      <c r="H34" s="329">
        <v>19106</v>
      </c>
      <c r="I34" s="330"/>
      <c r="J34" s="330"/>
      <c r="K34" s="631"/>
      <c r="L34" s="631"/>
      <c r="M34" s="812"/>
      <c r="N34" s="287" t="s">
        <v>81</v>
      </c>
      <c r="O34" s="40"/>
      <c r="P34" s="95"/>
    </row>
    <row r="35" spans="1:16" ht="12.75" customHeight="1">
      <c r="A35" s="12"/>
      <c r="B35" s="177" t="s">
        <v>97</v>
      </c>
      <c r="C35" s="331">
        <v>0</v>
      </c>
      <c r="D35" s="332">
        <v>12852</v>
      </c>
      <c r="E35" s="332">
        <v>13720</v>
      </c>
      <c r="F35" s="332">
        <v>9986</v>
      </c>
      <c r="G35" s="332">
        <v>9456</v>
      </c>
      <c r="H35" s="332">
        <v>8774</v>
      </c>
      <c r="I35" s="332">
        <v>7920</v>
      </c>
      <c r="J35" s="332">
        <v>7376</v>
      </c>
      <c r="K35" s="632">
        <v>7330</v>
      </c>
      <c r="L35" s="632">
        <v>6813</v>
      </c>
      <c r="M35" s="813">
        <v>6781</v>
      </c>
      <c r="N35" s="283" t="s">
        <v>97</v>
      </c>
      <c r="O35" s="25"/>
      <c r="P35" s="95"/>
    </row>
    <row r="36" spans="1:16" ht="12.75" customHeight="1">
      <c r="A36" s="12"/>
      <c r="B36" s="14" t="s">
        <v>1</v>
      </c>
      <c r="C36" s="322"/>
      <c r="D36" s="319"/>
      <c r="E36" s="319"/>
      <c r="F36" s="319"/>
      <c r="G36" s="319"/>
      <c r="H36" s="319"/>
      <c r="I36" s="319"/>
      <c r="J36" s="319">
        <v>1501</v>
      </c>
      <c r="K36" s="623">
        <v>1525</v>
      </c>
      <c r="L36" s="623">
        <v>1553</v>
      </c>
      <c r="M36" s="806">
        <v>1498</v>
      </c>
      <c r="N36" s="287" t="s">
        <v>1</v>
      </c>
      <c r="O36" s="25"/>
      <c r="P36" s="95"/>
    </row>
    <row r="37" spans="1:16" ht="12.75" customHeight="1">
      <c r="A37" s="12"/>
      <c r="B37" s="174" t="s">
        <v>77</v>
      </c>
      <c r="C37" s="333">
        <v>17374</v>
      </c>
      <c r="D37" s="334">
        <v>23228</v>
      </c>
      <c r="E37" s="334">
        <v>21941</v>
      </c>
      <c r="F37" s="315">
        <v>17872</v>
      </c>
      <c r="G37" s="315">
        <v>17571</v>
      </c>
      <c r="H37" s="315">
        <v>17030</v>
      </c>
      <c r="I37" s="315">
        <v>16841</v>
      </c>
      <c r="J37" s="315">
        <v>16004</v>
      </c>
      <c r="K37" s="622">
        <v>17499</v>
      </c>
      <c r="L37" s="622">
        <f>16320+1909</f>
        <v>18229</v>
      </c>
      <c r="M37" s="805">
        <v>17041</v>
      </c>
      <c r="N37" s="284" t="s">
        <v>77</v>
      </c>
      <c r="O37" s="25"/>
      <c r="P37" s="95"/>
    </row>
    <row r="38" spans="1:16" ht="12.75" customHeight="1">
      <c r="A38" s="12"/>
      <c r="B38" s="13" t="s">
        <v>63</v>
      </c>
      <c r="C38" s="335" t="s">
        <v>96</v>
      </c>
      <c r="D38" s="336" t="s">
        <v>96</v>
      </c>
      <c r="E38" s="336" t="s">
        <v>96</v>
      </c>
      <c r="F38" s="336" t="s">
        <v>96</v>
      </c>
      <c r="G38" s="336" t="s">
        <v>96</v>
      </c>
      <c r="H38" s="336" t="s">
        <v>96</v>
      </c>
      <c r="I38" s="336" t="s">
        <v>96</v>
      </c>
      <c r="J38" s="336" t="s">
        <v>96</v>
      </c>
      <c r="K38" s="633" t="s">
        <v>96</v>
      </c>
      <c r="L38" s="633" t="s">
        <v>96</v>
      </c>
      <c r="M38" s="814" t="s">
        <v>96</v>
      </c>
      <c r="N38" s="286" t="s">
        <v>63</v>
      </c>
      <c r="O38" s="79"/>
      <c r="P38" s="95"/>
    </row>
    <row r="39" spans="1:16" ht="12.75" customHeight="1">
      <c r="A39" s="12"/>
      <c r="B39" s="174" t="s">
        <v>94</v>
      </c>
      <c r="C39" s="314"/>
      <c r="D39" s="315"/>
      <c r="E39" s="315"/>
      <c r="F39" s="315"/>
      <c r="G39" s="315">
        <v>2741</v>
      </c>
      <c r="H39" s="315"/>
      <c r="I39" s="315"/>
      <c r="J39" s="315"/>
      <c r="K39" s="622"/>
      <c r="L39" s="622"/>
      <c r="M39" s="805"/>
      <c r="N39" s="284" t="s">
        <v>94</v>
      </c>
      <c r="O39" s="25"/>
      <c r="P39" s="95"/>
    </row>
    <row r="40" spans="1:16" ht="12.75" customHeight="1">
      <c r="A40" s="12"/>
      <c r="B40" s="14" t="s">
        <v>64</v>
      </c>
      <c r="C40" s="337">
        <v>32545</v>
      </c>
      <c r="D40" s="330">
        <v>31417</v>
      </c>
      <c r="E40" s="319">
        <v>27104</v>
      </c>
      <c r="F40" s="319">
        <v>19894</v>
      </c>
      <c r="G40" s="319">
        <v>20394</v>
      </c>
      <c r="H40" s="319">
        <v>19553</v>
      </c>
      <c r="I40" s="319">
        <v>19497</v>
      </c>
      <c r="J40" s="319">
        <v>18917</v>
      </c>
      <c r="K40" s="474">
        <v>18339</v>
      </c>
      <c r="L40" s="474">
        <f>29+10888</f>
        <v>10917</v>
      </c>
      <c r="M40" s="815">
        <v>10464</v>
      </c>
      <c r="N40" s="289" t="s">
        <v>64</v>
      </c>
      <c r="O40" s="25"/>
      <c r="P40" s="95"/>
    </row>
    <row r="41" spans="2:15" ht="15" customHeight="1">
      <c r="B41" s="915" t="s">
        <v>201</v>
      </c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39"/>
    </row>
    <row r="42" spans="2:9" ht="11.25">
      <c r="B42" s="3" t="s">
        <v>0</v>
      </c>
      <c r="C42" s="22"/>
      <c r="D42" s="22"/>
      <c r="E42" s="22"/>
      <c r="F42" s="22"/>
      <c r="G42" s="22"/>
      <c r="H42" s="22"/>
      <c r="I42" s="22"/>
    </row>
    <row r="43" spans="2:9" ht="12.75" customHeight="1">
      <c r="B43" s="462" t="s">
        <v>178</v>
      </c>
      <c r="C43" s="458"/>
      <c r="D43" s="458"/>
      <c r="E43" s="458"/>
      <c r="F43" s="458"/>
      <c r="G43" s="458"/>
      <c r="H43" s="458"/>
      <c r="I43" s="458"/>
    </row>
    <row r="44" spans="2:9" ht="12.75" customHeight="1">
      <c r="B44" s="458" t="s">
        <v>228</v>
      </c>
      <c r="C44" s="458"/>
      <c r="D44" s="458"/>
      <c r="E44" s="458"/>
      <c r="F44" s="458"/>
      <c r="G44" s="458"/>
      <c r="H44" s="458"/>
      <c r="I44" s="458"/>
    </row>
    <row r="45" spans="2:9" ht="12.75" customHeight="1">
      <c r="B45" s="840" t="s">
        <v>188</v>
      </c>
      <c r="C45" s="840"/>
      <c r="D45" s="840"/>
      <c r="E45" s="840"/>
      <c r="F45" s="840"/>
      <c r="G45" s="840"/>
      <c r="H45" s="840"/>
      <c r="I45" s="840"/>
    </row>
    <row r="46" ht="11.25">
      <c r="C46" s="6"/>
    </row>
    <row r="49" ht="15">
      <c r="B49" s="44"/>
    </row>
  </sheetData>
  <mergeCells count="4">
    <mergeCell ref="B45:I45"/>
    <mergeCell ref="B2:N2"/>
    <mergeCell ref="B3:N3"/>
    <mergeCell ref="B41:N41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3"/>
  <dimension ref="A1:Y4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5" width="5.7109375" style="4" customWidth="1"/>
    <col min="6" max="14" width="5.7109375" style="4" hidden="1" customWidth="1"/>
    <col min="15" max="20" width="5.7109375" style="4" customWidth="1"/>
    <col min="21" max="22" width="6.00390625" style="4" customWidth="1"/>
    <col min="23" max="23" width="4.00390625" style="4" customWidth="1"/>
    <col min="24" max="24" width="1.8515625" style="4" customWidth="1"/>
    <col min="25" max="16384" width="9.140625" style="4" customWidth="1"/>
  </cols>
  <sheetData>
    <row r="1" spans="2:23" ht="14.25" customHeight="1">
      <c r="B1" s="881"/>
      <c r="C1" s="881"/>
      <c r="D1" s="56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W1" s="20" t="s">
        <v>99</v>
      </c>
    </row>
    <row r="2" spans="2:24" s="189" customFormat="1" ht="30" customHeight="1">
      <c r="B2" s="882" t="s">
        <v>15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415"/>
    </row>
    <row r="3" spans="2:24" ht="18" customHeight="1">
      <c r="B3" s="883" t="s">
        <v>16</v>
      </c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  <c r="X3" s="416"/>
    </row>
    <row r="4" spans="2:25" ht="24.75" customHeight="1">
      <c r="B4" s="5"/>
      <c r="C4" s="800">
        <v>1970</v>
      </c>
      <c r="D4" s="800">
        <v>1980</v>
      </c>
      <c r="E4" s="179">
        <v>1990</v>
      </c>
      <c r="F4" s="179">
        <v>1991</v>
      </c>
      <c r="G4" s="179">
        <v>1992</v>
      </c>
      <c r="H4" s="179">
        <v>1993</v>
      </c>
      <c r="I4" s="179">
        <v>1994</v>
      </c>
      <c r="J4" s="179">
        <v>1995</v>
      </c>
      <c r="K4" s="179">
        <v>1996</v>
      </c>
      <c r="L4" s="179">
        <v>1997</v>
      </c>
      <c r="M4" s="179">
        <v>1998</v>
      </c>
      <c r="N4" s="179">
        <v>1999</v>
      </c>
      <c r="O4" s="179">
        <v>2000</v>
      </c>
      <c r="P4" s="179">
        <v>2001</v>
      </c>
      <c r="Q4" s="179">
        <v>2002</v>
      </c>
      <c r="R4" s="179">
        <v>2003</v>
      </c>
      <c r="S4" s="179">
        <v>2004</v>
      </c>
      <c r="T4" s="179">
        <v>2005</v>
      </c>
      <c r="U4" s="179">
        <v>2006</v>
      </c>
      <c r="V4" s="180">
        <v>2007</v>
      </c>
      <c r="W4" s="10"/>
      <c r="X4" s="10"/>
      <c r="Y4" s="23" t="s">
        <v>4</v>
      </c>
    </row>
    <row r="5" spans="2:25" ht="12.75" customHeight="1">
      <c r="B5" s="177" t="s">
        <v>47</v>
      </c>
      <c r="C5" s="816"/>
      <c r="D5" s="816"/>
      <c r="E5" s="450">
        <f>stock_cars!E7/population!X6</f>
        <v>345.1488109555694</v>
      </c>
      <c r="F5" s="450">
        <f>stock_cars!F7/population!Y6</f>
        <v>354.7967412417269</v>
      </c>
      <c r="G5" s="450">
        <f>stock_cars!G7/population!Z6</f>
        <v>362.9785038446811</v>
      </c>
      <c r="H5" s="450">
        <f>stock_cars!H7/population!AA6</f>
        <v>368.3038578849352</v>
      </c>
      <c r="I5" s="450">
        <f>stock_cars!I7/population!AB6</f>
        <v>374.1269508996475</v>
      </c>
      <c r="J5" s="370">
        <f>stock_cars!J7/population!AC6</f>
        <v>380.76427070516263</v>
      </c>
      <c r="K5" s="370">
        <f>stock_cars!K7/population!AD6</f>
        <v>388.878392523048</v>
      </c>
      <c r="L5" s="370">
        <f>stock_cars!L7/population!AE6</f>
        <v>387.43268731509283</v>
      </c>
      <c r="M5" s="370">
        <f>stock_cars!M7/population!AF6</f>
        <v>396.9237139381208</v>
      </c>
      <c r="N5" s="370">
        <f>stock_cars!N7/population!AG6</f>
        <v>407.368352519319</v>
      </c>
      <c r="O5" s="370">
        <f>stock_cars!O7/population!AH6</f>
        <v>416.6808037035975</v>
      </c>
      <c r="P5" s="370">
        <f>stock_cars!P7/population!AI6</f>
        <v>425.70640829056566</v>
      </c>
      <c r="Q5" s="370">
        <f>stock_cars!Q7/population!AJ6</f>
        <v>432.39383289130467</v>
      </c>
      <c r="R5" s="370">
        <f>stock_cars!R7/population!AK6</f>
        <v>436.3486100180002</v>
      </c>
      <c r="S5" s="370">
        <f>stock_cars!S7/population!AL6</f>
        <v>441.32406859365005</v>
      </c>
      <c r="T5" s="370">
        <f>stock_cars!T7/population!AM6</f>
        <v>448.3588530482219</v>
      </c>
      <c r="U5" s="370">
        <f>stock_cars!U7/population!AN6</f>
        <v>455.5135232942506</v>
      </c>
      <c r="V5" s="371">
        <f>stock_cars!V7/population!AO6</f>
        <v>463.6287428703286</v>
      </c>
      <c r="W5" s="177" t="s">
        <v>47</v>
      </c>
      <c r="X5" s="29"/>
      <c r="Y5" s="95">
        <f>100*(V5/U5-1)</f>
        <v>1.7815540397986718</v>
      </c>
    </row>
    <row r="6" spans="2:25" ht="12.75" customHeight="1">
      <c r="B6" s="174" t="s">
        <v>82</v>
      </c>
      <c r="C6" s="817">
        <f>stock_cars!C8/population!V7</f>
        <v>172.6392206480121</v>
      </c>
      <c r="D6" s="817">
        <f>stock_cars!D8/population!W7</f>
        <v>286.89557005643985</v>
      </c>
      <c r="E6" s="372">
        <f>stock_cars!E8/population!X7</f>
        <v>405.1121401555395</v>
      </c>
      <c r="F6" s="372">
        <f>stock_cars!F8/population!Y7</f>
        <v>412.78467619458524</v>
      </c>
      <c r="G6" s="372">
        <f>stock_cars!G8/population!Z7</f>
        <v>420.54236002857755</v>
      </c>
      <c r="H6" s="372">
        <f>stock_cars!H8/population!AA7</f>
        <v>424.36353426179545</v>
      </c>
      <c r="I6" s="372">
        <f>stock_cars!I8/population!AB7</f>
        <v>429.2770433007554</v>
      </c>
      <c r="J6" s="372">
        <f>stock_cars!J8/population!AC7</f>
        <v>434.6334257411259</v>
      </c>
      <c r="K6" s="372">
        <f>stock_cars!K8/population!AD7</f>
        <v>441.73575279858613</v>
      </c>
      <c r="L6" s="372">
        <f>stock_cars!L8/population!AE7</f>
        <v>436.51052552950614</v>
      </c>
      <c r="M6" s="372">
        <f>stock_cars!M8/population!AF7</f>
        <v>446.02718948768137</v>
      </c>
      <c r="N6" s="372">
        <f>stock_cars!N8/population!AG7</f>
        <v>457.43532822978557</v>
      </c>
      <c r="O6" s="372">
        <f>stock_cars!O8/population!AH7</f>
        <v>465.43977625984843</v>
      </c>
      <c r="P6" s="372">
        <f>stock_cars!P8/population!AI7</f>
        <v>473.2577138987712</v>
      </c>
      <c r="Q6" s="372">
        <f>stock_cars!Q8/population!AJ7</f>
        <v>478.390411714061</v>
      </c>
      <c r="R6" s="372">
        <f>stock_cars!R8/population!AK7</f>
        <v>480.6667835374139</v>
      </c>
      <c r="S6" s="372">
        <f>stock_cars!S8/population!AL7</f>
        <v>483.46699901726754</v>
      </c>
      <c r="T6" s="372">
        <f>stock_cars!T8/population!AM7</f>
        <v>488.9969858035477</v>
      </c>
      <c r="U6" s="372">
        <f>stock_cars!U8/population!AN7</f>
        <v>494.94179154415895</v>
      </c>
      <c r="V6" s="373">
        <f>stock_cars!V8/population!AO7</f>
        <v>500.07359365452817</v>
      </c>
      <c r="W6" s="174" t="s">
        <v>82</v>
      </c>
      <c r="X6" s="29"/>
      <c r="Y6" s="95">
        <f aca="true" t="shared" si="0" ref="Y6:Y40">100*(V6/U6-1)</f>
        <v>1.036849625156644</v>
      </c>
    </row>
    <row r="7" spans="2:25" ht="12.75" customHeight="1">
      <c r="B7" s="176" t="s">
        <v>175</v>
      </c>
      <c r="C7" s="818"/>
      <c r="D7" s="818"/>
      <c r="E7" s="495">
        <f>stock_cars!E9/population!X8</f>
        <v>140.38185906673993</v>
      </c>
      <c r="F7" s="374">
        <f>stock_cars!F9/population!Y8</f>
        <v>154.30880860978175</v>
      </c>
      <c r="G7" s="374">
        <f>stock_cars!G9/population!Z8</f>
        <v>162.8041500198246</v>
      </c>
      <c r="H7" s="374">
        <f>stock_cars!H9/population!AA8</f>
        <v>172.61762807080393</v>
      </c>
      <c r="I7" s="374">
        <f>stock_cars!I9/population!AB8</f>
        <v>180.95468549067039</v>
      </c>
      <c r="J7" s="374">
        <f>stock_cars!J9/population!AC8</f>
        <v>191.28525006597235</v>
      </c>
      <c r="K7" s="374">
        <f>stock_cars!K9/population!AD8</f>
        <v>202.1742836760319</v>
      </c>
      <c r="L7" s="374">
        <f>stock_cars!L9/population!AE8</f>
        <v>213.4017137369248</v>
      </c>
      <c r="M7" s="374">
        <f>stock_cars!M9/population!AF8</f>
        <v>222.11573248379287</v>
      </c>
      <c r="N7" s="374">
        <f>stock_cars!N9/population!AG8</f>
        <v>229.18257004810116</v>
      </c>
      <c r="O7" s="374">
        <f>stock_cars!O9/population!AH8</f>
        <v>241.53220327513202</v>
      </c>
      <c r="P7" s="374">
        <f>stock_cars!P9/population!AI8</f>
        <v>252.4842044979945</v>
      </c>
      <c r="Q7" s="374">
        <f>stock_cars!Q9/population!AJ8</f>
        <v>263.579546659653</v>
      </c>
      <c r="R7" s="374">
        <f>stock_cars!R9/population!AK8</f>
        <v>272.46035106794875</v>
      </c>
      <c r="S7" s="374">
        <f>stock_cars!S9/population!AL8</f>
        <v>284.31925290051265</v>
      </c>
      <c r="T7" s="797">
        <f>stock_cars!T9/population!AM8</f>
        <v>295.99335309697835</v>
      </c>
      <c r="U7" s="797">
        <f>stock_cars!U9/population!AN8</f>
        <v>306.7205333026926</v>
      </c>
      <c r="V7" s="375">
        <f>stock_cars!V9/population!AO8</f>
        <v>325.25730495679574</v>
      </c>
      <c r="W7" s="176" t="s">
        <v>175</v>
      </c>
      <c r="X7" s="29"/>
      <c r="Y7" s="95">
        <f t="shared" si="0"/>
        <v>6.043537892459838</v>
      </c>
    </row>
    <row r="8" spans="1:25" ht="12.75" customHeight="1">
      <c r="A8" s="12"/>
      <c r="B8" s="13" t="s">
        <v>83</v>
      </c>
      <c r="C8" s="819">
        <f>stock_cars!C10/population!D9</f>
        <v>213.4108331785989</v>
      </c>
      <c r="D8" s="819">
        <f>stock_cars!D10/population!N9</f>
        <v>320.24913584337367</v>
      </c>
      <c r="E8" s="376">
        <f>stock_cars!E10/population!X9</f>
        <v>386.91986312171605</v>
      </c>
      <c r="F8" s="376">
        <f>stock_cars!F10/population!Y9</f>
        <v>396.1286358397433</v>
      </c>
      <c r="G8" s="376">
        <f>stock_cars!G10/population!Z9</f>
        <v>399.37153361946514</v>
      </c>
      <c r="H8" s="376">
        <f>stock_cars!H10/population!AA9</f>
        <v>406.8657690791793</v>
      </c>
      <c r="I8" s="376">
        <f>stock_cars!I10/population!AB9</f>
        <v>415.59313420937457</v>
      </c>
      <c r="J8" s="376">
        <f>stock_cars!J10/population!AC9</f>
        <v>421.3182685636772</v>
      </c>
      <c r="K8" s="376">
        <f>stock_cars!K10/population!AD9</f>
        <v>426.6602335090685</v>
      </c>
      <c r="L8" s="376">
        <f>stock_cars!L10/population!AE9</f>
        <v>433.2053212122449</v>
      </c>
      <c r="M8" s="376">
        <f>stock_cars!M10/population!AF9</f>
        <v>439.7731607346645</v>
      </c>
      <c r="N8" s="376">
        <f>stock_cars!N10/population!AG9</f>
        <v>447.65865309253707</v>
      </c>
      <c r="O8" s="376">
        <f>stock_cars!O10/population!AH9</f>
        <v>455.83038938115527</v>
      </c>
      <c r="P8" s="376">
        <f>stock_cars!P10/population!AI9</f>
        <v>459.7455315248467</v>
      </c>
      <c r="Q8" s="376">
        <f>stock_cars!Q10/population!AJ9</f>
        <v>462.2857393371318</v>
      </c>
      <c r="R8" s="376">
        <f>stock_cars!R10/population!AK9</f>
        <v>463.7045767961879</v>
      </c>
      <c r="S8" s="376">
        <f>stock_cars!S10/population!AL9</f>
        <v>466.63747485604813</v>
      </c>
      <c r="T8" s="376">
        <f>stock_cars!T10/population!AM9</f>
        <v>467.9255306295595</v>
      </c>
      <c r="U8" s="376">
        <f>stock_cars!U10/population!AN9</f>
        <v>470.14691435636183</v>
      </c>
      <c r="V8" s="377">
        <f>stock_cars!V10/population!AO9</f>
        <v>473.30893628925304</v>
      </c>
      <c r="W8" s="13" t="s">
        <v>83</v>
      </c>
      <c r="X8" s="29"/>
      <c r="Y8" s="95">
        <f t="shared" si="0"/>
        <v>0.6725603925785695</v>
      </c>
    </row>
    <row r="9" spans="1:25" ht="12.75" customHeight="1">
      <c r="A9" s="12"/>
      <c r="B9" s="174" t="s">
        <v>65</v>
      </c>
      <c r="C9" s="820">
        <f>stock_cars!C11/population!D10</f>
        <v>18.79062812724497</v>
      </c>
      <c r="D9" s="820">
        <f>stock_cars!D11/population!N10</f>
        <v>92.37717103250189</v>
      </c>
      <c r="E9" s="378">
        <f>stock_cars!E11/population!X10</f>
        <v>151.96206277599646</v>
      </c>
      <c r="F9" s="378">
        <f>stock_cars!F11/population!Y10</f>
        <v>158.10662948426872</v>
      </c>
      <c r="G9" s="378">
        <f>stock_cars!G11/population!Z10</f>
        <v>166.3315011686105</v>
      </c>
      <c r="H9" s="378">
        <f>stock_cars!H11/population!AA10</f>
        <v>177.95427602404465</v>
      </c>
      <c r="I9" s="378">
        <f>stock_cars!I11/population!AB10</f>
        <v>188.41749631975063</v>
      </c>
      <c r="J9" s="378">
        <f>stock_cars!J11/population!AC10</f>
        <v>196.49695904989017</v>
      </c>
      <c r="K9" s="378">
        <f>stock_cars!K11/population!AD10</f>
        <v>204.65604819411155</v>
      </c>
      <c r="L9" s="378">
        <f>stock_cars!L11/population!AE10</f>
        <v>208.9175680896272</v>
      </c>
      <c r="M9" s="378">
        <f>stock_cars!M11/population!AF10</f>
        <v>219.83820656444283</v>
      </c>
      <c r="N9" s="378">
        <f>stock_cars!N11/population!AG10</f>
        <v>232.99095237188308</v>
      </c>
      <c r="O9" s="378">
        <f>stock_cars!O11/population!AH10</f>
        <v>244.51902872678315</v>
      </c>
      <c r="P9" s="378">
        <f>stock_cars!P11/population!AI10</f>
        <v>264.31059314328365</v>
      </c>
      <c r="Q9" s="378">
        <f>stock_cars!Q11/population!AJ10</f>
        <v>277.10222524264765</v>
      </c>
      <c r="R9" s="378">
        <f>stock_cars!R11/population!AK10</f>
        <v>296.0157912689378</v>
      </c>
      <c r="S9" s="378">
        <f>stock_cars!S11/population!AL10</f>
        <v>314.1843325560759</v>
      </c>
      <c r="T9" s="447">
        <f>stock_cars!T11/population!AM10</f>
        <v>328.80971659919027</v>
      </c>
      <c r="U9" s="378">
        <f>stock_cars!U11/population!AN10</f>
        <v>230.19055147025313</v>
      </c>
      <c r="V9" s="379">
        <f>stock_cars!V11/population!AO10</f>
        <v>272.43915700008296</v>
      </c>
      <c r="W9" s="174" t="s">
        <v>65</v>
      </c>
      <c r="X9" s="29"/>
      <c r="Y9" s="95">
        <f t="shared" si="0"/>
        <v>18.353753123220386</v>
      </c>
    </row>
    <row r="10" spans="1:25" ht="12.75" customHeight="1">
      <c r="A10" s="12"/>
      <c r="B10" s="14" t="s">
        <v>67</v>
      </c>
      <c r="C10" s="821">
        <f>stock_cars!C12/population!D11</f>
        <v>69.82907778622864</v>
      </c>
      <c r="D10" s="821">
        <f>stock_cars!D12/population!N11</f>
        <v>172.9378161276561</v>
      </c>
      <c r="E10" s="380">
        <f>stock_cars!E12/population!X11</f>
        <v>233.87597411526707</v>
      </c>
      <c r="F10" s="380">
        <f>stock_cars!F12/population!Y11</f>
        <v>240.4837291424001</v>
      </c>
      <c r="G10" s="380">
        <f>stock_cars!G12/population!Z11</f>
        <v>249.86206742266407</v>
      </c>
      <c r="H10" s="380">
        <f>stock_cars!H12/population!AA11</f>
        <v>274.15709657032556</v>
      </c>
      <c r="I10" s="380">
        <f>stock_cars!I12/population!AB11</f>
        <v>282.9643320180533</v>
      </c>
      <c r="J10" s="380">
        <f>stock_cars!J12/population!AC11</f>
        <v>294.85656131604566</v>
      </c>
      <c r="K10" s="380">
        <f>stock_cars!K12/population!AD11</f>
        <v>309.67985002042366</v>
      </c>
      <c r="L10" s="380">
        <f>stock_cars!L12/population!AE11</f>
        <v>329.3038000801039</v>
      </c>
      <c r="M10" s="380">
        <f>stock_cars!M12/population!AF11</f>
        <v>339.46449533952705</v>
      </c>
      <c r="N10" s="380">
        <f>stock_cars!N12/population!AG11</f>
        <v>334.6674647390986</v>
      </c>
      <c r="O10" s="380">
        <f>stock_cars!O12/population!AH11</f>
        <v>334.9588069833808</v>
      </c>
      <c r="P10" s="380">
        <f>stock_cars!P12/population!AI11</f>
        <v>345.8397230923704</v>
      </c>
      <c r="Q10" s="380">
        <f>stock_cars!Q12/population!AJ11</f>
        <v>357.44103188889756</v>
      </c>
      <c r="R10" s="380">
        <f>stock_cars!R12/population!AK11</f>
        <v>362.92692863064076</v>
      </c>
      <c r="S10" s="380">
        <f>stock_cars!S12/population!AL11</f>
        <v>373.32011685837307</v>
      </c>
      <c r="T10" s="380">
        <f>stock_cars!T12/population!AM11</f>
        <v>386.1747626762022</v>
      </c>
      <c r="U10" s="380">
        <f>stock_cars!U12/population!AN11</f>
        <v>399.39093176960193</v>
      </c>
      <c r="V10" s="381">
        <f>stock_cars!V12/population!AO11</f>
        <v>412.2943263401961</v>
      </c>
      <c r="W10" s="14" t="s">
        <v>67</v>
      </c>
      <c r="X10" s="29"/>
      <c r="Y10" s="95">
        <f t="shared" si="0"/>
        <v>3.23076803807798</v>
      </c>
    </row>
    <row r="11" spans="1:25" ht="12.75" customHeight="1">
      <c r="A11" s="12"/>
      <c r="B11" s="174" t="s">
        <v>78</v>
      </c>
      <c r="C11" s="820">
        <f>stock_cars!C13/population!D12</f>
        <v>217.5242263661885</v>
      </c>
      <c r="D11" s="820">
        <f>stock_cars!D13/population!N12</f>
        <v>271.2730257617649</v>
      </c>
      <c r="E11" s="378">
        <f>stock_cars!E13/population!X12</f>
        <v>308.9496895832852</v>
      </c>
      <c r="F11" s="378">
        <f>stock_cars!F13/population!Y12</f>
        <v>308.7875034433487</v>
      </c>
      <c r="G11" s="378">
        <f>stock_cars!G13/population!Z12</f>
        <v>309.6260404654738</v>
      </c>
      <c r="H11" s="378">
        <f>stock_cars!H13/population!AA12</f>
        <v>311.3037226732186</v>
      </c>
      <c r="I11" s="378">
        <f>stock_cars!I13/population!AB12</f>
        <v>308.91068113728545</v>
      </c>
      <c r="J11" s="378">
        <f>stock_cars!J13/population!AC12</f>
        <v>319.748308283313</v>
      </c>
      <c r="K11" s="378">
        <f>stock_cars!K13/population!AD12</f>
        <v>329.63300747035</v>
      </c>
      <c r="L11" s="378">
        <f>stock_cars!L13/population!AE12</f>
        <v>336.7601787393812</v>
      </c>
      <c r="M11" s="378">
        <f>stock_cars!M13/population!AF12</f>
        <v>341.98187021661676</v>
      </c>
      <c r="N11" s="378">
        <f>stock_cars!N13/population!AG12</f>
        <v>345.82496876184325</v>
      </c>
      <c r="O11" s="378">
        <f>stock_cars!O13/population!AH12</f>
        <v>346.60432228148744</v>
      </c>
      <c r="P11" s="378">
        <f>stock_cars!P13/population!AI12</f>
        <v>348.82777849597846</v>
      </c>
      <c r="Q11" s="378">
        <f>stock_cars!Q13/population!AJ12</f>
        <v>350.75462890639875</v>
      </c>
      <c r="R11" s="378">
        <f>stock_cars!R13/population!AK12</f>
        <v>351.0143321896236</v>
      </c>
      <c r="S11" s="378">
        <f>stock_cars!S13/population!AL12</f>
        <v>354.0339338859316</v>
      </c>
      <c r="T11" s="378">
        <f>stock_cars!T13/population!AM12</f>
        <v>361.9892844883766</v>
      </c>
      <c r="U11" s="378">
        <f>stock_cars!U13/population!AN12</f>
        <v>370.84300517487884</v>
      </c>
      <c r="V11" s="379">
        <f>stock_cars!V13/population!AO12</f>
        <v>377.7523649094715</v>
      </c>
      <c r="W11" s="174" t="s">
        <v>78</v>
      </c>
      <c r="X11" s="29"/>
      <c r="Y11" s="95">
        <f t="shared" si="0"/>
        <v>1.863149537183384</v>
      </c>
    </row>
    <row r="12" spans="1:25" ht="12.75" customHeight="1">
      <c r="A12" s="12"/>
      <c r="B12" s="14" t="s">
        <v>84</v>
      </c>
      <c r="C12" s="821">
        <f>stock_cars!C14/population!D13</f>
        <v>193.50812395552978</v>
      </c>
      <c r="D12" s="821">
        <f>stock_cars!D14/population!N13</f>
        <v>329.9801562524515</v>
      </c>
      <c r="E12" s="380">
        <f>stock_cars!E14/population!X13</f>
        <v>461.07225228641846</v>
      </c>
      <c r="F12" s="380">
        <f>stock_cars!F14/population!Y13</f>
        <v>472.71511807899697</v>
      </c>
      <c r="G12" s="380">
        <f>stock_cars!G14/population!Z13</f>
        <v>480.29857054490844</v>
      </c>
      <c r="H12" s="380">
        <f>stock_cars!H14/population!AA13</f>
        <v>481.96440995979583</v>
      </c>
      <c r="I12" s="380">
        <f>stock_cars!I14/population!AB13</f>
        <v>489.5543402920455</v>
      </c>
      <c r="J12" s="380">
        <f>stock_cars!J14/population!AC13</f>
        <v>494.9973110275591</v>
      </c>
      <c r="K12" s="380">
        <f>stock_cars!K14/population!AD13</f>
        <v>500.477197516144</v>
      </c>
      <c r="L12" s="380">
        <f>stock_cars!L14/population!AE13</f>
        <v>449.9856984220761</v>
      </c>
      <c r="M12" s="380">
        <f>stock_cars!M14/population!AF13</f>
        <v>457.76349652719546</v>
      </c>
      <c r="N12" s="380">
        <f>stock_cars!N14/population!AG13</f>
        <v>467.6868401683351</v>
      </c>
      <c r="O12" s="380">
        <f>stock_cars!O14/population!AH13</f>
        <v>474.8256190102692</v>
      </c>
      <c r="P12" s="380">
        <f>stock_cars!P14/population!AI13</f>
        <v>477.77985645347354</v>
      </c>
      <c r="Q12" s="380">
        <f>stock_cars!Q14/population!AJ13</f>
        <v>481.25210512465486</v>
      </c>
      <c r="R12" s="380">
        <f>stock_cars!R14/population!AK13</f>
        <v>484.8742490625205</v>
      </c>
      <c r="S12" s="380">
        <f>stock_cars!S14/population!AL13</f>
        <v>487.0189517686054</v>
      </c>
      <c r="T12" s="380">
        <f>stock_cars!T14/population!AM13</f>
        <v>493.2131112601659</v>
      </c>
      <c r="U12" s="380">
        <f>stock_cars!U14/population!AN13</f>
        <v>498.326512090046</v>
      </c>
      <c r="V12" s="381">
        <f>stock_cars!V14/population!AO13</f>
        <v>500.9082639816953</v>
      </c>
      <c r="W12" s="14" t="s">
        <v>84</v>
      </c>
      <c r="X12" s="29"/>
      <c r="Y12" s="95">
        <f t="shared" si="0"/>
        <v>0.5180843942701685</v>
      </c>
    </row>
    <row r="13" spans="1:25" ht="12.75" customHeight="1">
      <c r="A13" s="12"/>
      <c r="B13" s="174" t="s">
        <v>68</v>
      </c>
      <c r="C13" s="820">
        <f>stock_cars!C15/population!D14</f>
        <v>21.92163599708004</v>
      </c>
      <c r="D13" s="820">
        <f>stock_cars!D15/population!N14</f>
        <v>85.6807266265339</v>
      </c>
      <c r="E13" s="378">
        <f>stock_cars!E15/population!X14</f>
        <v>153.72358713033782</v>
      </c>
      <c r="F13" s="378">
        <f>stock_cars!F15/population!Y14</f>
        <v>167.8588287955711</v>
      </c>
      <c r="G13" s="378">
        <f>stock_cars!G15/population!Z14</f>
        <v>187.91731373523376</v>
      </c>
      <c r="H13" s="378">
        <f>stock_cars!H15/population!AA14</f>
        <v>214.91896825353837</v>
      </c>
      <c r="I13" s="378">
        <f>stock_cars!I15/population!AB14</f>
        <v>233.283497056437</v>
      </c>
      <c r="J13" s="378">
        <f>stock_cars!J15/population!AC14</f>
        <v>269.0472581939837</v>
      </c>
      <c r="K13" s="378">
        <f>stock_cars!K15/population!AD14</f>
        <v>289.1885894412217</v>
      </c>
      <c r="L13" s="378">
        <f>stock_cars!L15/population!AE14</f>
        <v>307.0030737778467</v>
      </c>
      <c r="M13" s="378">
        <f>stock_cars!M15/population!AF14</f>
        <v>326.9590360467418</v>
      </c>
      <c r="N13" s="378">
        <f>stock_cars!N15/population!AG14</f>
        <v>334.31214565427007</v>
      </c>
      <c r="O13" s="378">
        <f>stock_cars!O15/population!AH14</f>
        <v>339.36643308248455</v>
      </c>
      <c r="P13" s="378">
        <f>stock_cars!P15/population!AI14</f>
        <v>299.2120431194453</v>
      </c>
      <c r="Q13" s="378">
        <f>stock_cars!Q15/population!AJ14</f>
        <v>295.4916687868028</v>
      </c>
      <c r="R13" s="378">
        <f>stock_cars!R15/population!AK14</f>
        <v>321.2271171938665</v>
      </c>
      <c r="S13" s="378">
        <f>stock_cars!S15/population!AL14</f>
        <v>349.6820060704559</v>
      </c>
      <c r="T13" s="378">
        <f>stock_cars!T15/population!AM14</f>
        <v>367.20895020688874</v>
      </c>
      <c r="U13" s="447">
        <f>stock_cars!U15/population!AN14</f>
        <v>412.6998552602075</v>
      </c>
      <c r="V13" s="379">
        <f>stock_cars!V15/population!AO14</f>
        <v>390.59760540220066</v>
      </c>
      <c r="W13" s="174" t="s">
        <v>68</v>
      </c>
      <c r="X13" s="29"/>
      <c r="Y13" s="95">
        <f t="shared" si="0"/>
        <v>-5.355526437989999</v>
      </c>
    </row>
    <row r="14" spans="1:25" ht="12.75" customHeight="1">
      <c r="A14" s="12"/>
      <c r="B14" s="14" t="s">
        <v>87</v>
      </c>
      <c r="C14" s="821">
        <f>stock_cars!C16/population!D15</f>
        <v>132.42427302100162</v>
      </c>
      <c r="D14" s="821">
        <f>stock_cars!D16/population!N15</f>
        <v>215.01806105802845</v>
      </c>
      <c r="E14" s="380">
        <f>stock_cars!E16/population!X15</f>
        <v>227.60302041166415</v>
      </c>
      <c r="F14" s="380">
        <f>stock_cars!F16/population!Y15</f>
        <v>237.33555988286938</v>
      </c>
      <c r="G14" s="380">
        <f>stock_cars!G16/population!Z15</f>
        <v>242.11828035615278</v>
      </c>
      <c r="H14" s="380">
        <f>stock_cars!H16/population!AA15</f>
        <v>250.38583326309728</v>
      </c>
      <c r="I14" s="380">
        <f>stock_cars!I16/population!AB15</f>
        <v>262.93710531165493</v>
      </c>
      <c r="J14" s="380">
        <f>stock_cars!J16/population!AC15</f>
        <v>275.81548950087915</v>
      </c>
      <c r="K14" s="380">
        <f>stock_cars!K16/population!AD15</f>
        <v>291.8235655432146</v>
      </c>
      <c r="L14" s="380">
        <f>stock_cars!L16/population!AE15</f>
        <v>309.9346379747356</v>
      </c>
      <c r="M14" s="380">
        <f>stock_cars!M16/population!AF15</f>
        <v>323.70978947811227</v>
      </c>
      <c r="N14" s="380">
        <f>stock_cars!N16/population!AG15</f>
        <v>339.439239571143</v>
      </c>
      <c r="O14" s="380">
        <f>stock_cars!O16/population!AH15</f>
        <v>347.7423399538687</v>
      </c>
      <c r="P14" s="380">
        <f>stock_cars!P16/population!AI15</f>
        <v>359.306552310894</v>
      </c>
      <c r="Q14" s="380">
        <f>stock_cars!Q16/population!AJ15</f>
        <v>369.9000798503405</v>
      </c>
      <c r="R14" s="380">
        <f>stock_cars!R16/population!AK15</f>
        <v>379.1121157018391</v>
      </c>
      <c r="S14" s="380">
        <f>stock_cars!S16/population!AL15</f>
        <v>390.2432435918371</v>
      </c>
      <c r="T14" s="380">
        <f>stock_cars!T16/population!AM15</f>
        <v>400.1039197019543</v>
      </c>
      <c r="U14" s="380">
        <f>stock_cars!U16/population!AN15</f>
        <v>417.8861762224738</v>
      </c>
      <c r="V14" s="381">
        <f>stock_cars!V16/population!AO15</f>
        <v>433.85813622457727</v>
      </c>
      <c r="W14" s="14" t="s">
        <v>87</v>
      </c>
      <c r="X14" s="29"/>
      <c r="Y14" s="95">
        <f t="shared" si="0"/>
        <v>3.822083837872703</v>
      </c>
    </row>
    <row r="15" spans="1:25" ht="12.75" customHeight="1">
      <c r="A15" s="12"/>
      <c r="B15" s="174" t="s">
        <v>79</v>
      </c>
      <c r="C15" s="820">
        <f>stock_cars!C17/population!D16</f>
        <v>25.768367370811774</v>
      </c>
      <c r="D15" s="820">
        <f>stock_cars!D17/population!N16</f>
        <v>88.92119083467739</v>
      </c>
      <c r="E15" s="378">
        <f>stock_cars!E17/population!X16</f>
        <v>170.2676497420609</v>
      </c>
      <c r="F15" s="378">
        <f>stock_cars!F17/population!Y16</f>
        <v>172.24229607297593</v>
      </c>
      <c r="G15" s="378">
        <f>stock_cars!G17/population!Z16</f>
        <v>175.53643410272437</v>
      </c>
      <c r="H15" s="378">
        <f>stock_cars!H17/population!AA16</f>
        <v>186.33286512524597</v>
      </c>
      <c r="I15" s="378">
        <f>stock_cars!I17/population!AB16</f>
        <v>195.7589913954353</v>
      </c>
      <c r="J15" s="378">
        <f>stock_cars!J17/population!AC16</f>
        <v>206.5602205646479</v>
      </c>
      <c r="K15" s="378">
        <f>stock_cars!K17/population!AD16</f>
        <v>217.72893651528307</v>
      </c>
      <c r="L15" s="378">
        <f>stock_cars!L17/population!AE16</f>
        <v>231.3116386411331</v>
      </c>
      <c r="M15" s="378">
        <f>stock_cars!M17/population!AF16</f>
        <v>246.34720269077602</v>
      </c>
      <c r="N15" s="378">
        <f>stock_cars!N17/population!AG16</f>
        <v>268.61209397824985</v>
      </c>
      <c r="O15" s="378">
        <f>stock_cars!O17/population!AH16</f>
        <v>292.2884263639346</v>
      </c>
      <c r="P15" s="378">
        <f>stock_cars!P17/population!AI16</f>
        <v>312.13375358337555</v>
      </c>
      <c r="Q15" s="378">
        <f>stock_cars!Q17/population!AJ16</f>
        <v>331.268772639716</v>
      </c>
      <c r="R15" s="378">
        <f>stock_cars!R17/population!AK16</f>
        <v>347.76476022697943</v>
      </c>
      <c r="S15" s="378">
        <f>stock_cars!S17/population!AL16</f>
        <v>367.55413885956654</v>
      </c>
      <c r="T15" s="378">
        <f>stock_cars!T17/population!AM16</f>
        <v>386.79188892151757</v>
      </c>
      <c r="U15" s="378">
        <f>stock_cars!U17/population!AN16</f>
        <v>406.65249996867095</v>
      </c>
      <c r="V15" s="379">
        <f>stock_cars!V17/population!AO16</f>
        <v>427.9135011060048</v>
      </c>
      <c r="W15" s="174" t="s">
        <v>79</v>
      </c>
      <c r="X15" s="29"/>
      <c r="Y15" s="95">
        <f t="shared" si="0"/>
        <v>5.22829716747637</v>
      </c>
    </row>
    <row r="16" spans="1:25" ht="12.75" customHeight="1">
      <c r="A16" s="12"/>
      <c r="B16" s="14" t="s">
        <v>85</v>
      </c>
      <c r="C16" s="821">
        <f>stock_cars!C18/population!D17</f>
        <v>69.85600966727272</v>
      </c>
      <c r="D16" s="821">
        <f>stock_cars!D18/population!N17</f>
        <v>200.77772993081848</v>
      </c>
      <c r="E16" s="380">
        <f>stock_cars!E18/population!X17</f>
        <v>308.5729070258855</v>
      </c>
      <c r="F16" s="380">
        <f>stock_cars!F18/population!Y17</f>
        <v>321.43503238322774</v>
      </c>
      <c r="G16" s="380">
        <f>stock_cars!G18/population!Z17</f>
        <v>334.8230702234587</v>
      </c>
      <c r="H16" s="380">
        <f>stock_cars!H18/population!AA17</f>
        <v>342.4656965314883</v>
      </c>
      <c r="I16" s="380">
        <f>stock_cars!I18/population!AB17</f>
        <v>349.07757650007244</v>
      </c>
      <c r="J16" s="380">
        <f>stock_cars!J18/population!AC17</f>
        <v>360.4342560192527</v>
      </c>
      <c r="K16" s="380">
        <f>stock_cars!K18/population!AD17</f>
        <v>373.27376359497896</v>
      </c>
      <c r="L16" s="380">
        <f>stock_cars!L18/population!AE17</f>
        <v>385.9132739385381</v>
      </c>
      <c r="M16" s="380">
        <f>stock_cars!M18/population!AF17</f>
        <v>403.2391216834925</v>
      </c>
      <c r="N16" s="380">
        <f>stock_cars!N18/population!AG17</f>
        <v>420.6621681236727</v>
      </c>
      <c r="O16" s="380">
        <f>stock_cars!O18/population!AH17</f>
        <v>431.0930753954563</v>
      </c>
      <c r="P16" s="380">
        <f>stock_cars!P18/population!AI17</f>
        <v>443.0908086574233</v>
      </c>
      <c r="Q16" s="380">
        <f>stock_cars!Q18/population!AJ17</f>
        <v>449.61515901779444</v>
      </c>
      <c r="R16" s="380">
        <f>stock_cars!R18/population!AK17</f>
        <v>441.33118584802077</v>
      </c>
      <c r="S16" s="380">
        <f>stock_cars!S18/population!AL17</f>
        <v>454.06157599899717</v>
      </c>
      <c r="T16" s="380">
        <f>stock_cars!T18/population!AM17</f>
        <v>462.7784931984255</v>
      </c>
      <c r="U16" s="380">
        <f>stock_cars!U18/population!AN17</f>
        <v>470.1270034145983</v>
      </c>
      <c r="V16" s="381">
        <f>stock_cars!V18/population!AO17</f>
        <v>480.5346275982477</v>
      </c>
      <c r="W16" s="14" t="s">
        <v>85</v>
      </c>
      <c r="X16" s="29"/>
      <c r="Y16" s="95">
        <f t="shared" si="0"/>
        <v>2.213789913801456</v>
      </c>
    </row>
    <row r="17" spans="1:25" ht="12.75" customHeight="1">
      <c r="A17" s="12"/>
      <c r="B17" s="174" t="s">
        <v>86</v>
      </c>
      <c r="C17" s="820">
        <f>stock_cars!C19/population!D18</f>
        <v>233.25908376537555</v>
      </c>
      <c r="D17" s="820">
        <f>stock_cars!D19/population!N18</f>
        <v>353.5162746121825</v>
      </c>
      <c r="E17" s="378">
        <f>stock_cars!E19/population!X18</f>
        <v>476.27246980818893</v>
      </c>
      <c r="F17" s="378">
        <f>stock_cars!F19/population!Y18</f>
        <v>478.18926851899636</v>
      </c>
      <c r="G17" s="378">
        <f>stock_cars!G19/population!Z18</f>
        <v>481.02570299049694</v>
      </c>
      <c r="H17" s="378">
        <f>stock_cars!H19/population!AA18</f>
        <v>480.8526214397469</v>
      </c>
      <c r="I17" s="378">
        <f>stock_cars!I19/population!AB18</f>
        <v>480.70482100915564</v>
      </c>
      <c r="J17" s="378">
        <f>stock_cars!J19/population!AC18</f>
        <v>481.08407077545746</v>
      </c>
      <c r="K17" s="378">
        <f>stock_cars!K19/population!AD18</f>
        <v>482.09120246332094</v>
      </c>
      <c r="L17" s="378">
        <f>stock_cars!L19/population!AE18</f>
        <v>483.7362455955905</v>
      </c>
      <c r="M17" s="378">
        <f>stock_cars!M19/population!AF18</f>
        <v>489.3849153283456</v>
      </c>
      <c r="N17" s="378">
        <f>stock_cars!N19/population!AG18</f>
        <v>497.40681937303003</v>
      </c>
      <c r="O17" s="378">
        <f>stock_cars!O19/population!AH18</f>
        <v>503.0922712181836</v>
      </c>
      <c r="P17" s="378">
        <f>stock_cars!P19/population!AI18</f>
        <v>508.3893409412765</v>
      </c>
      <c r="Q17" s="378">
        <f>stock_cars!Q19/population!AJ18</f>
        <v>509.27889774146206</v>
      </c>
      <c r="R17" s="378">
        <f>stock_cars!R19/population!AK18</f>
        <v>505.82039549623</v>
      </c>
      <c r="S17" s="378">
        <f>stock_cars!S19/population!AL18</f>
        <v>502.0508672420879</v>
      </c>
      <c r="T17" s="378">
        <f>stock_cars!T19/population!AM18</f>
        <v>498.5875022246537</v>
      </c>
      <c r="U17" s="378">
        <f>stock_cars!U19/population!AN18</f>
        <v>503.78858234061045</v>
      </c>
      <c r="V17" s="379">
        <f>stock_cars!V19/population!AO18</f>
        <v>508.16100673377724</v>
      </c>
      <c r="W17" s="174" t="s">
        <v>86</v>
      </c>
      <c r="X17" s="29"/>
      <c r="Y17" s="95">
        <f t="shared" si="0"/>
        <v>0.8679085923012364</v>
      </c>
    </row>
    <row r="18" spans="1:25" ht="12.75" customHeight="1">
      <c r="A18" s="12"/>
      <c r="B18" s="14" t="s">
        <v>88</v>
      </c>
      <c r="C18" s="821">
        <f>stock_cars!C20/population!D19</f>
        <v>188.6859506582849</v>
      </c>
      <c r="D18" s="821">
        <f>stock_cars!D20/population!N19</f>
        <v>313.1455364564194</v>
      </c>
      <c r="E18" s="380">
        <f>stock_cars!E20/population!X19</f>
        <v>483.1483593920984</v>
      </c>
      <c r="F18" s="380">
        <f>stock_cars!F20/population!Y19</f>
        <v>500.85360234138375</v>
      </c>
      <c r="G18" s="380">
        <f>stock_cars!G20/population!Z19</f>
        <v>517.9334843918429</v>
      </c>
      <c r="H18" s="380">
        <f>stock_cars!H20/population!AA19</f>
        <v>521.6533463264531</v>
      </c>
      <c r="I18" s="380">
        <f>stock_cars!I20/population!AB19</f>
        <v>521.8685363035182</v>
      </c>
      <c r="J18" s="380">
        <f>stock_cars!J20/population!AC19</f>
        <v>533.0609912565042</v>
      </c>
      <c r="K18" s="380">
        <f>stock_cars!K20/population!AD19</f>
        <v>535.6737114911213</v>
      </c>
      <c r="L18" s="380">
        <f>stock_cars!L20/population!AE19</f>
        <v>540.2387925189378</v>
      </c>
      <c r="M18" s="380">
        <f>stock_cars!M20/population!AF19</f>
        <v>551.2432992054049</v>
      </c>
      <c r="N18" s="380">
        <f>stock_cars!N20/population!AG19</f>
        <v>562.8304213913391</v>
      </c>
      <c r="O18" s="380">
        <f>stock_cars!O20/population!AH19</f>
        <v>572.0403642568106</v>
      </c>
      <c r="P18" s="380">
        <f>stock_cars!P20/population!AI19</f>
        <v>583.2048894069809</v>
      </c>
      <c r="Q18" s="380">
        <f>stock_cars!Q20/population!AJ19</f>
        <v>588.0237929961879</v>
      </c>
      <c r="R18" s="380">
        <f>stock_cars!R20/population!AK19</f>
        <v>592.7014370534122</v>
      </c>
      <c r="S18" s="380">
        <f>stock_cars!S20/population!AL19</f>
        <v>581.1113044928468</v>
      </c>
      <c r="T18" s="380">
        <f>stock_cars!T20/population!AM19</f>
        <v>590.0676662846466</v>
      </c>
      <c r="U18" s="380">
        <f>stock_cars!U20/population!AN19</f>
        <v>596.930724677107</v>
      </c>
      <c r="V18" s="381">
        <f>stock_cars!V20/population!AO19</f>
        <v>598.4656476117042</v>
      </c>
      <c r="W18" s="14" t="s">
        <v>88</v>
      </c>
      <c r="X18" s="29"/>
      <c r="Y18" s="95">
        <f t="shared" si="0"/>
        <v>0.2571358570004012</v>
      </c>
    </row>
    <row r="19" spans="1:25" ht="12.75" customHeight="1">
      <c r="A19" s="12"/>
      <c r="B19" s="174" t="s">
        <v>66</v>
      </c>
      <c r="C19" s="820">
        <f>stock_cars!C21/population!D20</f>
        <v>97.26049602852974</v>
      </c>
      <c r="D19" s="820">
        <f>stock_cars!D21/population!N20</f>
        <v>174.75728155339806</v>
      </c>
      <c r="E19" s="378">
        <f>stock_cars!E21/population!X20</f>
        <v>304.1892833237672</v>
      </c>
      <c r="F19" s="378">
        <f>stock_cars!F21/population!Y20</f>
        <v>315.0551595256928</v>
      </c>
      <c r="G19" s="378">
        <f>stock_cars!G21/population!Z20</f>
        <v>322.9812460939456</v>
      </c>
      <c r="H19" s="378">
        <f>stock_cars!H21/population!AA20</f>
        <v>321.6872266740818</v>
      </c>
      <c r="I19" s="378">
        <f>stock_cars!I21/population!AB20</f>
        <v>325.9456553232962</v>
      </c>
      <c r="J19" s="378">
        <f>stock_cars!J21/population!AC20</f>
        <v>334.81327314031137</v>
      </c>
      <c r="K19" s="378">
        <f>stock_cars!K21/population!AD20</f>
        <v>340.4285973709052</v>
      </c>
      <c r="L19" s="378">
        <f>stock_cars!L21/population!AE20</f>
        <v>348.00174759150786</v>
      </c>
      <c r="M19" s="378">
        <f>stock_cars!M21/population!AF20</f>
        <v>364.97125334254946</v>
      </c>
      <c r="N19" s="378">
        <f>stock_cars!N21/population!AG20</f>
        <v>372.17974878963986</v>
      </c>
      <c r="O19" s="378">
        <f>stock_cars!O21/population!AH20</f>
        <v>383.6131941985438</v>
      </c>
      <c r="P19" s="447">
        <f>stock_cars!P21/population!AI20</f>
        <v>396.9575034122848</v>
      </c>
      <c r="Q19" s="378">
        <f>stock_cars!Q21/population!AJ20</f>
        <v>402.19146820818946</v>
      </c>
      <c r="R19" s="378">
        <f>stock_cars!R21/population!AK20</f>
        <v>414.1767084219303</v>
      </c>
      <c r="S19" s="378">
        <f>stock_cars!S21/population!AL20</f>
        <v>448.00480528581437</v>
      </c>
      <c r="T19" s="378">
        <f>stock_cars!T21/population!AM20</f>
        <v>463.3709718246274</v>
      </c>
      <c r="U19" s="378">
        <f>stock_cars!U21/population!AN20</f>
        <v>478.9426776458743</v>
      </c>
      <c r="V19" s="379">
        <f>stock_cars!V21/population!AO20</f>
        <v>520.6611779671539</v>
      </c>
      <c r="W19" s="174" t="s">
        <v>66</v>
      </c>
      <c r="X19" s="29"/>
      <c r="Y19" s="95">
        <f t="shared" si="0"/>
        <v>8.710541421436213</v>
      </c>
    </row>
    <row r="20" spans="1:25" ht="12.75" customHeight="1">
      <c r="A20" s="12"/>
      <c r="B20" s="14" t="s">
        <v>70</v>
      </c>
      <c r="C20" s="821">
        <f>stock_cars!C22/population!D21</f>
        <v>16.903141617901102</v>
      </c>
      <c r="D20" s="821">
        <f>stock_cars!D22/population!N21</f>
        <v>66.01342538096904</v>
      </c>
      <c r="E20" s="380">
        <f>stock_cars!E22/population!X21</f>
        <v>106.46458209265728</v>
      </c>
      <c r="F20" s="380">
        <f>stock_cars!F22/population!Y21</f>
        <v>124.47975785092699</v>
      </c>
      <c r="G20" s="380">
        <f>stock_cars!G22/population!Z21</f>
        <v>135.36117261450104</v>
      </c>
      <c r="H20" s="380">
        <f>stock_cars!H22/population!AA21</f>
        <v>144.6237244697163</v>
      </c>
      <c r="I20" s="503">
        <f>stock_cars!I22/population!AB21</f>
        <v>100.61385758504028</v>
      </c>
      <c r="J20" s="380">
        <f>stock_cars!J22/population!AC21</f>
        <v>134.43848244869167</v>
      </c>
      <c r="K20" s="380">
        <f>stock_cars!K22/population!AD21</f>
        <v>155.38187059493347</v>
      </c>
      <c r="L20" s="380">
        <f>stock_cars!L22/population!AE21</f>
        <v>178.3782064442626</v>
      </c>
      <c r="M20" s="380">
        <f>stock_cars!M22/population!AF21</f>
        <v>201.17553500096696</v>
      </c>
      <c r="N20" s="380">
        <f>stock_cars!N22/population!AG21</f>
        <v>220.66955954007932</v>
      </c>
      <c r="O20" s="380">
        <f>stock_cars!O22/population!AH21</f>
        <v>235.50769079802762</v>
      </c>
      <c r="P20" s="380">
        <f>stock_cars!P22/population!AI21</f>
        <v>249.896835492683</v>
      </c>
      <c r="Q20" s="380">
        <f>stock_cars!Q22/population!AJ21</f>
        <v>265.5394856486009</v>
      </c>
      <c r="R20" s="380">
        <f>stock_cars!R22/population!AK21</f>
        <v>279.7943948847945</v>
      </c>
      <c r="S20" s="380">
        <f>stock_cars!S22/population!AL21</f>
        <v>297.48434162867875</v>
      </c>
      <c r="T20" s="380">
        <f>stock_cars!T22/population!AM21</f>
        <v>323.56412256655875</v>
      </c>
      <c r="U20" s="380">
        <f>stock_cars!U22/population!AN21</f>
        <v>360.32490175579323</v>
      </c>
      <c r="V20" s="381">
        <f>stock_cars!V22/population!AO21</f>
        <v>398.4637768209348</v>
      </c>
      <c r="W20" s="14" t="s">
        <v>70</v>
      </c>
      <c r="X20" s="29"/>
      <c r="Y20" s="95">
        <f t="shared" si="0"/>
        <v>10.584579328072596</v>
      </c>
    </row>
    <row r="21" spans="1:25" ht="12.75" customHeight="1">
      <c r="A21" s="12"/>
      <c r="B21" s="174" t="s">
        <v>71</v>
      </c>
      <c r="C21" s="820">
        <f>stock_cars!C23/population!D22</f>
        <v>13.82720174456887</v>
      </c>
      <c r="D21" s="820">
        <f>stock_cars!D23/population!N22</f>
        <v>72.17558244526198</v>
      </c>
      <c r="E21" s="378">
        <f>stock_cars!E23/population!X22</f>
        <v>133.17240991818406</v>
      </c>
      <c r="F21" s="378">
        <f>stock_cars!F23/population!Y22</f>
        <v>143.26960668850515</v>
      </c>
      <c r="G21" s="378">
        <f>stock_cars!G23/population!Z22</f>
        <v>152.9536707392048</v>
      </c>
      <c r="H21" s="378">
        <f>stock_cars!H23/population!AA22</f>
        <v>162.81307745275782</v>
      </c>
      <c r="I21" s="378">
        <f>stock_cars!I23/population!AB22</f>
        <v>179.19616051755273</v>
      </c>
      <c r="J21" s="378">
        <f>stock_cars!J23/population!AC22</f>
        <v>198.73495662218426</v>
      </c>
      <c r="K21" s="378">
        <f>stock_cars!K23/population!AD22</f>
        <v>218.80857176381465</v>
      </c>
      <c r="L21" s="378">
        <f>stock_cars!L23/population!AE22</f>
        <v>247.62391076903126</v>
      </c>
      <c r="M21" s="378">
        <f>stock_cars!M23/population!AF22</f>
        <v>277.3752184777688</v>
      </c>
      <c r="N21" s="378">
        <f>stock_cars!N23/population!AG22</f>
        <v>310.1682937204626</v>
      </c>
      <c r="O21" s="378">
        <f>stock_cars!O23/population!AH22</f>
        <v>336.2187187947914</v>
      </c>
      <c r="P21" s="378">
        <f>stock_cars!P23/population!AI22</f>
        <v>326.12543611350725</v>
      </c>
      <c r="Q21" s="378">
        <f>stock_cars!Q23/population!AJ22</f>
        <v>341.06192742753683</v>
      </c>
      <c r="R21" s="378">
        <f>stock_cars!R23/population!AK22</f>
        <v>364.7432264310446</v>
      </c>
      <c r="S21" s="378">
        <f>stock_cars!S23/population!AL22</f>
        <v>384.172125031092</v>
      </c>
      <c r="T21" s="378">
        <f>stock_cars!T23/population!AM22</f>
        <v>427.60933263283346</v>
      </c>
      <c r="U21" s="378">
        <f>stock_cars!U23/population!AN22</f>
        <v>470.3973170089684</v>
      </c>
      <c r="V21" s="379">
        <f>stock_cars!V23/population!AO22</f>
        <v>471.69774328747667</v>
      </c>
      <c r="W21" s="174" t="s">
        <v>71</v>
      </c>
      <c r="X21" s="29"/>
      <c r="Y21" s="95">
        <f t="shared" si="0"/>
        <v>0.2764527414350626</v>
      </c>
    </row>
    <row r="22" spans="1:25" ht="12.75" customHeight="1">
      <c r="A22" s="12"/>
      <c r="B22" s="14" t="s">
        <v>89</v>
      </c>
      <c r="C22" s="821">
        <f>stock_cars!C24/population!D23</f>
        <v>211.8637833575113</v>
      </c>
      <c r="D22" s="821">
        <f>stock_cars!D24/population!N23</f>
        <v>352.4736192956009</v>
      </c>
      <c r="E22" s="380">
        <f>stock_cars!E24/population!X23</f>
        <v>477.1175858480749</v>
      </c>
      <c r="F22" s="380">
        <f>stock_cars!F24/population!Y23</f>
        <v>492.8131416837782</v>
      </c>
      <c r="G22" s="380">
        <f>stock_cars!G24/population!Z23</f>
        <v>509.1830272324256</v>
      </c>
      <c r="H22" s="380">
        <f>stock_cars!H24/population!AA23</f>
        <v>519.7401299350324</v>
      </c>
      <c r="I22" s="380">
        <f>stock_cars!I24/population!AB23</f>
        <v>536.802662393689</v>
      </c>
      <c r="J22" s="380">
        <f>stock_cars!J24/population!AC23</f>
        <v>556.4552964042759</v>
      </c>
      <c r="K22" s="380">
        <f>stock_cars!K24/population!AD23</f>
        <v>555.7538682979489</v>
      </c>
      <c r="L22" s="380">
        <f>stock_cars!L24/population!AE23</f>
        <v>561.1515223314774</v>
      </c>
      <c r="M22" s="380">
        <f>stock_cars!M24/population!AF23</f>
        <v>592.970632970633</v>
      </c>
      <c r="N22" s="380">
        <f>stock_cars!N24/population!AG23</f>
        <v>607.6452952029521</v>
      </c>
      <c r="O22" s="380">
        <f>stock_cars!O24/population!AH23</f>
        <v>622.0637813211846</v>
      </c>
      <c r="P22" s="380">
        <f>stock_cars!P24/population!AI23</f>
        <v>632.1562887062267</v>
      </c>
      <c r="Q22" s="380">
        <f>stock_cars!Q24/population!AJ23</f>
        <v>640.7428061565917</v>
      </c>
      <c r="R22" s="380">
        <f>stock_cars!R24/population!AK23</f>
        <v>644.8874626340778</v>
      </c>
      <c r="S22" s="380">
        <f>stock_cars!S24/population!AL23</f>
        <v>649.9121913145286</v>
      </c>
      <c r="T22" s="380">
        <f>stock_cars!T24/population!AM23</f>
        <v>655.0291417778404</v>
      </c>
      <c r="U22" s="380">
        <f>stock_cars!U24/population!AN23</f>
        <v>660.9126246621599</v>
      </c>
      <c r="V22" s="381">
        <f>stock_cars!V24/population!AO23</f>
        <v>664.6107164338908</v>
      </c>
      <c r="W22" s="14" t="s">
        <v>89</v>
      </c>
      <c r="X22" s="29"/>
      <c r="Y22" s="95">
        <f t="shared" si="0"/>
        <v>0.5595432185337978</v>
      </c>
    </row>
    <row r="23" spans="1:25" ht="12.75" customHeight="1">
      <c r="A23" s="12"/>
      <c r="B23" s="174" t="s">
        <v>69</v>
      </c>
      <c r="C23" s="820">
        <f>stock_cars!C25/population!D24</f>
        <v>23.180072169223024</v>
      </c>
      <c r="D23" s="820">
        <f>stock_cars!D25/population!N24</f>
        <v>94.27990733685306</v>
      </c>
      <c r="E23" s="378">
        <f>stock_cars!E25/population!X24</f>
        <v>187.40685691226187</v>
      </c>
      <c r="F23" s="378">
        <f>stock_cars!F25/population!Y24</f>
        <v>194.72418909184012</v>
      </c>
      <c r="G23" s="378">
        <f>stock_cars!G25/population!Z24</f>
        <v>198.55215153639134</v>
      </c>
      <c r="H23" s="378">
        <f>stock_cars!H25/population!AA24</f>
        <v>202.27313790034987</v>
      </c>
      <c r="I23" s="378">
        <f>stock_cars!I25/population!AB24</f>
        <v>210.79174204533362</v>
      </c>
      <c r="J23" s="378">
        <f>stock_cars!J25/population!AC24</f>
        <v>217.50762433427258</v>
      </c>
      <c r="K23" s="378">
        <f>stock_cars!K25/population!AD24</f>
        <v>219.8937662595606</v>
      </c>
      <c r="L23" s="378">
        <f>stock_cars!L25/population!AE24</f>
        <v>223.5433558332889</v>
      </c>
      <c r="M23" s="378">
        <f>stock_cars!M25/population!AF24</f>
        <v>216.3302454518572</v>
      </c>
      <c r="N23" s="378">
        <f>stock_cars!N25/population!AG24</f>
        <v>220.66176438936827</v>
      </c>
      <c r="O23" s="378">
        <f>stock_cars!O25/population!AH24</f>
        <v>231.82714857938464</v>
      </c>
      <c r="P23" s="378">
        <f>stock_cars!P25/population!AI24</f>
        <v>244.01600691430139</v>
      </c>
      <c r="Q23" s="378">
        <f>stock_cars!Q25/population!AJ24</f>
        <v>259.26169860630097</v>
      </c>
      <c r="R23" s="378">
        <f>stock_cars!R25/population!AK24</f>
        <v>274.51713209647926</v>
      </c>
      <c r="S23" s="378">
        <f>stock_cars!S25/population!AL24</f>
        <v>280.1108467015114</v>
      </c>
      <c r="T23" s="378">
        <f>stock_cars!T25/population!AM24</f>
        <v>286.6780905150269</v>
      </c>
      <c r="U23" s="378">
        <f>stock_cars!U25/population!AN24</f>
        <v>293.4324098628295</v>
      </c>
      <c r="V23" s="379">
        <f>stock_cars!V25/population!AO24</f>
        <v>299.85512773457225</v>
      </c>
      <c r="W23" s="174" t="s">
        <v>69</v>
      </c>
      <c r="X23" s="29"/>
      <c r="Y23" s="95">
        <f t="shared" si="0"/>
        <v>2.188823611797064</v>
      </c>
    </row>
    <row r="24" spans="1:25" ht="12.75" customHeight="1">
      <c r="A24" s="12"/>
      <c r="B24" s="14" t="s">
        <v>72</v>
      </c>
      <c r="C24" s="821"/>
      <c r="D24" s="821"/>
      <c r="E24" s="502">
        <f>stock_cars!E26/population!X25</f>
        <v>337.16388974740806</v>
      </c>
      <c r="F24" s="380">
        <f>stock_cars!F26/population!Y25</f>
        <v>339.31963631610125</v>
      </c>
      <c r="G24" s="380">
        <f>stock_cars!G26/population!Z25</f>
        <v>344.3744369477956</v>
      </c>
      <c r="H24" s="380">
        <f>stock_cars!H26/population!AA25</f>
        <v>416.48495896908287</v>
      </c>
      <c r="I24" s="380">
        <f>stock_cars!I26/population!AB25</f>
        <v>461.8609775044593</v>
      </c>
      <c r="J24" s="380">
        <f>stock_cars!J26/population!AC25</f>
        <v>486.92432992743966</v>
      </c>
      <c r="K24" s="380">
        <f>stock_cars!K26/population!AD25</f>
        <v>486.6856705833275</v>
      </c>
      <c r="L24" s="380">
        <f>stock_cars!L26/population!AE25</f>
        <v>488.09470058138766</v>
      </c>
      <c r="M24" s="503">
        <f>stock_cars!M26/population!AF25</f>
        <v>461.76403764153883</v>
      </c>
      <c r="N24" s="380">
        <f>stock_cars!N26/population!AG25</f>
        <v>479.3569717070707</v>
      </c>
      <c r="O24" s="380">
        <f>stock_cars!O26/population!AH25</f>
        <v>483.17770141665494</v>
      </c>
      <c r="P24" s="380">
        <f>stock_cars!P26/population!AI25</f>
        <v>495.0803388396036</v>
      </c>
      <c r="Q24" s="380">
        <f>stock_cars!Q26/population!AJ25</f>
        <v>508.238190165519</v>
      </c>
      <c r="R24" s="380">
        <f>stock_cars!R26/population!AK25</f>
        <v>522.2036327078754</v>
      </c>
      <c r="S24" s="380">
        <f>stock_cars!S26/population!AL25</f>
        <v>524.95604319191</v>
      </c>
      <c r="T24" s="380">
        <f>stock_cars!T26/population!AM25</f>
        <v>524.8341999871608</v>
      </c>
      <c r="U24" s="380">
        <f>stock_cars!U26/population!AN25</f>
        <v>534.9378386993943</v>
      </c>
      <c r="V24" s="381">
        <f>stock_cars!V26/population!AO25</f>
        <v>548.1391211094591</v>
      </c>
      <c r="W24" s="14" t="s">
        <v>72</v>
      </c>
      <c r="X24" s="29"/>
      <c r="Y24" s="95">
        <f t="shared" si="0"/>
        <v>2.4678161563895573</v>
      </c>
    </row>
    <row r="25" spans="1:25" ht="12.75" customHeight="1">
      <c r="A25" s="12"/>
      <c r="B25" s="175" t="s">
        <v>80</v>
      </c>
      <c r="C25" s="820">
        <f>stock_cars!C27/population!D26</f>
        <v>195.43531997960278</v>
      </c>
      <c r="D25" s="820">
        <f>stock_cars!D27/population!N26</f>
        <v>320.22890947769184</v>
      </c>
      <c r="E25" s="378">
        <f>stock_cars!E27/population!X26</f>
        <v>367.02262990870685</v>
      </c>
      <c r="F25" s="378">
        <f>stock_cars!F27/population!Y26</f>
        <v>367.1058849968439</v>
      </c>
      <c r="G25" s="378">
        <f>stock_cars!G27/population!Z26</f>
        <v>371.2797707908469</v>
      </c>
      <c r="H25" s="378">
        <f>stock_cars!H27/population!AA26</f>
        <v>375.1249954942632</v>
      </c>
      <c r="I25" s="378">
        <f>stock_cars!I27/population!AB26</f>
        <v>381.48038507475496</v>
      </c>
      <c r="J25" s="378">
        <f>stock_cars!J27/population!AC26</f>
        <v>363.56269236213063</v>
      </c>
      <c r="K25" s="378">
        <f>stock_cars!K27/population!AD26</f>
        <v>368.72618656761335</v>
      </c>
      <c r="L25" s="378">
        <f>stock_cars!L27/population!AE26</f>
        <v>378.900872047564</v>
      </c>
      <c r="M25" s="378">
        <f>stock_cars!M27/population!AF26</f>
        <v>388.29274328253564</v>
      </c>
      <c r="N25" s="378">
        <f>stock_cars!N27/population!AG26</f>
        <v>399.84965913281366</v>
      </c>
      <c r="O25" s="378">
        <f>stock_cars!O27/population!AH26</f>
        <v>409.0311704924134</v>
      </c>
      <c r="P25" s="378">
        <f>stock_cars!P27/population!AI26</f>
        <v>416.67080092031904</v>
      </c>
      <c r="Q25" s="378">
        <f>stock_cars!Q27/population!AJ26</f>
        <v>423.32638693840613</v>
      </c>
      <c r="R25" s="378">
        <f>stock_cars!R27/population!AK26</f>
        <v>424.92676850433065</v>
      </c>
      <c r="S25" s="378">
        <f>stock_cars!S27/population!AL26</f>
        <v>428.8111282027946</v>
      </c>
      <c r="T25" s="378">
        <f>stock_cars!T27/population!AM26</f>
        <v>434.198715456701</v>
      </c>
      <c r="U25" s="378">
        <f>stock_cars!U27/population!AN26</f>
        <v>441.99667049598753</v>
      </c>
      <c r="V25" s="379">
        <f>stock_cars!V27/population!AO26</f>
        <v>450.5774592864215</v>
      </c>
      <c r="W25" s="175" t="s">
        <v>80</v>
      </c>
      <c r="X25" s="59"/>
      <c r="Y25" s="95">
        <f t="shared" si="0"/>
        <v>1.9413695539391762</v>
      </c>
    </row>
    <row r="26" spans="1:25" ht="12.75" customHeight="1">
      <c r="A26" s="12"/>
      <c r="B26" s="14" t="s">
        <v>90</v>
      </c>
      <c r="C26" s="821">
        <f>stock_cars!C28/population!D27</f>
        <v>160.0474927898404</v>
      </c>
      <c r="D26" s="821">
        <f>stock_cars!D28/population!N27</f>
        <v>297.4848431009068</v>
      </c>
      <c r="E26" s="380">
        <f>stock_cars!E28/population!X27</f>
        <v>387.8933693966527</v>
      </c>
      <c r="F26" s="380">
        <f>stock_cars!F28/population!Y27</f>
        <v>397.4920049612131</v>
      </c>
      <c r="G26" s="380">
        <f>stock_cars!G28/population!Z27</f>
        <v>411.6704317490386</v>
      </c>
      <c r="H26" s="380">
        <f>stock_cars!H28/population!AA27</f>
        <v>424.7362697707809</v>
      </c>
      <c r="I26" s="380">
        <f>stock_cars!I28/population!AB27</f>
        <v>438.04366066346915</v>
      </c>
      <c r="J26" s="380">
        <f>stock_cars!J28/population!AC27</f>
        <v>451.8493305790081</v>
      </c>
      <c r="K26" s="380">
        <f>stock_cars!K28/population!AD27</f>
        <v>463.3656942163971</v>
      </c>
      <c r="L26" s="380">
        <f>stock_cars!L28/population!AE27</f>
        <v>474.5311697885215</v>
      </c>
      <c r="M26" s="380">
        <f>stock_cars!M28/population!AF27</f>
        <v>486.9643584854345</v>
      </c>
      <c r="N26" s="380">
        <f>stock_cars!N28/population!AG27</f>
        <v>501.06358437556935</v>
      </c>
      <c r="O26" s="380">
        <f>stock_cars!O28/population!AH27</f>
        <v>510.8057079551465</v>
      </c>
      <c r="P26" s="448">
        <f>stock_cars!P28/population!AI27</f>
        <v>518.5308486665957</v>
      </c>
      <c r="Q26" s="380">
        <f>stock_cars!Q28/population!AJ27</f>
        <v>492.10156532042316</v>
      </c>
      <c r="R26" s="380">
        <f>stock_cars!R28/population!AK27</f>
        <v>498.06477101940243</v>
      </c>
      <c r="S26" s="380">
        <f>stock_cars!S28/population!AL27</f>
        <v>500.7149190083402</v>
      </c>
      <c r="T26" s="380">
        <f>stock_cars!T28/population!AM27</f>
        <v>502.87693149889463</v>
      </c>
      <c r="U26" s="380">
        <f>stock_cars!U28/population!AN27</f>
        <v>506.6885184981232</v>
      </c>
      <c r="V26" s="381">
        <f>stock_cars!V28/population!AO27</f>
        <v>509.5557691915318</v>
      </c>
      <c r="W26" s="14" t="s">
        <v>90</v>
      </c>
      <c r="X26" s="29"/>
      <c r="Y26" s="95">
        <f t="shared" si="0"/>
        <v>0.5658803364851028</v>
      </c>
    </row>
    <row r="27" spans="1:25" ht="12.75" customHeight="1">
      <c r="A27" s="12"/>
      <c r="B27" s="174" t="s">
        <v>73</v>
      </c>
      <c r="C27" s="820">
        <f>stock_cars!C29/population!D28</f>
        <v>14.667156592565373</v>
      </c>
      <c r="D27" s="820">
        <f>stock_cars!D29/population!N28</f>
        <v>66.60162281290275</v>
      </c>
      <c r="E27" s="378">
        <f>stock_cars!E29/population!X28</f>
        <v>137.78325314091342</v>
      </c>
      <c r="F27" s="378">
        <f>stock_cars!F29/population!Y28</f>
        <v>159.49160653885306</v>
      </c>
      <c r="G27" s="378">
        <f>stock_cars!G29/population!Z28</f>
        <v>169.32119614011185</v>
      </c>
      <c r="H27" s="378">
        <f>stock_cars!H29/population!AA28</f>
        <v>175.8371255753225</v>
      </c>
      <c r="I27" s="378">
        <f>stock_cars!I29/population!AB28</f>
        <v>185.4077322857394</v>
      </c>
      <c r="J27" s="378">
        <f>stock_cars!J29/population!AC28</f>
        <v>194.7004147876013</v>
      </c>
      <c r="K27" s="378">
        <f>stock_cars!K29/population!AD28</f>
        <v>208.45200232581607</v>
      </c>
      <c r="L27" s="378">
        <f>stock_cars!L29/population!AE28</f>
        <v>220.73082346992481</v>
      </c>
      <c r="M27" s="378">
        <f>stock_cars!M29/population!AF28</f>
        <v>229.93164478335433</v>
      </c>
      <c r="N27" s="378">
        <f>stock_cars!N29/population!AG28</f>
        <v>240.15641095299915</v>
      </c>
      <c r="O27" s="378">
        <f>stock_cars!O29/population!AH28</f>
        <v>261.1834514888722</v>
      </c>
      <c r="P27" s="378">
        <f>stock_cars!P29/population!AI28</f>
        <v>274.64687763624045</v>
      </c>
      <c r="Q27" s="378">
        <f>stock_cars!Q29/population!AJ28</f>
        <v>288.5746707533055</v>
      </c>
      <c r="R27" s="378">
        <f>stock_cars!R29/population!AK28</f>
        <v>294.4126995831017</v>
      </c>
      <c r="S27" s="378">
        <f>stock_cars!S29/population!AL28</f>
        <v>313.7015445265062</v>
      </c>
      <c r="T27" s="378">
        <f>stock_cars!T29/population!AM28</f>
        <v>323.38326424824976</v>
      </c>
      <c r="U27" s="378">
        <f>stock_cars!U29/population!AN28</f>
        <v>351.0573336009759</v>
      </c>
      <c r="V27" s="379">
        <f>stock_cars!V29/population!AO28</f>
        <v>382.74940725777117</v>
      </c>
      <c r="W27" s="174" t="s">
        <v>73</v>
      </c>
      <c r="X27" s="29"/>
      <c r="Y27" s="95">
        <f t="shared" si="0"/>
        <v>9.027606212271188</v>
      </c>
    </row>
    <row r="28" spans="1:25" ht="12.75" customHeight="1">
      <c r="A28" s="12"/>
      <c r="B28" s="14" t="s">
        <v>91</v>
      </c>
      <c r="C28" s="821">
        <f>stock_cars!C30/population!D29</f>
        <v>48.5960699284749</v>
      </c>
      <c r="D28" s="821">
        <f>stock_cars!D30/population!N29</f>
        <v>129.2385193115345</v>
      </c>
      <c r="E28" s="502">
        <f>stock_cars!E30/population!X29</f>
        <v>170.50399275217617</v>
      </c>
      <c r="F28" s="502">
        <f>stock_cars!F30/population!Y29</f>
        <v>180.6265030257448</v>
      </c>
      <c r="G28" s="502">
        <f>stock_cars!G30/population!Z29</f>
        <v>200.50947452381757</v>
      </c>
      <c r="H28" s="502">
        <f>stock_cars!H30/population!AA29</f>
        <v>225.21192442088005</v>
      </c>
      <c r="I28" s="502">
        <f>stock_cars!I30/population!AB29</f>
        <v>240.57728165839802</v>
      </c>
      <c r="J28" s="380">
        <f>stock_cars!J30/population!AC29</f>
        <v>254.89934462988816</v>
      </c>
      <c r="K28" s="380">
        <f>stock_cars!K30/population!AD29</f>
        <v>273.01946221718407</v>
      </c>
      <c r="L28" s="380">
        <f>stock_cars!L30/population!AE29</f>
        <v>291.7990519399345</v>
      </c>
      <c r="M28" s="380">
        <f>stock_cars!M30/population!AF29</f>
        <v>310.3789845641141</v>
      </c>
      <c r="N28" s="380">
        <f>stock_cars!N30/population!AG29</f>
        <v>328.5919960482644</v>
      </c>
      <c r="O28" s="380">
        <f>stock_cars!O30/population!AH29</f>
        <v>335.6843915435223</v>
      </c>
      <c r="P28" s="380">
        <f>stock_cars!P30/population!AI29</f>
        <v>347.456855907541</v>
      </c>
      <c r="Q28" s="380">
        <f>stock_cars!Q30/population!AJ29</f>
        <v>373.28974923288234</v>
      </c>
      <c r="R28" s="380">
        <f>stock_cars!R30/population!AK29</f>
        <v>378.62713771344914</v>
      </c>
      <c r="S28" s="380">
        <f>stock_cars!S30/population!AL29</f>
        <v>389.39127222201387</v>
      </c>
      <c r="T28" s="380">
        <f>stock_cars!T30/population!AM29</f>
        <v>397.3663316426973</v>
      </c>
      <c r="U28" s="380">
        <f>stock_cars!U30/population!AN29</f>
        <v>404.75153774921347</v>
      </c>
      <c r="V28" s="381">
        <f>stock_cars!V30/population!AO29</f>
        <v>412.4293918338227</v>
      </c>
      <c r="W28" s="14" t="s">
        <v>91</v>
      </c>
      <c r="X28" s="29"/>
      <c r="Y28" s="95">
        <f t="shared" si="0"/>
        <v>1.8969301827252094</v>
      </c>
    </row>
    <row r="29" spans="1:25" ht="12.75" customHeight="1">
      <c r="A29" s="12"/>
      <c r="B29" s="174" t="s">
        <v>74</v>
      </c>
      <c r="C29" s="820">
        <f>stock_cars!C31/population!D30</f>
        <v>1.964521527030441</v>
      </c>
      <c r="D29" s="820">
        <f>stock_cars!D31/population!N30</f>
        <v>10.736989173759603</v>
      </c>
      <c r="E29" s="378">
        <f>stock_cars!E31/population!X30</f>
        <v>55.720409305271225</v>
      </c>
      <c r="F29" s="378">
        <f>stock_cars!F31/population!Y30</f>
        <v>64.18420857009556</v>
      </c>
      <c r="G29" s="378">
        <f>stock_cars!G31/population!Z30</f>
        <v>71.527005061218</v>
      </c>
      <c r="H29" s="378">
        <f>stock_cars!H31/population!AA30</f>
        <v>80.64048111189666</v>
      </c>
      <c r="I29" s="378">
        <f>stock_cars!I31/population!AB30</f>
        <v>91.01528543797876</v>
      </c>
      <c r="J29" s="378">
        <f>stock_cars!J31/population!AC30</f>
        <v>99.28487036355133</v>
      </c>
      <c r="K29" s="378">
        <f>stock_cars!K31/population!AD30</f>
        <v>105.4779471962073</v>
      </c>
      <c r="L29" s="378">
        <f>stock_cars!L31/population!AE30</f>
        <v>111.28783231107094</v>
      </c>
      <c r="M29" s="378">
        <f>stock_cars!M31/population!AF30</f>
        <v>118.22291287362395</v>
      </c>
      <c r="N29" s="378">
        <f>stock_cars!N31/population!AG30</f>
        <v>120.32788425634095</v>
      </c>
      <c r="O29" s="378">
        <f>stock_cars!O31/population!AH30</f>
        <v>123.8313601902984</v>
      </c>
      <c r="P29" s="378">
        <f>stock_cars!P31/population!AI30</f>
        <v>131.9620419701245</v>
      </c>
      <c r="Q29" s="378">
        <f>stock_cars!Q31/population!AJ30</f>
        <v>136.56459209102158</v>
      </c>
      <c r="R29" s="378">
        <f>stock_cars!R31/population!AK30</f>
        <v>142.21326342672452</v>
      </c>
      <c r="S29" s="378">
        <f>stock_cars!S31/population!AL30</f>
        <v>148.91903087781404</v>
      </c>
      <c r="T29" s="378">
        <f>stock_cars!T31/population!AM30</f>
        <v>155.65691092447815</v>
      </c>
      <c r="U29" s="447">
        <f>stock_cars!U31/population!AN30</f>
        <v>167.09562326087791</v>
      </c>
      <c r="V29" s="379">
        <f>stock_cars!V31/population!AO30</f>
        <v>164.4908428205849</v>
      </c>
      <c r="W29" s="174" t="s">
        <v>74</v>
      </c>
      <c r="X29" s="29"/>
      <c r="Y29" s="95">
        <f t="shared" si="0"/>
        <v>-1.5588561743632878</v>
      </c>
    </row>
    <row r="30" spans="1:25" ht="12.75" customHeight="1">
      <c r="A30" s="12"/>
      <c r="B30" s="14" t="s">
        <v>76</v>
      </c>
      <c r="C30" s="821">
        <f>stock_cars!C32/population!D31</f>
        <v>87.08172540849422</v>
      </c>
      <c r="D30" s="821">
        <f>stock_cars!D32/population!N31</f>
        <v>218.0851565224768</v>
      </c>
      <c r="E30" s="380">
        <f>stock_cars!E32/population!X31</f>
        <v>293.56007290200483</v>
      </c>
      <c r="F30" s="380">
        <f>stock_cars!F32/population!Y31</f>
        <v>301.606073704095</v>
      </c>
      <c r="G30" s="380">
        <f>stock_cars!G32/population!Z31</f>
        <v>304.02179647397</v>
      </c>
      <c r="H30" s="380">
        <f>stock_cars!H32/population!AA31</f>
        <v>326.9032797696601</v>
      </c>
      <c r="I30" s="380">
        <f>stock_cars!I32/population!AB31</f>
        <v>335.92094806826117</v>
      </c>
      <c r="J30" s="380">
        <f>stock_cars!J32/population!AC31</f>
        <v>357.42157078501066</v>
      </c>
      <c r="K30" s="380">
        <f>stock_cars!K32/population!AD31</f>
        <v>373.9613052714434</v>
      </c>
      <c r="L30" s="380">
        <f>stock_cars!L32/population!AE31</f>
        <v>391.3491858374355</v>
      </c>
      <c r="M30" s="380">
        <f>stock_cars!M32/population!AF31</f>
        <v>410.2800639325817</v>
      </c>
      <c r="N30" s="380">
        <f>stock_cars!N32/population!AG31</f>
        <v>425.6606070667663</v>
      </c>
      <c r="O30" s="380">
        <f>stock_cars!O32/population!AH31</f>
        <v>435.20356324877116</v>
      </c>
      <c r="P30" s="380">
        <f>stock_cars!P32/population!AI31</f>
        <v>442.0639450037261</v>
      </c>
      <c r="Q30" s="380">
        <f>stock_cars!Q32/population!AJ31</f>
        <v>448.3740369206925</v>
      </c>
      <c r="R30" s="380">
        <f>stock_cars!R32/population!AK31</f>
        <v>456.02782562700577</v>
      </c>
      <c r="S30" s="380">
        <f>stock_cars!S32/population!AL31</f>
        <v>467.53387832337967</v>
      </c>
      <c r="T30" s="380">
        <f>stock_cars!T32/population!AM31</f>
        <v>479.30175235779126</v>
      </c>
      <c r="U30" s="380">
        <f>stock_cars!U32/population!AN31</f>
        <v>487.60058436800654</v>
      </c>
      <c r="V30" s="381">
        <f>stock_cars!V32/population!AO31</f>
        <v>500.5869094994436</v>
      </c>
      <c r="W30" s="14" t="s">
        <v>76</v>
      </c>
      <c r="X30" s="29"/>
      <c r="Y30" s="95">
        <f t="shared" si="0"/>
        <v>2.6633120524802045</v>
      </c>
    </row>
    <row r="31" spans="1:25" ht="12.75" customHeight="1">
      <c r="A31" s="12"/>
      <c r="B31" s="174" t="s">
        <v>75</v>
      </c>
      <c r="C31" s="820">
        <f>stock_cars!C33/population!D32</f>
        <v>36.12422327413219</v>
      </c>
      <c r="D31" s="820">
        <f>stock_cars!D33/population!N32</f>
        <v>110.48111523480539</v>
      </c>
      <c r="E31" s="378">
        <f>stock_cars!E33/population!X32</f>
        <v>165.7028597489112</v>
      </c>
      <c r="F31" s="378">
        <f>stock_cars!F33/population!Y32</f>
        <v>175.41948198570321</v>
      </c>
      <c r="G31" s="378">
        <f>stock_cars!G33/population!Z32</f>
        <v>182.7195480749056</v>
      </c>
      <c r="H31" s="378">
        <f>stock_cars!H33/population!AA32</f>
        <v>186.44081136259933</v>
      </c>
      <c r="I31" s="378">
        <f>stock_cars!I33/population!AB32</f>
        <v>185.58767426277586</v>
      </c>
      <c r="J31" s="378">
        <f>stock_cars!J33/population!AC32</f>
        <v>189.23877424414889</v>
      </c>
      <c r="K31" s="378">
        <f>stock_cars!K33/population!AD32</f>
        <v>196.7723332438484</v>
      </c>
      <c r="L31" s="378">
        <f>stock_cars!L33/population!AE32</f>
        <v>210.83663563891494</v>
      </c>
      <c r="M31" s="378">
        <f>stock_cars!M33/population!AF32</f>
        <v>221.77346236554354</v>
      </c>
      <c r="N31" s="378">
        <f>stock_cars!N33/population!AG32</f>
        <v>229.01992106555392</v>
      </c>
      <c r="O31" s="378">
        <f>stock_cars!O33/population!AH32</f>
        <v>236.8937359993887</v>
      </c>
      <c r="P31" s="378">
        <f>stock_cars!P33/population!AI32</f>
        <v>240.34426043293573</v>
      </c>
      <c r="Q31" s="378">
        <f>stock_cars!Q33/population!AJ32</f>
        <v>246.67415606262765</v>
      </c>
      <c r="R31" s="447">
        <f>stock_cars!R33/population!AK32</f>
        <v>252.07930107751727</v>
      </c>
      <c r="S31" s="378">
        <f>stock_cars!S33/population!AL32</f>
        <v>222.29704157351907</v>
      </c>
      <c r="T31" s="378">
        <f>stock_cars!T33/population!AM32</f>
        <v>241.9113854055719</v>
      </c>
      <c r="U31" s="378">
        <f>stock_cars!U33/population!AN32</f>
        <v>247.28193610359764</v>
      </c>
      <c r="V31" s="379">
        <f>stock_cars!V33/population!AO32</f>
        <v>265.4927848519847</v>
      </c>
      <c r="W31" s="174" t="s">
        <v>75</v>
      </c>
      <c r="X31" s="29"/>
      <c r="Y31" s="95">
        <f t="shared" si="0"/>
        <v>7.364407216852964</v>
      </c>
    </row>
    <row r="32" spans="1:25" ht="12.75" customHeight="1">
      <c r="A32" s="12"/>
      <c r="B32" s="14" t="s">
        <v>92</v>
      </c>
      <c r="C32" s="821">
        <f>stock_cars!C34/population!D33</f>
        <v>154.8386198833665</v>
      </c>
      <c r="D32" s="821">
        <f>stock_cars!D34/population!N33</f>
        <v>256.06868154705586</v>
      </c>
      <c r="E32" s="380">
        <f>stock_cars!E34/population!X33</f>
        <v>387.8892734948518</v>
      </c>
      <c r="F32" s="380">
        <f>stock_cars!F34/population!Y33</f>
        <v>382.38203126584557</v>
      </c>
      <c r="G32" s="380">
        <f>stock_cars!G34/population!Z33</f>
        <v>382.9885052014033</v>
      </c>
      <c r="H32" s="380">
        <f>stock_cars!H34/population!AA33</f>
        <v>368.83920004915404</v>
      </c>
      <c r="I32" s="380">
        <f>stock_cars!I34/population!AB33</f>
        <v>367.2638452453286</v>
      </c>
      <c r="J32" s="380">
        <f>stock_cars!J34/population!AC33</f>
        <v>371.49103760807975</v>
      </c>
      <c r="K32" s="380">
        <f>stock_cars!K34/population!AD33</f>
        <v>378.53290519687005</v>
      </c>
      <c r="L32" s="380">
        <f>stock_cars!L34/population!AE33</f>
        <v>378.4717142746684</v>
      </c>
      <c r="M32" s="380">
        <f>stock_cars!M34/population!AF33</f>
        <v>391.7160208277854</v>
      </c>
      <c r="N32" s="380">
        <f>stock_cars!N34/population!AG33</f>
        <v>402.71869637472344</v>
      </c>
      <c r="O32" s="380">
        <f>stock_cars!O34/population!AH33</f>
        <v>412.02096459931886</v>
      </c>
      <c r="P32" s="380">
        <f>stock_cars!P34/population!AI33</f>
        <v>415.9084071092019</v>
      </c>
      <c r="Q32" s="380">
        <f>stock_cars!Q34/population!AJ33</f>
        <v>421.544111503478</v>
      </c>
      <c r="R32" s="380">
        <f>stock_cars!R34/population!AK33</f>
        <v>435.7650929204795</v>
      </c>
      <c r="S32" s="380">
        <f>stock_cars!S34/population!AL33</f>
        <v>448.1383092996597</v>
      </c>
      <c r="T32" s="380">
        <f>stock_cars!T34/population!AM33</f>
        <v>462.43135867021334</v>
      </c>
      <c r="U32" s="380">
        <f>stock_cars!U34/population!AN33</f>
        <v>474.8084833014494</v>
      </c>
      <c r="V32" s="381">
        <f>stock_cars!V34/population!AO33</f>
        <v>484.92854614786125</v>
      </c>
      <c r="W32" s="14" t="s">
        <v>92</v>
      </c>
      <c r="X32" s="29"/>
      <c r="Y32" s="95">
        <f t="shared" si="0"/>
        <v>2.1313989118401544</v>
      </c>
    </row>
    <row r="33" spans="1:25" ht="12.75" customHeight="1">
      <c r="A33" s="12"/>
      <c r="B33" s="174" t="s">
        <v>93</v>
      </c>
      <c r="C33" s="820">
        <f>stock_cars!C35/population!D34</f>
        <v>283.12521732459044</v>
      </c>
      <c r="D33" s="820">
        <f>stock_cars!D35/population!N34</f>
        <v>346.59911490391823</v>
      </c>
      <c r="E33" s="378">
        <f>stock_cars!E35/population!X34</f>
        <v>419.1776388926074</v>
      </c>
      <c r="F33" s="378">
        <f>stock_cars!F35/population!Y34</f>
        <v>418.6660990361078</v>
      </c>
      <c r="G33" s="378">
        <f>stock_cars!G35/population!Z34</f>
        <v>412.90780398050487</v>
      </c>
      <c r="H33" s="378">
        <f>stock_cars!H35/population!AA34</f>
        <v>407.7822243267637</v>
      </c>
      <c r="I33" s="378">
        <f>stock_cars!I35/population!AB34</f>
        <v>407.6729442613698</v>
      </c>
      <c r="J33" s="378">
        <f>stock_cars!J35/population!AC34</f>
        <v>410.83582951550983</v>
      </c>
      <c r="K33" s="378">
        <f>stock_cars!K35/population!AD34</f>
        <v>413.2421745991491</v>
      </c>
      <c r="L33" s="378">
        <f>stock_cars!L35/population!AE34</f>
        <v>418.32356140772237</v>
      </c>
      <c r="M33" s="378">
        <f>stock_cars!M35/population!AF34</f>
        <v>428.11804223971075</v>
      </c>
      <c r="N33" s="378">
        <f>stock_cars!N35/population!AG34</f>
        <v>438.9992084795382</v>
      </c>
      <c r="O33" s="378">
        <f>stock_cars!O35/population!AH34</f>
        <v>450.15283482940947</v>
      </c>
      <c r="P33" s="378">
        <f>stock_cars!P35/population!AI34</f>
        <v>451.0579486567035</v>
      </c>
      <c r="Q33" s="378">
        <f>stock_cars!Q35/population!AJ34</f>
        <v>452.1740141920377</v>
      </c>
      <c r="R33" s="378">
        <f>stock_cars!R35/population!AK34</f>
        <v>454.05122960180137</v>
      </c>
      <c r="S33" s="378">
        <f>stock_cars!S35/population!AL34</f>
        <v>456.46932238659684</v>
      </c>
      <c r="T33" s="378">
        <f>stock_cars!T35/population!AM34</f>
        <v>459.08353809874546</v>
      </c>
      <c r="U33" s="378">
        <f>stock_cars!U35/population!AN34</f>
        <v>461.1373299359383</v>
      </c>
      <c r="V33" s="379">
        <f>stock_cars!V35/population!AO34</f>
        <v>463.73699801817</v>
      </c>
      <c r="W33" s="174" t="s">
        <v>93</v>
      </c>
      <c r="X33" s="29"/>
      <c r="Y33" s="95">
        <f t="shared" si="0"/>
        <v>0.563751384558886</v>
      </c>
    </row>
    <row r="34" spans="1:25" ht="12.75" customHeight="1">
      <c r="A34" s="12"/>
      <c r="B34" s="15" t="s">
        <v>81</v>
      </c>
      <c r="C34" s="822">
        <f>stock_cars!C36/population!D35</f>
        <v>213.33773155659458</v>
      </c>
      <c r="D34" s="822">
        <f>stock_cars!D36/population!N35</f>
        <v>277.20998646713343</v>
      </c>
      <c r="E34" s="382">
        <f>stock_cars!E36/population!X35</f>
        <v>361.39956192206176</v>
      </c>
      <c r="F34" s="382">
        <f>stock_cars!F36/population!Y35</f>
        <v>360.970694013454</v>
      </c>
      <c r="G34" s="382">
        <f>stock_cars!G36/population!Z35</f>
        <v>363.7517322440325</v>
      </c>
      <c r="H34" s="382">
        <f>stock_cars!H36/population!AA35</f>
        <v>368.4275236507942</v>
      </c>
      <c r="I34" s="382">
        <f>stock_cars!I36/population!AB35</f>
        <v>375.2054933815495</v>
      </c>
      <c r="J34" s="382">
        <f>stock_cars!J36/population!AC35</f>
        <v>377.8460461385155</v>
      </c>
      <c r="K34" s="382">
        <f>stock_cars!K36/population!AD35</f>
        <v>391.8095392335679</v>
      </c>
      <c r="L34" s="382">
        <f>stock_cars!L36/population!AE35</f>
        <v>401.5782556317369</v>
      </c>
      <c r="M34" s="382">
        <f>stock_cars!M36/population!AF35</f>
        <v>408.3707346668047</v>
      </c>
      <c r="N34" s="382">
        <f>stock_cars!N36/population!AG35</f>
        <v>418.94767268644244</v>
      </c>
      <c r="O34" s="382">
        <f>stock_cars!O36/population!AH35</f>
        <v>424.8636787312821</v>
      </c>
      <c r="P34" s="382">
        <f>stock_cars!P36/population!AI35</f>
        <v>435.9465004926239</v>
      </c>
      <c r="Q34" s="382">
        <f>stock_cars!Q36/population!AJ35</f>
        <v>445.7201868247881</v>
      </c>
      <c r="R34" s="382">
        <f>stock_cars!R36/population!AK35</f>
        <v>452.1344349601811</v>
      </c>
      <c r="S34" s="382">
        <f>stock_cars!S36/population!AL35</f>
        <v>462.97519642889847</v>
      </c>
      <c r="T34" s="382">
        <f>stock_cars!T36/population!AM35</f>
        <v>468.7782960737987</v>
      </c>
      <c r="U34" s="382">
        <f>stock_cars!U36/population!AN35</f>
        <v>471.37481199448814</v>
      </c>
      <c r="V34" s="383">
        <f>stock_cars!V36/population!AO35</f>
        <v>475.6157950625978</v>
      </c>
      <c r="W34" s="15" t="s">
        <v>81</v>
      </c>
      <c r="X34" s="29"/>
      <c r="Y34" s="95">
        <f t="shared" si="0"/>
        <v>0.8997050670071172</v>
      </c>
    </row>
    <row r="35" spans="1:25" ht="12.75" customHeight="1">
      <c r="A35" s="12"/>
      <c r="B35" s="174" t="s">
        <v>97</v>
      </c>
      <c r="C35" s="820"/>
      <c r="D35" s="820"/>
      <c r="E35" s="378"/>
      <c r="F35" s="378"/>
      <c r="G35" s="378"/>
      <c r="H35" s="378">
        <f>stock_cars!H37/population!AA36</f>
        <v>138.9987683462844</v>
      </c>
      <c r="I35" s="378">
        <f>stock_cars!I37/population!AB36</f>
        <v>149.58836965424592</v>
      </c>
      <c r="J35" s="378">
        <f>stock_cars!J37/population!AC36</f>
        <v>158.20567160133533</v>
      </c>
      <c r="K35" s="378">
        <f>stock_cars!K37/population!AD36</f>
        <v>182.7706401392332</v>
      </c>
      <c r="L35" s="378">
        <f>stock_cars!L37/population!AE36</f>
        <v>207.1200042478043</v>
      </c>
      <c r="M35" s="378">
        <f>stock_cars!M37/population!AF36</f>
        <v>219.6097342662748</v>
      </c>
      <c r="N35" s="378">
        <f>stock_cars!N37/population!AG36</f>
        <v>239.4457077245199</v>
      </c>
      <c r="O35" s="378">
        <f>stock_cars!O37/population!AH36</f>
        <v>253.4844320569552</v>
      </c>
      <c r="P35" s="378">
        <f>stock_cars!P37/population!AI36</f>
        <v>268.966352038245</v>
      </c>
      <c r="Q35" s="378">
        <f>stock_cars!Q37/population!AJ36</f>
        <v>280.0638524299397</v>
      </c>
      <c r="R35" s="378">
        <f>stock_cars!R37/population!AK36</f>
        <v>291.19737723991966</v>
      </c>
      <c r="S35" s="378">
        <f>stock_cars!S37/population!AL36</f>
        <v>300.98285267831125</v>
      </c>
      <c r="T35" s="378">
        <f>stock_cars!T37/population!AM36</f>
        <v>311.66670117878385</v>
      </c>
      <c r="U35" s="378">
        <f>stock_cars!U37/population!AN36</f>
        <v>323.2839582116518</v>
      </c>
      <c r="V35" s="379">
        <f>stock_cars!V37/population!AO36</f>
        <v>336.1118618447701</v>
      </c>
      <c r="W35" s="174" t="s">
        <v>97</v>
      </c>
      <c r="X35" s="29"/>
      <c r="Y35" s="95">
        <f t="shared" si="0"/>
        <v>3.9679988156789303</v>
      </c>
    </row>
    <row r="36" spans="1:25" ht="12.75" customHeight="1">
      <c r="A36" s="12"/>
      <c r="B36" s="14" t="s">
        <v>1</v>
      </c>
      <c r="C36" s="821"/>
      <c r="D36" s="821"/>
      <c r="E36" s="380"/>
      <c r="F36" s="380"/>
      <c r="G36" s="380"/>
      <c r="H36" s="380">
        <f>stock_cars!H38/population!AA37</f>
        <v>149.72523429823605</v>
      </c>
      <c r="I36" s="380">
        <f>stock_cars!I38/population!AB37</f>
        <v>134.46365208594645</v>
      </c>
      <c r="J36" s="380">
        <f>stock_cars!J38/population!AC37</f>
        <v>145.00628142296418</v>
      </c>
      <c r="K36" s="380">
        <f>stock_cars!K38/population!AD37</f>
        <v>142.6244276633802</v>
      </c>
      <c r="L36" s="380">
        <f>stock_cars!L38/population!AE37</f>
        <v>144.43301337435202</v>
      </c>
      <c r="M36" s="380">
        <f>stock_cars!M38/population!AF37</f>
        <v>143.42787442769804</v>
      </c>
      <c r="N36" s="380">
        <f>stock_cars!N38/population!AG37</f>
        <v>143.4522932085727</v>
      </c>
      <c r="O36" s="380">
        <f>stock_cars!O38/population!AH37</f>
        <v>147.70234236221341</v>
      </c>
      <c r="P36" s="380">
        <f>stock_cars!P38/population!AI37</f>
        <v>152.06133860086888</v>
      </c>
      <c r="Q36" s="380">
        <f>stock_cars!Q38/population!AJ37</f>
        <v>152.19993141119974</v>
      </c>
      <c r="R36" s="448">
        <f>stock_cars!R38/population!AK37</f>
        <v>147.79111401000645</v>
      </c>
      <c r="S36" s="502">
        <f>stock_cars!S38/population!AL37</f>
        <v>120.38152590708708</v>
      </c>
      <c r="T36" s="380">
        <f>stock_cars!T38/population!AM37</f>
        <v>124.20812415318215</v>
      </c>
      <c r="U36" s="380">
        <f>stock_cars!U38/population!AN37</f>
        <v>118.51468774073295</v>
      </c>
      <c r="V36" s="660">
        <f>stock_cars!V38/population!AO37</f>
        <v>122.23880867034981</v>
      </c>
      <c r="W36" s="14" t="s">
        <v>1</v>
      </c>
      <c r="X36" s="29"/>
      <c r="Y36" s="95">
        <f t="shared" si="0"/>
        <v>3.1423286012986607</v>
      </c>
    </row>
    <row r="37" spans="1:25" ht="12.75" customHeight="1">
      <c r="A37" s="12"/>
      <c r="B37" s="176" t="s">
        <v>77</v>
      </c>
      <c r="C37" s="823"/>
      <c r="D37" s="823"/>
      <c r="E37" s="384"/>
      <c r="F37" s="384"/>
      <c r="G37" s="384"/>
      <c r="H37" s="384">
        <f>stock_cars!H39/population!AA38</f>
        <v>43.60674085113848</v>
      </c>
      <c r="I37" s="384">
        <f>stock_cars!I39/population!AB38</f>
        <v>46.75608539526051</v>
      </c>
      <c r="J37" s="384">
        <f>stock_cars!J39/population!AC38</f>
        <v>49.06364964191686</v>
      </c>
      <c r="K37" s="384">
        <f>stock_cars!K39/population!AD38</f>
        <v>51.57396997047838</v>
      </c>
      <c r="L37" s="384">
        <f>stock_cars!L39/population!AE38</f>
        <v>55.22915363811349</v>
      </c>
      <c r="M37" s="384">
        <f>stock_cars!M39/population!AF38</f>
        <v>58.34455890331282</v>
      </c>
      <c r="N37" s="384">
        <f>stock_cars!N39/population!AG38</f>
        <v>60.88146220422735</v>
      </c>
      <c r="O37" s="384">
        <f>stock_cars!O39/population!AH38</f>
        <v>65.13207391214459</v>
      </c>
      <c r="P37" s="384">
        <f>stock_cars!P39/population!AI38</f>
        <v>65.8763830228881</v>
      </c>
      <c r="Q37" s="384">
        <f>stock_cars!Q39/population!AJ38</f>
        <v>65.93289788941745</v>
      </c>
      <c r="R37" s="384">
        <f>stock_cars!R39/population!AK38</f>
        <v>66.4904430711539</v>
      </c>
      <c r="S37" s="384">
        <f>stock_cars!S39/population!AL38</f>
        <v>75.41459742031311</v>
      </c>
      <c r="T37" s="384">
        <f>stock_cars!T39/population!AM38</f>
        <v>79.60213830192492</v>
      </c>
      <c r="U37" s="384">
        <f>stock_cars!U39/population!AN38</f>
        <v>88.11963783915272</v>
      </c>
      <c r="V37" s="385">
        <f>stock_cars!V39/population!AO38</f>
        <v>91.69144769486002</v>
      </c>
      <c r="W37" s="176" t="s">
        <v>77</v>
      </c>
      <c r="X37" s="29"/>
      <c r="Y37" s="95">
        <f t="shared" si="0"/>
        <v>4.05336420268434</v>
      </c>
    </row>
    <row r="38" spans="1:25" ht="12.75" customHeight="1">
      <c r="A38" s="12"/>
      <c r="B38" s="14" t="s">
        <v>63</v>
      </c>
      <c r="C38" s="821">
        <f>stock_cars!C40/population!D39</f>
        <v>199.11733403634165</v>
      </c>
      <c r="D38" s="821">
        <f>stock_cars!D40/population!N39</f>
        <v>374.67895188965974</v>
      </c>
      <c r="E38" s="380">
        <f>stock_cars!E40/population!X39</f>
        <v>467.94415827034464</v>
      </c>
      <c r="F38" s="380">
        <f>stock_cars!F40/population!Y39</f>
        <v>465.3424557323651</v>
      </c>
      <c r="G38" s="380">
        <f>stock_cars!G40/population!Z39</f>
        <v>457.8979061382848</v>
      </c>
      <c r="H38" s="380">
        <f>stock_cars!H40/population!AA39</f>
        <v>438.36582863006663</v>
      </c>
      <c r="I38" s="380">
        <f>stock_cars!I40/population!AB39</f>
        <v>435.40291709429243</v>
      </c>
      <c r="J38" s="380">
        <f>stock_cars!J40/population!AC39</f>
        <v>444.96525574903535</v>
      </c>
      <c r="K38" s="380">
        <f>stock_cars!K40/population!AD39</f>
        <v>462.84191882137594</v>
      </c>
      <c r="L38" s="380">
        <f>stock_cars!L40/population!AE39</f>
        <v>486.3334814102305</v>
      </c>
      <c r="M38" s="380">
        <f>stock_cars!M40/population!AF39</f>
        <v>509.1254642525534</v>
      </c>
      <c r="N38" s="380">
        <f>stock_cars!N40/population!AG39</f>
        <v>542.5892943533214</v>
      </c>
      <c r="O38" s="380">
        <f>stock_cars!O40/population!AH39</f>
        <v>560.8958184083202</v>
      </c>
      <c r="P38" s="380">
        <f>stock_cars!P40/population!AI39</f>
        <v>557.8469859548111</v>
      </c>
      <c r="Q38" s="380">
        <f>stock_cars!Q40/population!AJ39</f>
        <v>560.6144118472914</v>
      </c>
      <c r="R38" s="380">
        <f>stock_cars!R40/population!AK39</f>
        <v>574.2815844719</v>
      </c>
      <c r="S38" s="380">
        <f>stock_cars!S40/population!AL39</f>
        <v>597.5502168085375</v>
      </c>
      <c r="T38" s="380">
        <f>stock_cars!T40/population!AM39</f>
        <v>625.033762266957</v>
      </c>
      <c r="U38" s="380">
        <f>stock_cars!U40/population!AN39</f>
        <v>641.2835747159313</v>
      </c>
      <c r="V38" s="381">
        <f>stock_cars!V40/population!AO39</f>
        <v>668.3855815378331</v>
      </c>
      <c r="W38" s="14" t="s">
        <v>63</v>
      </c>
      <c r="X38" s="29"/>
      <c r="Y38" s="95">
        <f t="shared" si="0"/>
        <v>4.226212535368168</v>
      </c>
    </row>
    <row r="39" spans="1:25" ht="12.75" customHeight="1">
      <c r="A39" s="12"/>
      <c r="B39" s="174" t="s">
        <v>94</v>
      </c>
      <c r="C39" s="820">
        <f>stock_cars!C41/population!D40</f>
        <v>177.45521506157567</v>
      </c>
      <c r="D39" s="820">
        <f>stock_cars!D41/population!N40</f>
        <v>300.5615369201972</v>
      </c>
      <c r="E39" s="378">
        <f>stock_cars!E41/population!X40</f>
        <v>379.55329977904995</v>
      </c>
      <c r="F39" s="378">
        <f>stock_cars!F41/population!Y40</f>
        <v>377.8103131901328</v>
      </c>
      <c r="G39" s="378">
        <f>stock_cars!G41/population!Z40</f>
        <v>376.68646042361235</v>
      </c>
      <c r="H39" s="378">
        <f>stock_cars!H41/population!AA40</f>
        <v>377.60875320678457</v>
      </c>
      <c r="I39" s="378">
        <f>stock_cars!I41/population!AB40</f>
        <v>380.2948663994425</v>
      </c>
      <c r="J39" s="378">
        <f>stock_cars!J41/population!AC40</f>
        <v>385.5104295076587</v>
      </c>
      <c r="K39" s="378">
        <f>stock_cars!K41/population!AD40</f>
        <v>378.1823719914386</v>
      </c>
      <c r="L39" s="378">
        <f>stock_cars!L41/population!AE40</f>
        <v>397.95395643651676</v>
      </c>
      <c r="M39" s="378">
        <f>stock_cars!M41/population!AF40</f>
        <v>401.86091963047056</v>
      </c>
      <c r="N39" s="378">
        <f>stock_cars!N41/population!AG40</f>
        <v>404.9666662721891</v>
      </c>
      <c r="O39" s="378">
        <f>stock_cars!O41/population!AH40</f>
        <v>411.22578404578195</v>
      </c>
      <c r="P39" s="378">
        <f>stock_cars!P41/population!AI40</f>
        <v>413.97760333293104</v>
      </c>
      <c r="Q39" s="378">
        <f>stock_cars!Q41/population!AJ40</f>
        <v>417.32465601640683</v>
      </c>
      <c r="R39" s="378">
        <f>stock_cars!R41/population!AK40</f>
        <v>422.43105724422975</v>
      </c>
      <c r="S39" s="378">
        <f>stock_cars!S41/population!AL40</f>
        <v>429.3890863572845</v>
      </c>
      <c r="T39" s="378">
        <f>stock_cars!T41/population!AM40</f>
        <v>437.2442335157026</v>
      </c>
      <c r="U39" s="378">
        <f>stock_cars!U41/population!AN40</f>
        <v>445.23250135544083</v>
      </c>
      <c r="V39" s="379">
        <f>stock_cars!V41/population!AO40</f>
        <v>454.87844960631566</v>
      </c>
      <c r="W39" s="174" t="s">
        <v>94</v>
      </c>
      <c r="X39" s="29"/>
      <c r="Y39" s="95">
        <f t="shared" si="0"/>
        <v>2.166496880059121</v>
      </c>
    </row>
    <row r="40" spans="1:25" ht="12.75" customHeight="1">
      <c r="A40" s="12"/>
      <c r="B40" s="15" t="s">
        <v>64</v>
      </c>
      <c r="C40" s="822">
        <f>stock_cars!C42/population!D41</f>
        <v>223.3476407601161</v>
      </c>
      <c r="D40" s="822">
        <f>stock_cars!D42/population!N41</f>
        <v>354.6433814772377</v>
      </c>
      <c r="E40" s="382">
        <f>stock_cars!E42/population!X41</f>
        <v>441.8105578829537</v>
      </c>
      <c r="F40" s="382">
        <f>stock_cars!F42/population!Y41</f>
        <v>446.8656543667708</v>
      </c>
      <c r="G40" s="382">
        <f>stock_cars!G42/population!Z41</f>
        <v>447.48789041741566</v>
      </c>
      <c r="H40" s="382">
        <f>stock_cars!H42/population!AA41</f>
        <v>446.2211041863683</v>
      </c>
      <c r="I40" s="382">
        <f>stock_cars!I42/population!AB41</f>
        <v>450.9236974568668</v>
      </c>
      <c r="J40" s="382">
        <f>stock_cars!J42/population!AC41</f>
        <v>457.23791245808405</v>
      </c>
      <c r="K40" s="382">
        <f>stock_cars!K42/population!AD41</f>
        <v>461.50731795904335</v>
      </c>
      <c r="L40" s="382">
        <f>stock_cars!L42/population!AE41</f>
        <v>468.32542681461825</v>
      </c>
      <c r="M40" s="382">
        <f>stock_cars!M42/population!AF41</f>
        <v>474.9476278427416</v>
      </c>
      <c r="N40" s="382">
        <f>stock_cars!N42/population!AG41</f>
        <v>483.96093262784944</v>
      </c>
      <c r="O40" s="382">
        <f>stock_cars!O42/population!AH41</f>
        <v>492.1182583975275</v>
      </c>
      <c r="P40" s="382">
        <f>stock_cars!P42/population!AI41</f>
        <v>500.26000416502836</v>
      </c>
      <c r="Q40" s="382">
        <f>stock_cars!Q42/population!AJ41</f>
        <v>506.01933071392057</v>
      </c>
      <c r="R40" s="382">
        <f>stock_cars!R42/population!AK41</f>
        <v>509.75211253223046</v>
      </c>
      <c r="S40" s="382">
        <f>stock_cars!S42/population!AL41</f>
        <v>513.9984588209306</v>
      </c>
      <c r="T40" s="382">
        <f>stock_cars!T42/population!AM41</f>
        <v>517.6800827120811</v>
      </c>
      <c r="U40" s="382">
        <f>stock_cars!U42/population!AN41</f>
        <v>519.3966656718259</v>
      </c>
      <c r="V40" s="383">
        <f>stock_cars!V42/population!AO41</f>
        <v>520.9442451656641</v>
      </c>
      <c r="W40" s="15" t="s">
        <v>64</v>
      </c>
      <c r="X40" s="29"/>
      <c r="Y40" s="95">
        <f t="shared" si="0"/>
        <v>0.29795714838418697</v>
      </c>
    </row>
    <row r="41" spans="2:24" ht="15" customHeight="1">
      <c r="B41" s="880" t="s">
        <v>190</v>
      </c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0"/>
      <c r="T41" s="74"/>
      <c r="U41" s="74"/>
      <c r="V41" s="74"/>
      <c r="W41" s="74"/>
      <c r="X41" s="74"/>
    </row>
    <row r="42" spans="2:24" ht="12.75" customHeight="1">
      <c r="B42" s="879" t="s">
        <v>179</v>
      </c>
      <c r="C42" s="879"/>
      <c r="D42" s="879"/>
      <c r="E42" s="879"/>
      <c r="F42" s="879"/>
      <c r="G42" s="879"/>
      <c r="H42" s="879"/>
      <c r="I42" s="879"/>
      <c r="J42" s="879"/>
      <c r="K42" s="879"/>
      <c r="L42" s="879"/>
      <c r="M42" s="879"/>
      <c r="N42" s="879"/>
      <c r="O42" s="879"/>
      <c r="P42" s="879"/>
      <c r="Q42" s="879"/>
      <c r="R42" s="879"/>
      <c r="S42" s="879"/>
      <c r="T42" s="879"/>
      <c r="U42" s="879"/>
      <c r="V42" s="879"/>
      <c r="W42" s="879"/>
      <c r="X42" s="879"/>
    </row>
    <row r="43" spans="2:17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</sheetData>
  <mergeCells count="5">
    <mergeCell ref="B42:X42"/>
    <mergeCell ref="B41:S41"/>
    <mergeCell ref="B1:C1"/>
    <mergeCell ref="B2:W2"/>
    <mergeCell ref="B3:W3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AQ4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6.7109375" style="0" customWidth="1"/>
    <col min="4" max="12" width="6.7109375" style="0" hidden="1" customWidth="1"/>
    <col min="13" max="13" width="6.7109375" style="0" customWidth="1"/>
    <col min="14" max="22" width="6.7109375" style="0" hidden="1" customWidth="1"/>
    <col min="23" max="23" width="6.7109375" style="0" customWidth="1"/>
    <col min="24" max="32" width="6.7109375" style="0" hidden="1" customWidth="1"/>
    <col min="33" max="37" width="6.7109375" style="0" customWidth="1"/>
    <col min="38" max="41" width="6.7109375" style="9" customWidth="1"/>
    <col min="42" max="42" width="4.00390625" style="9" customWidth="1"/>
    <col min="43" max="43" width="6.28125" style="9" customWidth="1"/>
    <col min="44" max="46" width="4.7109375" style="0" customWidth="1"/>
    <col min="47" max="47" width="14.00390625" style="0" customWidth="1"/>
    <col min="48" max="58" width="4.7109375" style="0" customWidth="1"/>
  </cols>
  <sheetData>
    <row r="1" spans="2:42" ht="13.5" customHeight="1">
      <c r="B1" s="936"/>
      <c r="C1" s="936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AG1" s="24"/>
      <c r="AP1" s="24" t="s">
        <v>174</v>
      </c>
    </row>
    <row r="2" spans="2:43" ht="19.5" customHeight="1">
      <c r="B2" s="873" t="s">
        <v>122</v>
      </c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873"/>
      <c r="N2" s="873"/>
      <c r="O2" s="873"/>
      <c r="P2" s="873"/>
      <c r="Q2" s="873"/>
      <c r="R2" s="873"/>
      <c r="S2" s="873"/>
      <c r="T2" s="873"/>
      <c r="U2" s="873"/>
      <c r="V2" s="873"/>
      <c r="W2" s="873"/>
      <c r="X2" s="873"/>
      <c r="Y2" s="873"/>
      <c r="Z2" s="873"/>
      <c r="AA2" s="873"/>
      <c r="AB2" s="873"/>
      <c r="AC2" s="873"/>
      <c r="AD2" s="873"/>
      <c r="AE2" s="873"/>
      <c r="AF2" s="873"/>
      <c r="AG2" s="873"/>
      <c r="AH2" s="873"/>
      <c r="AI2" s="873"/>
      <c r="AJ2" s="873"/>
      <c r="AK2" s="873"/>
      <c r="AL2" s="873"/>
      <c r="AM2" s="873"/>
      <c r="AN2" s="873"/>
      <c r="AO2" s="26"/>
      <c r="AP2" s="26"/>
      <c r="AQ2" s="106"/>
    </row>
    <row r="3" spans="2:43" ht="17.25" customHeight="1">
      <c r="B3" s="134"/>
      <c r="C3" s="938" t="s">
        <v>127</v>
      </c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39"/>
      <c r="Q3" s="939"/>
      <c r="R3" s="939"/>
      <c r="S3" s="939"/>
      <c r="T3" s="939"/>
      <c r="U3" s="939"/>
      <c r="V3" s="939"/>
      <c r="W3" s="939"/>
      <c r="X3" s="939"/>
      <c r="Y3" s="939"/>
      <c r="Z3" s="939"/>
      <c r="AA3" s="939"/>
      <c r="AB3" s="939"/>
      <c r="AC3" s="939"/>
      <c r="AD3" s="939"/>
      <c r="AE3" s="939"/>
      <c r="AF3" s="939"/>
      <c r="AG3" s="939"/>
      <c r="AH3" s="939"/>
      <c r="AI3" s="939"/>
      <c r="AJ3" s="939"/>
      <c r="AK3" s="939"/>
      <c r="AL3" s="939"/>
      <c r="AM3" s="939"/>
      <c r="AN3" s="939"/>
      <c r="AO3" s="641"/>
      <c r="AP3" s="134"/>
      <c r="AQ3" s="414"/>
    </row>
    <row r="4" spans="2:43" ht="10.5" customHeight="1">
      <c r="B4" s="5"/>
      <c r="C4" s="196"/>
      <c r="D4" s="138"/>
      <c r="E4" s="138"/>
      <c r="F4" s="138"/>
      <c r="G4" s="138"/>
      <c r="H4" s="138"/>
      <c r="I4" s="138"/>
      <c r="J4" s="138"/>
      <c r="K4" s="138"/>
      <c r="L4" s="138"/>
      <c r="M4" s="937" t="s">
        <v>123</v>
      </c>
      <c r="N4" s="937"/>
      <c r="O4" s="937"/>
      <c r="P4" s="937"/>
      <c r="Q4" s="937"/>
      <c r="R4" s="937"/>
      <c r="S4" s="937"/>
      <c r="T4" s="937"/>
      <c r="U4" s="937"/>
      <c r="V4" s="937"/>
      <c r="W4" s="937"/>
      <c r="X4" s="937"/>
      <c r="Y4" s="937"/>
      <c r="Z4" s="937"/>
      <c r="AA4" s="937"/>
      <c r="AB4" s="937"/>
      <c r="AC4" s="138"/>
      <c r="AD4" s="138"/>
      <c r="AE4" s="138"/>
      <c r="AF4" s="138"/>
      <c r="AG4" s="195"/>
      <c r="AH4" s="138"/>
      <c r="AI4" s="138"/>
      <c r="AJ4" s="138"/>
      <c r="AK4" s="138"/>
      <c r="AL4" s="107"/>
      <c r="AM4" s="107"/>
      <c r="AN4" s="195" t="s">
        <v>124</v>
      </c>
      <c r="AO4" s="139"/>
      <c r="AP4" s="83"/>
      <c r="AQ4" s="5"/>
    </row>
    <row r="5" spans="2:43" ht="16.5" customHeight="1">
      <c r="B5" s="5"/>
      <c r="C5" s="135">
        <v>1970</v>
      </c>
      <c r="D5" s="136">
        <v>1971</v>
      </c>
      <c r="E5" s="136">
        <v>1972</v>
      </c>
      <c r="F5" s="136">
        <v>1973</v>
      </c>
      <c r="G5" s="136">
        <v>1974</v>
      </c>
      <c r="H5" s="136">
        <v>1975</v>
      </c>
      <c r="I5" s="136">
        <v>1976</v>
      </c>
      <c r="J5" s="136">
        <v>1977</v>
      </c>
      <c r="K5" s="136">
        <v>1978</v>
      </c>
      <c r="L5" s="136">
        <v>1979</v>
      </c>
      <c r="M5" s="136">
        <v>1980</v>
      </c>
      <c r="N5" s="136">
        <v>1981</v>
      </c>
      <c r="O5" s="136">
        <v>1982</v>
      </c>
      <c r="P5" s="136">
        <v>1983</v>
      </c>
      <c r="Q5" s="136">
        <v>1984</v>
      </c>
      <c r="R5" s="136">
        <v>1985</v>
      </c>
      <c r="S5" s="136">
        <v>1986</v>
      </c>
      <c r="T5" s="136">
        <v>1987</v>
      </c>
      <c r="U5" s="136">
        <v>1988</v>
      </c>
      <c r="V5" s="136">
        <v>1989</v>
      </c>
      <c r="W5" s="136">
        <v>1990</v>
      </c>
      <c r="X5" s="136">
        <v>1991</v>
      </c>
      <c r="Y5" s="136">
        <v>1992</v>
      </c>
      <c r="Z5" s="136">
        <v>1993</v>
      </c>
      <c r="AA5" s="136">
        <v>1994</v>
      </c>
      <c r="AB5" s="136">
        <v>1995</v>
      </c>
      <c r="AC5" s="136">
        <v>1996</v>
      </c>
      <c r="AD5" s="136">
        <v>1997</v>
      </c>
      <c r="AE5" s="136">
        <v>1998</v>
      </c>
      <c r="AF5" s="136">
        <v>1999</v>
      </c>
      <c r="AG5" s="136">
        <v>2000</v>
      </c>
      <c r="AH5" s="136">
        <v>2001</v>
      </c>
      <c r="AI5" s="136">
        <v>2002</v>
      </c>
      <c r="AJ5" s="136">
        <v>2003</v>
      </c>
      <c r="AK5" s="136">
        <v>2004</v>
      </c>
      <c r="AL5" s="136">
        <v>2005</v>
      </c>
      <c r="AM5" s="136">
        <v>2006</v>
      </c>
      <c r="AN5" s="136">
        <v>2007</v>
      </c>
      <c r="AO5" s="137">
        <v>2008</v>
      </c>
      <c r="AP5" s="10"/>
      <c r="AQ5" s="10"/>
    </row>
    <row r="6" spans="2:43" ht="15" customHeight="1">
      <c r="B6" s="128" t="s">
        <v>47</v>
      </c>
      <c r="C6" s="417">
        <f>SUM(C9:C35)</f>
        <v>435.47404200000005</v>
      </c>
      <c r="D6" s="129">
        <f aca="true" t="shared" si="0" ref="D6:AK6">SUM(D9:D35)</f>
        <v>437.30883900000003</v>
      </c>
      <c r="E6" s="129">
        <f t="shared" si="0"/>
        <v>440.09704200000004</v>
      </c>
      <c r="F6" s="129">
        <f t="shared" si="0"/>
        <v>442.774622</v>
      </c>
      <c r="G6" s="129">
        <f t="shared" si="0"/>
        <v>445.200115</v>
      </c>
      <c r="H6" s="129">
        <f t="shared" si="0"/>
        <v>447.3195859999998</v>
      </c>
      <c r="I6" s="129">
        <f t="shared" si="0"/>
        <v>449.5115780000001</v>
      </c>
      <c r="J6" s="129">
        <f t="shared" si="0"/>
        <v>451.45083100000005</v>
      </c>
      <c r="K6" s="129">
        <f t="shared" si="0"/>
        <v>453.411921</v>
      </c>
      <c r="L6" s="129">
        <f t="shared" si="0"/>
        <v>455.4091020000001</v>
      </c>
      <c r="M6" s="129">
        <f t="shared" si="0"/>
        <v>457.0528029999999</v>
      </c>
      <c r="N6" s="129">
        <f t="shared" si="0"/>
        <v>459.1853950000001</v>
      </c>
      <c r="O6" s="129">
        <f t="shared" si="0"/>
        <v>460.61368500000003</v>
      </c>
      <c r="P6" s="129">
        <f t="shared" si="0"/>
        <v>461.7403520000001</v>
      </c>
      <c r="Q6" s="129">
        <f t="shared" si="0"/>
        <v>462.681387</v>
      </c>
      <c r="R6" s="129">
        <f t="shared" si="0"/>
        <v>463.64332200000007</v>
      </c>
      <c r="S6" s="129">
        <f t="shared" si="0"/>
        <v>464.781584</v>
      </c>
      <c r="T6" s="129">
        <f t="shared" si="0"/>
        <v>466.0948430000001</v>
      </c>
      <c r="U6" s="129">
        <f t="shared" si="0"/>
        <v>467.323916</v>
      </c>
      <c r="V6" s="129">
        <f t="shared" si="0"/>
        <v>468.94408100000015</v>
      </c>
      <c r="W6" s="129">
        <f t="shared" si="0"/>
        <v>470.38822500000003</v>
      </c>
      <c r="X6" s="129">
        <f t="shared" si="0"/>
        <v>471.967435</v>
      </c>
      <c r="Y6" s="129">
        <f t="shared" si="0"/>
        <v>472.7369969999999</v>
      </c>
      <c r="Z6" s="129">
        <f t="shared" si="0"/>
        <v>474.36938599999996</v>
      </c>
      <c r="AA6" s="129">
        <f t="shared" si="0"/>
        <v>475.553919</v>
      </c>
      <c r="AB6" s="129">
        <f t="shared" si="0"/>
        <v>476.4913849999999</v>
      </c>
      <c r="AC6" s="129">
        <f t="shared" si="0"/>
        <v>477.3325440000001</v>
      </c>
      <c r="AD6" s="129">
        <f t="shared" si="0"/>
        <v>478.101984</v>
      </c>
      <c r="AE6" s="129">
        <f t="shared" si="0"/>
        <v>478.74706</v>
      </c>
      <c r="AF6" s="129">
        <f t="shared" si="0"/>
        <v>479.41386800000004</v>
      </c>
      <c r="AG6" s="129">
        <f t="shared" si="0"/>
        <v>481.0722330000001</v>
      </c>
      <c r="AH6" s="129">
        <f t="shared" si="0"/>
        <v>482.067072</v>
      </c>
      <c r="AI6" s="129">
        <f t="shared" si="0"/>
        <v>482.87396900000005</v>
      </c>
      <c r="AJ6" s="129">
        <f t="shared" si="0"/>
        <v>484.852424</v>
      </c>
      <c r="AK6" s="129">
        <f t="shared" si="0"/>
        <v>486.96652200000005</v>
      </c>
      <c r="AL6" s="129">
        <f>SUM(AL9:AL35)</f>
        <v>489.21093899999994</v>
      </c>
      <c r="AM6" s="129">
        <f>SUM(AM9:AM35)</f>
        <v>491.17594199999996</v>
      </c>
      <c r="AN6" s="129">
        <f>SUM(AN9:AN35)</f>
        <v>493.23647599999987</v>
      </c>
      <c r="AO6" s="129">
        <f>SUM(AO9:AO35)</f>
        <v>495.577715</v>
      </c>
      <c r="AP6" s="128" t="s">
        <v>47</v>
      </c>
      <c r="AQ6" s="10"/>
    </row>
    <row r="7" spans="2:43" ht="15" customHeight="1">
      <c r="B7" s="130" t="s">
        <v>82</v>
      </c>
      <c r="C7" s="418">
        <f aca="true" t="shared" si="1" ref="C7:AN7">SUM(C9,C12:C13,C15:C19,C23,C26:C27,C29,C33:C35)</f>
        <v>339.975029</v>
      </c>
      <c r="D7" s="131">
        <f t="shared" si="1"/>
        <v>341.524627</v>
      </c>
      <c r="E7" s="131">
        <f t="shared" si="1"/>
        <v>343.6279939999999</v>
      </c>
      <c r="F7" s="131">
        <f t="shared" si="1"/>
        <v>345.57090099999994</v>
      </c>
      <c r="G7" s="131">
        <f t="shared" si="1"/>
        <v>347.24502499999994</v>
      </c>
      <c r="H7" s="131">
        <f t="shared" si="1"/>
        <v>348.64347499999997</v>
      </c>
      <c r="I7" s="131">
        <f t="shared" si="1"/>
        <v>349.89339399999994</v>
      </c>
      <c r="J7" s="131">
        <f t="shared" si="1"/>
        <v>350.97932600000007</v>
      </c>
      <c r="K7" s="131">
        <f t="shared" si="1"/>
        <v>352.1518669999999</v>
      </c>
      <c r="L7" s="131">
        <f t="shared" si="1"/>
        <v>353.543173</v>
      </c>
      <c r="M7" s="131">
        <f t="shared" si="1"/>
        <v>354.56837799999994</v>
      </c>
      <c r="N7" s="131">
        <f t="shared" si="1"/>
        <v>356.05772500000006</v>
      </c>
      <c r="O7" s="131">
        <f t="shared" si="1"/>
        <v>356.905585</v>
      </c>
      <c r="P7" s="131">
        <f t="shared" si="1"/>
        <v>357.477608</v>
      </c>
      <c r="Q7" s="131">
        <f t="shared" si="1"/>
        <v>357.8911550000001</v>
      </c>
      <c r="R7" s="131">
        <f t="shared" si="1"/>
        <v>358.35609600000004</v>
      </c>
      <c r="S7" s="131">
        <f t="shared" si="1"/>
        <v>358.99431599999997</v>
      </c>
      <c r="T7" s="131">
        <f t="shared" si="1"/>
        <v>359.80671300000006</v>
      </c>
      <c r="U7" s="131">
        <f t="shared" si="1"/>
        <v>360.607127</v>
      </c>
      <c r="V7" s="131">
        <f t="shared" si="1"/>
        <v>361.89409200000006</v>
      </c>
      <c r="W7" s="131">
        <f t="shared" si="1"/>
        <v>363.492622</v>
      </c>
      <c r="X7" s="131">
        <f t="shared" si="1"/>
        <v>365.06338700000003</v>
      </c>
      <c r="Y7" s="131">
        <f t="shared" si="1"/>
        <v>366.6805109999999</v>
      </c>
      <c r="Z7" s="131">
        <f t="shared" si="1"/>
        <v>368.42261499999995</v>
      </c>
      <c r="AA7" s="131">
        <f t="shared" si="1"/>
        <v>369.65587600000003</v>
      </c>
      <c r="AB7" s="131">
        <f t="shared" si="1"/>
        <v>370.6670679999999</v>
      </c>
      <c r="AC7" s="131">
        <f t="shared" si="1"/>
        <v>371.66706800000003</v>
      </c>
      <c r="AD7" s="131">
        <f t="shared" si="1"/>
        <v>372.612529</v>
      </c>
      <c r="AE7" s="131">
        <f t="shared" si="1"/>
        <v>373.43579700000004</v>
      </c>
      <c r="AF7" s="131">
        <f t="shared" si="1"/>
        <v>374.279064</v>
      </c>
      <c r="AG7" s="131">
        <f t="shared" si="1"/>
        <v>375.54960100000005</v>
      </c>
      <c r="AH7" s="131">
        <f t="shared" si="1"/>
        <v>377.09029599999997</v>
      </c>
      <c r="AI7" s="131">
        <f t="shared" si="1"/>
        <v>378.8701520000001</v>
      </c>
      <c r="AJ7" s="131">
        <f t="shared" si="1"/>
        <v>381.03294200000005</v>
      </c>
      <c r="AK7" s="131">
        <f t="shared" si="1"/>
        <v>383.31234300000006</v>
      </c>
      <c r="AL7" s="131">
        <f t="shared" si="1"/>
        <v>385.685878</v>
      </c>
      <c r="AM7" s="131">
        <f t="shared" si="1"/>
        <v>387.755748</v>
      </c>
      <c r="AN7" s="131">
        <f t="shared" si="1"/>
        <v>389.91414</v>
      </c>
      <c r="AO7" s="131">
        <f>SUM(AO9,AO12:AO13,AO15:AO19,AO23,AO26:AO27,AO29,AO33:AO35)</f>
        <v>392.26207999999997</v>
      </c>
      <c r="AP7" s="130" t="s">
        <v>82</v>
      </c>
      <c r="AQ7" s="108"/>
    </row>
    <row r="8" spans="2:43" ht="15" customHeight="1">
      <c r="B8" s="132" t="s">
        <v>175</v>
      </c>
      <c r="C8" s="419">
        <f>SUM(C10+C11+C14+C20+C21+C22+C24+C25+C28+C30+C31+C32)</f>
        <v>95.49901299999999</v>
      </c>
      <c r="D8" s="133">
        <f aca="true" t="shared" si="2" ref="D8:AN8">SUM(D10+D11+D14+D20+D21+D22+D24+D25+D28+D30+D31+D32)</f>
        <v>95.784212</v>
      </c>
      <c r="E8" s="133">
        <f t="shared" si="2"/>
        <v>96.46904800000002</v>
      </c>
      <c r="F8" s="133">
        <f t="shared" si="2"/>
        <v>97.203721</v>
      </c>
      <c r="G8" s="133">
        <f t="shared" si="2"/>
        <v>97.95509</v>
      </c>
      <c r="H8" s="133">
        <f t="shared" si="2"/>
        <v>98.67611099999999</v>
      </c>
      <c r="I8" s="133">
        <f t="shared" si="2"/>
        <v>99.61818399999997</v>
      </c>
      <c r="J8" s="133">
        <f t="shared" si="2"/>
        <v>100.47150500000001</v>
      </c>
      <c r="K8" s="133">
        <f t="shared" si="2"/>
        <v>101.260054</v>
      </c>
      <c r="L8" s="133">
        <f t="shared" si="2"/>
        <v>101.86592900000001</v>
      </c>
      <c r="M8" s="133">
        <f t="shared" si="2"/>
        <v>102.484425</v>
      </c>
      <c r="N8" s="133">
        <f t="shared" si="2"/>
        <v>103.12767000000001</v>
      </c>
      <c r="O8" s="133">
        <f t="shared" si="2"/>
        <v>103.70810000000002</v>
      </c>
      <c r="P8" s="133">
        <f t="shared" si="2"/>
        <v>104.262744</v>
      </c>
      <c r="Q8" s="133">
        <f t="shared" si="2"/>
        <v>104.79023200000002</v>
      </c>
      <c r="R8" s="133">
        <f t="shared" si="2"/>
        <v>105.287226</v>
      </c>
      <c r="S8" s="133">
        <f t="shared" si="2"/>
        <v>105.787268</v>
      </c>
      <c r="T8" s="133">
        <f t="shared" si="2"/>
        <v>106.28812999999998</v>
      </c>
      <c r="U8" s="133">
        <f t="shared" si="2"/>
        <v>106.71678899999999</v>
      </c>
      <c r="V8" s="133">
        <f t="shared" si="2"/>
        <v>107.049989</v>
      </c>
      <c r="W8" s="133">
        <f t="shared" si="2"/>
        <v>106.895603</v>
      </c>
      <c r="X8" s="133">
        <f t="shared" si="2"/>
        <v>106.90404799999999</v>
      </c>
      <c r="Y8" s="133">
        <f t="shared" si="2"/>
        <v>106.05648600000002</v>
      </c>
      <c r="Z8" s="133">
        <f t="shared" si="2"/>
        <v>105.946771</v>
      </c>
      <c r="AA8" s="133">
        <f t="shared" si="2"/>
        <v>105.898043</v>
      </c>
      <c r="AB8" s="133">
        <f t="shared" si="2"/>
        <v>105.82431699999998</v>
      </c>
      <c r="AC8" s="133">
        <f t="shared" si="2"/>
        <v>105.66547600000001</v>
      </c>
      <c r="AD8" s="133">
        <f t="shared" si="2"/>
        <v>105.48945499999999</v>
      </c>
      <c r="AE8" s="133">
        <f t="shared" si="2"/>
        <v>105.311263</v>
      </c>
      <c r="AF8" s="133">
        <f t="shared" si="2"/>
        <v>105.13480400000002</v>
      </c>
      <c r="AG8" s="133">
        <f t="shared" si="2"/>
        <v>105.522632</v>
      </c>
      <c r="AH8" s="133">
        <f t="shared" si="2"/>
        <v>104.976776</v>
      </c>
      <c r="AI8" s="133">
        <f t="shared" si="2"/>
        <v>104.00381700000001</v>
      </c>
      <c r="AJ8" s="133">
        <f t="shared" si="2"/>
        <v>103.819482</v>
      </c>
      <c r="AK8" s="133">
        <f t="shared" si="2"/>
        <v>103.654179</v>
      </c>
      <c r="AL8" s="133">
        <f t="shared" si="2"/>
        <v>103.525061</v>
      </c>
      <c r="AM8" s="133">
        <f t="shared" si="2"/>
        <v>103.420194</v>
      </c>
      <c r="AN8" s="133">
        <f t="shared" si="2"/>
        <v>103.32233599999999</v>
      </c>
      <c r="AO8" s="133">
        <f>SUM(AO10+AO11+AO14+AO20+AO21+AO22+AO24+AO25+AO28+AO30+AO31+AO32)</f>
        <v>103.315635</v>
      </c>
      <c r="AP8" s="132" t="s">
        <v>175</v>
      </c>
      <c r="AQ8" s="110"/>
    </row>
    <row r="9" spans="1:43" s="9" customFormat="1" ht="12" customHeight="1">
      <c r="A9" s="111"/>
      <c r="B9" s="113" t="s">
        <v>83</v>
      </c>
      <c r="C9" s="420">
        <v>9.660154</v>
      </c>
      <c r="D9" s="421">
        <v>9.650944</v>
      </c>
      <c r="E9" s="421">
        <v>9.695379</v>
      </c>
      <c r="F9" s="421">
        <v>9.72685</v>
      </c>
      <c r="G9" s="421">
        <v>9.75659</v>
      </c>
      <c r="H9" s="421">
        <v>9.788248</v>
      </c>
      <c r="I9" s="421">
        <v>9.813152</v>
      </c>
      <c r="J9" s="421">
        <v>9.823302</v>
      </c>
      <c r="K9" s="421">
        <v>9.837413</v>
      </c>
      <c r="L9" s="421">
        <v>9.841654</v>
      </c>
      <c r="M9" s="421">
        <v>9.85511</v>
      </c>
      <c r="N9" s="421">
        <v>9.863374</v>
      </c>
      <c r="O9" s="421">
        <v>9.854589</v>
      </c>
      <c r="P9" s="421">
        <v>9.858017</v>
      </c>
      <c r="Q9" s="421">
        <v>9.853023</v>
      </c>
      <c r="R9" s="421">
        <v>9.857721</v>
      </c>
      <c r="S9" s="421">
        <v>9.858895</v>
      </c>
      <c r="T9" s="421">
        <v>9.864751</v>
      </c>
      <c r="U9" s="421">
        <v>9.875716</v>
      </c>
      <c r="V9" s="421">
        <v>9.927612</v>
      </c>
      <c r="W9" s="421">
        <v>9.947782</v>
      </c>
      <c r="X9" s="421">
        <v>9.986975</v>
      </c>
      <c r="Y9" s="421">
        <v>10.021997</v>
      </c>
      <c r="Z9" s="421">
        <v>10.068319</v>
      </c>
      <c r="AA9" s="421">
        <v>10.100631</v>
      </c>
      <c r="AB9" s="421">
        <v>10.130574</v>
      </c>
      <c r="AC9" s="421">
        <v>10.143047</v>
      </c>
      <c r="AD9" s="421">
        <v>10.170226</v>
      </c>
      <c r="AE9" s="421">
        <v>10.192264</v>
      </c>
      <c r="AF9" s="421">
        <v>10.213752</v>
      </c>
      <c r="AG9" s="421">
        <v>10.239085</v>
      </c>
      <c r="AH9" s="421">
        <v>10.263414</v>
      </c>
      <c r="AI9" s="421">
        <v>10.309725</v>
      </c>
      <c r="AJ9" s="421">
        <v>10.355844</v>
      </c>
      <c r="AK9" s="421">
        <v>10.396421</v>
      </c>
      <c r="AL9" s="421">
        <v>10.445852</v>
      </c>
      <c r="AM9" s="422">
        <v>10.511382</v>
      </c>
      <c r="AN9" s="658">
        <v>10.584534</v>
      </c>
      <c r="AO9" s="429">
        <v>10.666866</v>
      </c>
      <c r="AP9" s="113" t="s">
        <v>83</v>
      </c>
      <c r="AQ9" s="112"/>
    </row>
    <row r="10" spans="1:43" s="9" customFormat="1" ht="12" customHeight="1">
      <c r="A10" s="111"/>
      <c r="B10" s="125" t="s">
        <v>65</v>
      </c>
      <c r="C10" s="423">
        <v>8.464264</v>
      </c>
      <c r="D10" s="424">
        <v>8.514883</v>
      </c>
      <c r="E10" s="424">
        <v>8.557906</v>
      </c>
      <c r="F10" s="424">
        <v>8.594493</v>
      </c>
      <c r="G10" s="424">
        <v>8.64744</v>
      </c>
      <c r="H10" s="424">
        <v>8.710049</v>
      </c>
      <c r="I10" s="424">
        <v>8.731434</v>
      </c>
      <c r="J10" s="424">
        <v>8.785763</v>
      </c>
      <c r="K10" s="424">
        <v>8.822602</v>
      </c>
      <c r="L10" s="424">
        <v>8.805462</v>
      </c>
      <c r="M10" s="424">
        <v>8.846417</v>
      </c>
      <c r="N10" s="424">
        <v>8.876652</v>
      </c>
      <c r="O10" s="424">
        <v>8.905581</v>
      </c>
      <c r="P10" s="424">
        <v>8.929332</v>
      </c>
      <c r="Q10" s="424">
        <v>8.950144</v>
      </c>
      <c r="R10" s="424">
        <v>8.971214</v>
      </c>
      <c r="S10" s="424">
        <v>8.94988</v>
      </c>
      <c r="T10" s="424">
        <v>8.966462</v>
      </c>
      <c r="U10" s="424">
        <v>8.976255</v>
      </c>
      <c r="V10" s="424">
        <v>8.986636</v>
      </c>
      <c r="W10" s="424">
        <v>8.767308</v>
      </c>
      <c r="X10" s="424">
        <v>8.669269</v>
      </c>
      <c r="Y10" s="424">
        <v>8.595465</v>
      </c>
      <c r="Z10" s="424">
        <v>8.484863</v>
      </c>
      <c r="AA10" s="424">
        <v>8.459763</v>
      </c>
      <c r="AB10" s="424">
        <v>8.427418</v>
      </c>
      <c r="AC10" s="424">
        <v>8.384715</v>
      </c>
      <c r="AD10" s="424">
        <v>8.340936</v>
      </c>
      <c r="AE10" s="424">
        <v>8.2832</v>
      </c>
      <c r="AF10" s="424">
        <v>8.230371</v>
      </c>
      <c r="AG10" s="424">
        <v>8.190876</v>
      </c>
      <c r="AH10" s="424">
        <v>8.149468</v>
      </c>
      <c r="AI10" s="424">
        <v>7.891095</v>
      </c>
      <c r="AJ10" s="424">
        <v>7.845841</v>
      </c>
      <c r="AK10" s="424">
        <v>7.801273</v>
      </c>
      <c r="AL10" s="424">
        <v>7.761049</v>
      </c>
      <c r="AM10" s="425">
        <v>7.71875</v>
      </c>
      <c r="AN10" s="424">
        <v>7.67929</v>
      </c>
      <c r="AO10" s="426">
        <v>7.640238</v>
      </c>
      <c r="AP10" s="125" t="s">
        <v>65</v>
      </c>
      <c r="AQ10" s="112"/>
    </row>
    <row r="11" spans="1:43" s="9" customFormat="1" ht="12" customHeight="1">
      <c r="A11" s="111"/>
      <c r="B11" s="113" t="s">
        <v>67</v>
      </c>
      <c r="C11" s="427">
        <v>9.906474</v>
      </c>
      <c r="D11" s="428">
        <v>9.809667</v>
      </c>
      <c r="E11" s="428">
        <v>9.843962</v>
      </c>
      <c r="F11" s="428">
        <v>9.891302</v>
      </c>
      <c r="G11" s="428">
        <v>9.95323</v>
      </c>
      <c r="H11" s="428">
        <v>10.023688</v>
      </c>
      <c r="I11" s="428">
        <v>10.093551</v>
      </c>
      <c r="J11" s="428">
        <v>10.158327</v>
      </c>
      <c r="K11" s="428">
        <v>10.215183</v>
      </c>
      <c r="L11" s="428">
        <v>10.269012</v>
      </c>
      <c r="M11" s="428">
        <v>10.315669</v>
      </c>
      <c r="N11" s="428">
        <v>10.292717</v>
      </c>
      <c r="O11" s="428">
        <v>10.308465</v>
      </c>
      <c r="P11" s="428">
        <v>10.321186</v>
      </c>
      <c r="Q11" s="428">
        <v>10.326526</v>
      </c>
      <c r="R11" s="428">
        <v>10.3339</v>
      </c>
      <c r="S11" s="428">
        <v>10.340335</v>
      </c>
      <c r="T11" s="428">
        <v>10.344119</v>
      </c>
      <c r="U11" s="428">
        <v>10.350517</v>
      </c>
      <c r="V11" s="428">
        <v>10.360034</v>
      </c>
      <c r="W11" s="428">
        <v>10.362102</v>
      </c>
      <c r="X11" s="428">
        <v>10.304607</v>
      </c>
      <c r="Y11" s="428">
        <v>10.312548</v>
      </c>
      <c r="Z11" s="428">
        <v>10.325697</v>
      </c>
      <c r="AA11" s="428">
        <v>10.334013</v>
      </c>
      <c r="AB11" s="428">
        <v>10.333161</v>
      </c>
      <c r="AC11" s="428">
        <v>10.321344</v>
      </c>
      <c r="AD11" s="428">
        <v>10.309137</v>
      </c>
      <c r="AE11" s="428">
        <v>10.299125</v>
      </c>
      <c r="AF11" s="428">
        <v>10.289621</v>
      </c>
      <c r="AG11" s="428">
        <v>10.278098</v>
      </c>
      <c r="AH11" s="428">
        <v>10.266546</v>
      </c>
      <c r="AI11" s="428">
        <v>10.206436</v>
      </c>
      <c r="AJ11" s="428">
        <v>10.203269</v>
      </c>
      <c r="AK11" s="428">
        <v>10.211455</v>
      </c>
      <c r="AL11" s="428">
        <v>10.220577</v>
      </c>
      <c r="AM11" s="422">
        <v>10.251079</v>
      </c>
      <c r="AN11" s="659">
        <v>10.287189</v>
      </c>
      <c r="AO11" s="429">
        <v>10.38113</v>
      </c>
      <c r="AP11" s="113" t="s">
        <v>67</v>
      </c>
      <c r="AQ11" s="112"/>
    </row>
    <row r="12" spans="1:43" s="9" customFormat="1" ht="12" customHeight="1">
      <c r="A12" s="111"/>
      <c r="B12" s="125" t="s">
        <v>78</v>
      </c>
      <c r="C12" s="423">
        <v>4.906916</v>
      </c>
      <c r="D12" s="424">
        <v>4.950598</v>
      </c>
      <c r="E12" s="424">
        <v>4.975653</v>
      </c>
      <c r="F12" s="424">
        <v>5.007538</v>
      </c>
      <c r="G12" s="424">
        <v>5.036184</v>
      </c>
      <c r="H12" s="424">
        <v>5.05441</v>
      </c>
      <c r="I12" s="424">
        <v>5.065313</v>
      </c>
      <c r="J12" s="424">
        <v>5.079879</v>
      </c>
      <c r="K12" s="424">
        <v>5.096959</v>
      </c>
      <c r="L12" s="424">
        <v>5.111537</v>
      </c>
      <c r="M12" s="424">
        <v>5.122065</v>
      </c>
      <c r="N12" s="424">
        <v>5.123989</v>
      </c>
      <c r="O12" s="424">
        <v>5.119155</v>
      </c>
      <c r="P12" s="424">
        <v>5.116464</v>
      </c>
      <c r="Q12" s="424">
        <v>5.11213</v>
      </c>
      <c r="R12" s="424">
        <v>5.111108</v>
      </c>
      <c r="S12" s="424">
        <v>5.116273</v>
      </c>
      <c r="T12" s="424">
        <v>5.124794</v>
      </c>
      <c r="U12" s="424">
        <v>5.129254</v>
      </c>
      <c r="V12" s="424">
        <v>5.129778</v>
      </c>
      <c r="W12" s="424">
        <v>5.135409</v>
      </c>
      <c r="X12" s="424">
        <v>5.146469</v>
      </c>
      <c r="Y12" s="424">
        <v>5.162126</v>
      </c>
      <c r="Z12" s="424">
        <v>5.180614</v>
      </c>
      <c r="AA12" s="424">
        <v>5.196642</v>
      </c>
      <c r="AB12" s="424">
        <v>5.215718</v>
      </c>
      <c r="AC12" s="424">
        <v>5.251027</v>
      </c>
      <c r="AD12" s="424">
        <v>5.275121</v>
      </c>
      <c r="AE12" s="424">
        <v>5.29486</v>
      </c>
      <c r="AF12" s="424">
        <v>5.313577</v>
      </c>
      <c r="AG12" s="424">
        <v>5.33002</v>
      </c>
      <c r="AH12" s="424">
        <v>5.349212</v>
      </c>
      <c r="AI12" s="424">
        <v>5.368354</v>
      </c>
      <c r="AJ12" s="424">
        <v>5.383507</v>
      </c>
      <c r="AK12" s="424">
        <v>5.39764</v>
      </c>
      <c r="AL12" s="424">
        <v>5.411405</v>
      </c>
      <c r="AM12" s="425">
        <v>5.427459</v>
      </c>
      <c r="AN12" s="424">
        <v>5.447084</v>
      </c>
      <c r="AO12" s="426">
        <v>5.475791</v>
      </c>
      <c r="AP12" s="125" t="s">
        <v>78</v>
      </c>
      <c r="AQ12" s="112"/>
    </row>
    <row r="13" spans="1:43" s="9" customFormat="1" ht="12" customHeight="1">
      <c r="A13" s="111"/>
      <c r="B13" s="113" t="s">
        <v>84</v>
      </c>
      <c r="C13" s="427">
        <v>78.269095</v>
      </c>
      <c r="D13" s="428">
        <v>78.069482</v>
      </c>
      <c r="E13" s="428">
        <v>78.556202</v>
      </c>
      <c r="F13" s="428">
        <v>78.820701</v>
      </c>
      <c r="G13" s="428">
        <v>79.05263</v>
      </c>
      <c r="H13" s="428">
        <v>78.882235</v>
      </c>
      <c r="I13" s="428">
        <v>78.464873</v>
      </c>
      <c r="J13" s="428">
        <v>78.209026</v>
      </c>
      <c r="K13" s="428">
        <v>78.110602</v>
      </c>
      <c r="L13" s="428">
        <v>78.073038</v>
      </c>
      <c r="M13" s="428">
        <v>78.179662</v>
      </c>
      <c r="N13" s="428">
        <v>78.39749</v>
      </c>
      <c r="O13" s="428">
        <v>78.418324</v>
      </c>
      <c r="P13" s="428">
        <v>78.248407</v>
      </c>
      <c r="Q13" s="428">
        <v>78.008156</v>
      </c>
      <c r="R13" s="428">
        <v>77.709213</v>
      </c>
      <c r="S13" s="428">
        <v>77.660533</v>
      </c>
      <c r="T13" s="428">
        <v>77.780338</v>
      </c>
      <c r="U13" s="428">
        <v>77.899502</v>
      </c>
      <c r="V13" s="428">
        <v>78.389735</v>
      </c>
      <c r="W13" s="428">
        <v>79.112831</v>
      </c>
      <c r="X13" s="428">
        <v>79.753227</v>
      </c>
      <c r="Y13" s="428">
        <v>80.274564</v>
      </c>
      <c r="Z13" s="428">
        <v>80.974632</v>
      </c>
      <c r="AA13" s="428">
        <v>81.338093</v>
      </c>
      <c r="AB13" s="428">
        <v>81.538603</v>
      </c>
      <c r="AC13" s="428">
        <v>81.817499</v>
      </c>
      <c r="AD13" s="428">
        <v>82.012162</v>
      </c>
      <c r="AE13" s="428">
        <v>82.057379</v>
      </c>
      <c r="AF13" s="428">
        <v>82.037011</v>
      </c>
      <c r="AG13" s="428">
        <v>82.163475</v>
      </c>
      <c r="AH13" s="428">
        <v>82.25954</v>
      </c>
      <c r="AI13" s="428">
        <v>82.440309</v>
      </c>
      <c r="AJ13" s="428">
        <v>82.53668</v>
      </c>
      <c r="AK13" s="428">
        <v>82.531671</v>
      </c>
      <c r="AL13" s="428">
        <v>82.500849</v>
      </c>
      <c r="AM13" s="422">
        <v>82.437995</v>
      </c>
      <c r="AN13" s="659">
        <v>82.314906</v>
      </c>
      <c r="AO13" s="429">
        <v>82.217837</v>
      </c>
      <c r="AP13" s="113" t="s">
        <v>84</v>
      </c>
      <c r="AQ13" s="112"/>
    </row>
    <row r="14" spans="1:43" s="9" customFormat="1" ht="12" customHeight="1">
      <c r="A14" s="111"/>
      <c r="B14" s="125" t="s">
        <v>68</v>
      </c>
      <c r="C14" s="423">
        <v>1.356079</v>
      </c>
      <c r="D14" s="424">
        <v>1.368511</v>
      </c>
      <c r="E14" s="424">
        <v>1.385399</v>
      </c>
      <c r="F14" s="424">
        <v>1.399637</v>
      </c>
      <c r="G14" s="424">
        <v>1.412265</v>
      </c>
      <c r="H14" s="424">
        <v>1.424073</v>
      </c>
      <c r="I14" s="424">
        <v>1.43463</v>
      </c>
      <c r="J14" s="424">
        <v>1.444522</v>
      </c>
      <c r="K14" s="424">
        <v>1.4559</v>
      </c>
      <c r="L14" s="424">
        <v>1.4644759999999999</v>
      </c>
      <c r="M14" s="424">
        <v>1.47219</v>
      </c>
      <c r="N14" s="424">
        <v>1.482247</v>
      </c>
      <c r="O14" s="424">
        <v>1.493085</v>
      </c>
      <c r="P14" s="424">
        <v>1.503743</v>
      </c>
      <c r="Q14" s="424">
        <v>1.513747</v>
      </c>
      <c r="R14" s="424">
        <v>1.523486</v>
      </c>
      <c r="S14" s="424">
        <v>1.534076</v>
      </c>
      <c r="T14" s="424">
        <v>1.546304</v>
      </c>
      <c r="U14" s="424">
        <v>1.558137</v>
      </c>
      <c r="V14" s="424">
        <v>1.565662</v>
      </c>
      <c r="W14" s="424">
        <v>1.570599</v>
      </c>
      <c r="X14" s="424">
        <v>1.567749</v>
      </c>
      <c r="Y14" s="424">
        <v>1.554878</v>
      </c>
      <c r="Z14" s="424">
        <v>1.511303</v>
      </c>
      <c r="AA14" s="424">
        <v>1.476952</v>
      </c>
      <c r="AB14" s="424">
        <v>1.448075</v>
      </c>
      <c r="AC14" s="424">
        <v>1.425192</v>
      </c>
      <c r="AD14" s="424">
        <v>1.405996</v>
      </c>
      <c r="AE14" s="424">
        <v>1.393074</v>
      </c>
      <c r="AF14" s="424">
        <v>1.379237</v>
      </c>
      <c r="AG14" s="424">
        <v>1.372071</v>
      </c>
      <c r="AH14" s="424">
        <v>1.366959</v>
      </c>
      <c r="AI14" s="424">
        <v>1.361242</v>
      </c>
      <c r="AJ14" s="424">
        <v>1.356045</v>
      </c>
      <c r="AK14" s="424">
        <v>1.351069</v>
      </c>
      <c r="AL14" s="424">
        <v>1.34751</v>
      </c>
      <c r="AM14" s="425">
        <v>1.344684</v>
      </c>
      <c r="AN14" s="424">
        <v>1.342409</v>
      </c>
      <c r="AO14" s="426">
        <v>1.340935</v>
      </c>
      <c r="AP14" s="125" t="s">
        <v>68</v>
      </c>
      <c r="AQ14" s="112"/>
    </row>
    <row r="15" spans="1:43" s="9" customFormat="1" ht="12" customHeight="1">
      <c r="A15" s="111"/>
      <c r="B15" s="113" t="s">
        <v>87</v>
      </c>
      <c r="C15" s="427">
        <v>2.9433</v>
      </c>
      <c r="D15" s="428">
        <v>2.9712</v>
      </c>
      <c r="E15" s="428">
        <v>3.0129</v>
      </c>
      <c r="F15" s="428">
        <v>3.0608</v>
      </c>
      <c r="G15" s="428">
        <v>3.1111</v>
      </c>
      <c r="H15" s="428">
        <v>3.1639</v>
      </c>
      <c r="I15" s="428">
        <v>3.2152</v>
      </c>
      <c r="J15" s="428">
        <v>3.2609</v>
      </c>
      <c r="K15" s="428">
        <v>3.3035</v>
      </c>
      <c r="L15" s="428">
        <v>3.3547</v>
      </c>
      <c r="M15" s="428">
        <v>3.3928</v>
      </c>
      <c r="N15" s="428">
        <v>3.4328</v>
      </c>
      <c r="O15" s="428">
        <v>3.4732</v>
      </c>
      <c r="P15" s="428">
        <v>3.4984</v>
      </c>
      <c r="Q15" s="428">
        <v>3.5228</v>
      </c>
      <c r="R15" s="428">
        <v>3.542046</v>
      </c>
      <c r="S15" s="428">
        <v>3.534117</v>
      </c>
      <c r="T15" s="428">
        <v>3.545263</v>
      </c>
      <c r="U15" s="428">
        <v>3.53485</v>
      </c>
      <c r="V15" s="428">
        <v>3.515048</v>
      </c>
      <c r="W15" s="428">
        <v>3.50697</v>
      </c>
      <c r="X15" s="428">
        <v>3.520977</v>
      </c>
      <c r="Y15" s="428">
        <v>3.547492</v>
      </c>
      <c r="Z15" s="428">
        <v>3.569367</v>
      </c>
      <c r="AA15" s="428">
        <v>3.583154</v>
      </c>
      <c r="AB15" s="428">
        <v>3.597617</v>
      </c>
      <c r="AC15" s="428">
        <v>3.620065</v>
      </c>
      <c r="AD15" s="428">
        <v>3.654955</v>
      </c>
      <c r="AE15" s="428">
        <v>3.693582</v>
      </c>
      <c r="AF15" s="428">
        <v>3.732201</v>
      </c>
      <c r="AG15" s="428">
        <v>3.777763</v>
      </c>
      <c r="AH15" s="428">
        <v>3.832973</v>
      </c>
      <c r="AI15" s="428">
        <v>3.899876</v>
      </c>
      <c r="AJ15" s="428">
        <v>3.963665</v>
      </c>
      <c r="AK15" s="428">
        <v>4.027732</v>
      </c>
      <c r="AL15" s="428">
        <v>4.109173</v>
      </c>
      <c r="AM15" s="422">
        <v>4.209019</v>
      </c>
      <c r="AN15" s="659">
        <v>4.312526</v>
      </c>
      <c r="AO15" s="429">
        <v>4.401335</v>
      </c>
      <c r="AP15" s="113" t="s">
        <v>87</v>
      </c>
      <c r="AQ15" s="112"/>
    </row>
    <row r="16" spans="1:43" s="9" customFormat="1" ht="12" customHeight="1">
      <c r="A16" s="111"/>
      <c r="B16" s="125" t="s">
        <v>79</v>
      </c>
      <c r="C16" s="423">
        <v>8.780514</v>
      </c>
      <c r="D16" s="424">
        <v>8.805098</v>
      </c>
      <c r="E16" s="424">
        <v>8.856974</v>
      </c>
      <c r="F16" s="424">
        <v>8.920282</v>
      </c>
      <c r="G16" s="424">
        <v>8.93789</v>
      </c>
      <c r="H16" s="424">
        <v>8.986153</v>
      </c>
      <c r="I16" s="424">
        <v>9.106928</v>
      </c>
      <c r="J16" s="424">
        <v>9.269372</v>
      </c>
      <c r="K16" s="424">
        <v>9.347586</v>
      </c>
      <c r="L16" s="424">
        <v>9.512332</v>
      </c>
      <c r="M16" s="424">
        <v>9.584184</v>
      </c>
      <c r="N16" s="424">
        <v>9.700826</v>
      </c>
      <c r="O16" s="424">
        <v>9.757874</v>
      </c>
      <c r="P16" s="424">
        <v>9.821152</v>
      </c>
      <c r="Q16" s="424">
        <v>9.872102</v>
      </c>
      <c r="R16" s="424">
        <v>9.9195</v>
      </c>
      <c r="S16" s="424">
        <v>9.9491</v>
      </c>
      <c r="T16" s="424">
        <v>9.985326</v>
      </c>
      <c r="U16" s="424">
        <v>10.015863</v>
      </c>
      <c r="V16" s="424">
        <v>10.058103</v>
      </c>
      <c r="W16" s="424">
        <v>10.120892</v>
      </c>
      <c r="X16" s="424">
        <v>10.192911</v>
      </c>
      <c r="Y16" s="424">
        <v>10.319672</v>
      </c>
      <c r="Z16" s="424">
        <v>10.420059</v>
      </c>
      <c r="AA16" s="424">
        <v>10.510996</v>
      </c>
      <c r="AB16" s="424">
        <v>10.595074</v>
      </c>
      <c r="AC16" s="424">
        <v>10.673696</v>
      </c>
      <c r="AD16" s="424">
        <v>10.744649</v>
      </c>
      <c r="AE16" s="424">
        <v>10.808358</v>
      </c>
      <c r="AF16" s="424">
        <v>10.861402</v>
      </c>
      <c r="AG16" s="424">
        <v>10.903757</v>
      </c>
      <c r="AH16" s="424">
        <v>10.931206</v>
      </c>
      <c r="AI16" s="424">
        <v>10.968708</v>
      </c>
      <c r="AJ16" s="424">
        <v>11.006377</v>
      </c>
      <c r="AK16" s="424">
        <v>11.04065</v>
      </c>
      <c r="AL16" s="424">
        <v>11.082751</v>
      </c>
      <c r="AM16" s="425">
        <v>11.125179</v>
      </c>
      <c r="AN16" s="424">
        <v>11.17174</v>
      </c>
      <c r="AO16" s="426">
        <v>11.213785</v>
      </c>
      <c r="AP16" s="125" t="s">
        <v>79</v>
      </c>
      <c r="AQ16" s="112"/>
    </row>
    <row r="17" spans="1:43" s="9" customFormat="1" ht="12" customHeight="1">
      <c r="A17" s="111"/>
      <c r="B17" s="113" t="s">
        <v>85</v>
      </c>
      <c r="C17" s="427">
        <v>33.58761</v>
      </c>
      <c r="D17" s="428">
        <v>34.041452</v>
      </c>
      <c r="E17" s="428">
        <v>34.341903</v>
      </c>
      <c r="F17" s="428">
        <v>34.663507</v>
      </c>
      <c r="G17" s="428">
        <v>34.970634</v>
      </c>
      <c r="H17" s="428">
        <v>35.338041</v>
      </c>
      <c r="I17" s="428">
        <v>35.723408</v>
      </c>
      <c r="J17" s="428">
        <v>36.155465</v>
      </c>
      <c r="K17" s="428">
        <v>36.584635</v>
      </c>
      <c r="L17" s="428">
        <v>37.160377</v>
      </c>
      <c r="M17" s="428">
        <v>37.241868</v>
      </c>
      <c r="N17" s="428">
        <v>37.636201</v>
      </c>
      <c r="O17" s="428">
        <v>37.84491</v>
      </c>
      <c r="P17" s="428">
        <v>38.040699</v>
      </c>
      <c r="Q17" s="428">
        <v>38.204159</v>
      </c>
      <c r="R17" s="428">
        <v>38.352991</v>
      </c>
      <c r="S17" s="428">
        <v>38.484642</v>
      </c>
      <c r="T17" s="428">
        <v>38.586591</v>
      </c>
      <c r="U17" s="428">
        <v>38.675049</v>
      </c>
      <c r="V17" s="428">
        <v>38.756648</v>
      </c>
      <c r="W17" s="428">
        <v>38.826297</v>
      </c>
      <c r="X17" s="428">
        <v>38.874573</v>
      </c>
      <c r="Y17" s="428">
        <v>39.003524</v>
      </c>
      <c r="Z17" s="428">
        <v>39.131966</v>
      </c>
      <c r="AA17" s="428">
        <v>39.246833</v>
      </c>
      <c r="AB17" s="428">
        <v>39.3431</v>
      </c>
      <c r="AC17" s="428">
        <v>39.430933</v>
      </c>
      <c r="AD17" s="428">
        <v>39.525438</v>
      </c>
      <c r="AE17" s="428">
        <v>39.639388</v>
      </c>
      <c r="AF17" s="428">
        <v>39.802827</v>
      </c>
      <c r="AG17" s="428">
        <v>40.049708</v>
      </c>
      <c r="AH17" s="428">
        <v>40.476723</v>
      </c>
      <c r="AI17" s="428">
        <v>40.964244</v>
      </c>
      <c r="AJ17" s="428">
        <v>41.663702</v>
      </c>
      <c r="AK17" s="428">
        <v>42.345342</v>
      </c>
      <c r="AL17" s="428">
        <v>43.038035</v>
      </c>
      <c r="AM17" s="422">
        <v>43.75825</v>
      </c>
      <c r="AN17" s="659">
        <v>44.474631</v>
      </c>
      <c r="AO17" s="429">
        <v>45.283259</v>
      </c>
      <c r="AP17" s="113" t="s">
        <v>85</v>
      </c>
      <c r="AQ17" s="112"/>
    </row>
    <row r="18" spans="1:43" s="9" customFormat="1" ht="12" customHeight="1">
      <c r="A18" s="111"/>
      <c r="B18" s="125" t="s">
        <v>86</v>
      </c>
      <c r="C18" s="423">
        <v>50.528219</v>
      </c>
      <c r="D18" s="424">
        <v>51.016234</v>
      </c>
      <c r="E18" s="424">
        <v>51.485953</v>
      </c>
      <c r="F18" s="424">
        <v>51.915873</v>
      </c>
      <c r="G18" s="424">
        <v>52.320725</v>
      </c>
      <c r="H18" s="424">
        <v>52.6</v>
      </c>
      <c r="I18" s="424">
        <v>52.798338</v>
      </c>
      <c r="J18" s="424">
        <v>53.019005</v>
      </c>
      <c r="K18" s="424">
        <v>53.271566</v>
      </c>
      <c r="L18" s="424">
        <v>53.481073</v>
      </c>
      <c r="M18" s="424">
        <v>53.731387</v>
      </c>
      <c r="N18" s="424">
        <v>54.02863</v>
      </c>
      <c r="O18" s="424">
        <v>54.335</v>
      </c>
      <c r="P18" s="424">
        <v>54.649984</v>
      </c>
      <c r="Q18" s="424">
        <v>54.894854</v>
      </c>
      <c r="R18" s="424">
        <v>55.157303</v>
      </c>
      <c r="S18" s="424">
        <v>55.411238</v>
      </c>
      <c r="T18" s="424">
        <v>55.68178</v>
      </c>
      <c r="U18" s="424">
        <v>55.966142</v>
      </c>
      <c r="V18" s="424">
        <v>56.26981</v>
      </c>
      <c r="W18" s="424">
        <v>56.577</v>
      </c>
      <c r="X18" s="424">
        <v>56.840661</v>
      </c>
      <c r="Y18" s="424">
        <v>57.110533</v>
      </c>
      <c r="Z18" s="424">
        <v>57.369161</v>
      </c>
      <c r="AA18" s="424">
        <v>57.565008</v>
      </c>
      <c r="AB18" s="424">
        <v>57.752535</v>
      </c>
      <c r="AC18" s="424">
        <v>57.935959</v>
      </c>
      <c r="AD18" s="424">
        <v>58.116018</v>
      </c>
      <c r="AE18" s="424">
        <v>58.298962</v>
      </c>
      <c r="AF18" s="424">
        <v>58.496613</v>
      </c>
      <c r="AG18" s="424">
        <v>58.849545</v>
      </c>
      <c r="AH18" s="424">
        <v>59.249169</v>
      </c>
      <c r="AI18" s="424">
        <v>59.659752</v>
      </c>
      <c r="AJ18" s="424">
        <v>60.066779</v>
      </c>
      <c r="AK18" s="424">
        <v>60.461613</v>
      </c>
      <c r="AL18" s="424">
        <v>60.825</v>
      </c>
      <c r="AM18" s="425">
        <v>61.166822</v>
      </c>
      <c r="AN18" s="424">
        <v>61.538322</v>
      </c>
      <c r="AO18" s="426">
        <v>61.875822</v>
      </c>
      <c r="AP18" s="125" t="s">
        <v>86</v>
      </c>
      <c r="AQ18" s="114"/>
    </row>
    <row r="19" spans="1:43" s="9" customFormat="1" ht="12" customHeight="1">
      <c r="A19" s="111"/>
      <c r="B19" s="113" t="s">
        <v>88</v>
      </c>
      <c r="C19" s="427">
        <v>53.6853</v>
      </c>
      <c r="D19" s="428">
        <v>53.9584</v>
      </c>
      <c r="E19" s="428">
        <v>54.188579</v>
      </c>
      <c r="F19" s="428">
        <v>54.574111</v>
      </c>
      <c r="G19" s="428">
        <v>54.9287</v>
      </c>
      <c r="H19" s="428">
        <v>55.293036</v>
      </c>
      <c r="I19" s="428">
        <v>55.588966</v>
      </c>
      <c r="J19" s="428">
        <v>55.847553</v>
      </c>
      <c r="K19" s="428">
        <v>56.063269</v>
      </c>
      <c r="L19" s="428">
        <v>56.247017</v>
      </c>
      <c r="M19" s="428">
        <v>56.38848</v>
      </c>
      <c r="N19" s="428">
        <v>56.479285</v>
      </c>
      <c r="O19" s="428">
        <v>56.524064</v>
      </c>
      <c r="P19" s="428">
        <v>56.563031</v>
      </c>
      <c r="Q19" s="428">
        <v>56.565117</v>
      </c>
      <c r="R19" s="428">
        <v>56.588319</v>
      </c>
      <c r="S19" s="428">
        <v>56.597823</v>
      </c>
      <c r="T19" s="428">
        <v>56.594487</v>
      </c>
      <c r="U19" s="428">
        <v>56.609375</v>
      </c>
      <c r="V19" s="428">
        <v>56.649201</v>
      </c>
      <c r="W19" s="428">
        <v>56.69436</v>
      </c>
      <c r="X19" s="428">
        <v>56.744119</v>
      </c>
      <c r="Y19" s="428">
        <v>56.772923</v>
      </c>
      <c r="Z19" s="428">
        <v>56.82125</v>
      </c>
      <c r="AA19" s="428">
        <v>56.842392</v>
      </c>
      <c r="AB19" s="428">
        <v>56.844408</v>
      </c>
      <c r="AC19" s="428">
        <v>56.844197</v>
      </c>
      <c r="AD19" s="428">
        <v>56.876364</v>
      </c>
      <c r="AE19" s="428">
        <v>56.904379</v>
      </c>
      <c r="AF19" s="428">
        <v>56.909109</v>
      </c>
      <c r="AG19" s="428">
        <v>56.923524</v>
      </c>
      <c r="AH19" s="428">
        <v>56.960692</v>
      </c>
      <c r="AI19" s="428">
        <v>56.993742</v>
      </c>
      <c r="AJ19" s="428">
        <v>57.32107</v>
      </c>
      <c r="AK19" s="428">
        <v>57.888245</v>
      </c>
      <c r="AL19" s="428">
        <v>58.462375</v>
      </c>
      <c r="AM19" s="422">
        <v>58.751711</v>
      </c>
      <c r="AN19" s="659">
        <v>59.131287</v>
      </c>
      <c r="AO19" s="429">
        <v>59.61929</v>
      </c>
      <c r="AP19" s="113" t="s">
        <v>88</v>
      </c>
      <c r="AQ19" s="112"/>
    </row>
    <row r="20" spans="1:43" s="9" customFormat="1" ht="12" customHeight="1">
      <c r="A20" s="111"/>
      <c r="B20" s="125" t="s">
        <v>66</v>
      </c>
      <c r="C20" s="423">
        <v>0.612</v>
      </c>
      <c r="D20" s="424">
        <v>0.6169</v>
      </c>
      <c r="E20" s="424">
        <v>0.6231</v>
      </c>
      <c r="F20" s="424">
        <v>0.631778</v>
      </c>
      <c r="G20" s="430">
        <v>0.6378</v>
      </c>
      <c r="H20" s="424">
        <v>0.491</v>
      </c>
      <c r="I20" s="424">
        <v>0.497879</v>
      </c>
      <c r="J20" s="424">
        <v>0.5</v>
      </c>
      <c r="K20" s="424">
        <v>0.503</v>
      </c>
      <c r="L20" s="424">
        <v>0.506</v>
      </c>
      <c r="M20" s="424">
        <v>0.51</v>
      </c>
      <c r="N20" s="424">
        <v>0.515</v>
      </c>
      <c r="O20" s="424">
        <v>0.522845</v>
      </c>
      <c r="P20" s="424">
        <v>0.524623</v>
      </c>
      <c r="Q20" s="424">
        <v>0.531518</v>
      </c>
      <c r="R20" s="424">
        <v>0.538397</v>
      </c>
      <c r="S20" s="424">
        <v>0.544605</v>
      </c>
      <c r="T20" s="424">
        <v>0.550888</v>
      </c>
      <c r="U20" s="424">
        <v>0.556584</v>
      </c>
      <c r="V20" s="424">
        <v>0.562693</v>
      </c>
      <c r="W20" s="424">
        <v>0.572655</v>
      </c>
      <c r="X20" s="424">
        <v>0.587141</v>
      </c>
      <c r="Y20" s="424">
        <v>0.603069</v>
      </c>
      <c r="Z20" s="424">
        <v>0.619231</v>
      </c>
      <c r="AA20" s="424">
        <v>0.632944</v>
      </c>
      <c r="AB20" s="424">
        <v>0.645399</v>
      </c>
      <c r="AC20" s="424">
        <v>0.656333</v>
      </c>
      <c r="AD20" s="424">
        <v>0.666313</v>
      </c>
      <c r="AE20" s="424">
        <v>0.675215</v>
      </c>
      <c r="AF20" s="424">
        <v>0.682862</v>
      </c>
      <c r="AG20" s="424">
        <v>0.690497</v>
      </c>
      <c r="AH20" s="424">
        <v>0.697549</v>
      </c>
      <c r="AI20" s="424">
        <v>0.705539</v>
      </c>
      <c r="AJ20" s="424">
        <v>0.715137</v>
      </c>
      <c r="AK20" s="424">
        <v>0.730367</v>
      </c>
      <c r="AL20" s="424">
        <v>0.749175</v>
      </c>
      <c r="AM20" s="425">
        <v>0.766414</v>
      </c>
      <c r="AN20" s="424">
        <v>0.778684</v>
      </c>
      <c r="AO20" s="426">
        <v>0.789258</v>
      </c>
      <c r="AP20" s="125" t="s">
        <v>66</v>
      </c>
      <c r="AQ20" s="114"/>
    </row>
    <row r="21" spans="1:43" s="9" customFormat="1" ht="12" customHeight="1">
      <c r="A21" s="111"/>
      <c r="B21" s="113" t="s">
        <v>70</v>
      </c>
      <c r="C21" s="427">
        <v>2.351903</v>
      </c>
      <c r="D21" s="428">
        <v>2.366424</v>
      </c>
      <c r="E21" s="428">
        <v>2.386353</v>
      </c>
      <c r="F21" s="428">
        <v>2.404995</v>
      </c>
      <c r="G21" s="428">
        <v>2.426642</v>
      </c>
      <c r="H21" s="428">
        <v>2.44773</v>
      </c>
      <c r="I21" s="428">
        <v>2.464529</v>
      </c>
      <c r="J21" s="428">
        <v>2.477449</v>
      </c>
      <c r="K21" s="428">
        <v>2.492697</v>
      </c>
      <c r="L21" s="428">
        <v>2.503145</v>
      </c>
      <c r="M21" s="428">
        <v>2.508761</v>
      </c>
      <c r="N21" s="428">
        <v>2.51464</v>
      </c>
      <c r="O21" s="428">
        <v>2.524202</v>
      </c>
      <c r="P21" s="428">
        <v>2.537958</v>
      </c>
      <c r="Q21" s="428">
        <v>2.554063</v>
      </c>
      <c r="R21" s="428">
        <v>2.57003</v>
      </c>
      <c r="S21" s="428">
        <v>2.587716</v>
      </c>
      <c r="T21" s="428">
        <v>2.612068</v>
      </c>
      <c r="U21" s="428">
        <v>2.641097</v>
      </c>
      <c r="V21" s="428">
        <v>2.66577</v>
      </c>
      <c r="W21" s="428">
        <v>2.66814</v>
      </c>
      <c r="X21" s="428">
        <v>2.658161</v>
      </c>
      <c r="Y21" s="428">
        <v>2.643</v>
      </c>
      <c r="Z21" s="428">
        <v>2.585675</v>
      </c>
      <c r="AA21" s="428">
        <v>2.540904</v>
      </c>
      <c r="AB21" s="428">
        <v>2.50058</v>
      </c>
      <c r="AC21" s="428">
        <v>2.469531</v>
      </c>
      <c r="AD21" s="428">
        <v>2.444912</v>
      </c>
      <c r="AE21" s="428">
        <v>2.420789</v>
      </c>
      <c r="AF21" s="428">
        <v>2.399248</v>
      </c>
      <c r="AG21" s="428">
        <v>2.381715</v>
      </c>
      <c r="AH21" s="428">
        <v>2.364254</v>
      </c>
      <c r="AI21" s="428">
        <v>2.345768</v>
      </c>
      <c r="AJ21" s="428">
        <v>2.33148</v>
      </c>
      <c r="AK21" s="428">
        <v>2.319203</v>
      </c>
      <c r="AL21" s="428">
        <v>2.306434</v>
      </c>
      <c r="AM21" s="422">
        <v>2.29459</v>
      </c>
      <c r="AN21" s="659">
        <v>2.281305</v>
      </c>
      <c r="AO21" s="429">
        <v>2.270894</v>
      </c>
      <c r="AP21" s="113" t="s">
        <v>70</v>
      </c>
      <c r="AQ21" s="112"/>
    </row>
    <row r="22" spans="1:43" s="9" customFormat="1" ht="12" customHeight="1">
      <c r="A22" s="111"/>
      <c r="B22" s="125" t="s">
        <v>71</v>
      </c>
      <c r="C22" s="423">
        <v>3.118941</v>
      </c>
      <c r="D22" s="424">
        <v>3.160437</v>
      </c>
      <c r="E22" s="424">
        <v>3.197645</v>
      </c>
      <c r="F22" s="424">
        <v>3.229598</v>
      </c>
      <c r="G22" s="424">
        <v>3.259277</v>
      </c>
      <c r="H22" s="424">
        <v>3.28851</v>
      </c>
      <c r="I22" s="424">
        <v>3.314794</v>
      </c>
      <c r="J22" s="424">
        <v>3.342533</v>
      </c>
      <c r="K22" s="424">
        <v>3.367538</v>
      </c>
      <c r="L22" s="424">
        <v>3.39149</v>
      </c>
      <c r="M22" s="424">
        <v>3.404194</v>
      </c>
      <c r="N22" s="424">
        <v>3.42221</v>
      </c>
      <c r="O22" s="424">
        <v>3.443684</v>
      </c>
      <c r="P22" s="424">
        <v>3.470673</v>
      </c>
      <c r="Q22" s="424">
        <v>3.499711</v>
      </c>
      <c r="R22" s="424">
        <v>3.528698</v>
      </c>
      <c r="S22" s="424">
        <v>3.560388</v>
      </c>
      <c r="T22" s="424">
        <v>3.597439</v>
      </c>
      <c r="U22" s="424">
        <v>3.635295</v>
      </c>
      <c r="V22" s="424">
        <v>3.674802</v>
      </c>
      <c r="W22" s="424">
        <v>3.693708</v>
      </c>
      <c r="X22" s="424">
        <v>3.701968</v>
      </c>
      <c r="Y22" s="424">
        <v>3.706299</v>
      </c>
      <c r="Z22" s="424">
        <v>3.693929</v>
      </c>
      <c r="AA22" s="424">
        <v>3.671296</v>
      </c>
      <c r="AB22" s="424">
        <v>3.642991</v>
      </c>
      <c r="AC22" s="424">
        <v>3.615212</v>
      </c>
      <c r="AD22" s="424">
        <v>3.588013</v>
      </c>
      <c r="AE22" s="424">
        <v>3.562261</v>
      </c>
      <c r="AF22" s="424">
        <v>3.536401</v>
      </c>
      <c r="AG22" s="424">
        <v>3.512074</v>
      </c>
      <c r="AH22" s="424">
        <v>3.486998</v>
      </c>
      <c r="AI22" s="424">
        <v>3.475586</v>
      </c>
      <c r="AJ22" s="424">
        <v>3.462553</v>
      </c>
      <c r="AK22" s="424">
        <v>3.445857</v>
      </c>
      <c r="AL22" s="424">
        <v>3.425324</v>
      </c>
      <c r="AM22" s="425">
        <v>3.403284</v>
      </c>
      <c r="AN22" s="424">
        <v>3.384879</v>
      </c>
      <c r="AO22" s="426">
        <v>3.366357</v>
      </c>
      <c r="AP22" s="125" t="s">
        <v>71</v>
      </c>
      <c r="AQ22" s="112"/>
    </row>
    <row r="23" spans="1:43" s="9" customFormat="1" ht="12" customHeight="1">
      <c r="A23" s="111"/>
      <c r="B23" s="113" t="s">
        <v>89</v>
      </c>
      <c r="C23" s="427">
        <v>0.3385</v>
      </c>
      <c r="D23" s="428">
        <v>0.339841</v>
      </c>
      <c r="E23" s="428">
        <v>0.345</v>
      </c>
      <c r="F23" s="428">
        <v>0.3482</v>
      </c>
      <c r="G23" s="428">
        <v>0.3527</v>
      </c>
      <c r="H23" s="428">
        <v>0.3574</v>
      </c>
      <c r="I23" s="428">
        <v>0.3605</v>
      </c>
      <c r="J23" s="428">
        <v>0.360962</v>
      </c>
      <c r="K23" s="428">
        <v>0.361753</v>
      </c>
      <c r="L23" s="428">
        <v>0.362261</v>
      </c>
      <c r="M23" s="428">
        <v>0.36345</v>
      </c>
      <c r="N23" s="428">
        <v>0.36485</v>
      </c>
      <c r="O23" s="428">
        <v>0.3656</v>
      </c>
      <c r="P23" s="428">
        <v>0.36545</v>
      </c>
      <c r="Q23" s="428">
        <v>0.365794</v>
      </c>
      <c r="R23" s="428">
        <v>0.366202</v>
      </c>
      <c r="S23" s="428">
        <v>0.36721</v>
      </c>
      <c r="T23" s="428">
        <v>0.3695</v>
      </c>
      <c r="U23" s="428">
        <v>0.372</v>
      </c>
      <c r="V23" s="428">
        <v>0.3749</v>
      </c>
      <c r="W23" s="428">
        <v>0.3793</v>
      </c>
      <c r="X23" s="428">
        <v>0.3844</v>
      </c>
      <c r="Y23" s="428">
        <v>0.3896</v>
      </c>
      <c r="Z23" s="428">
        <v>0.39475</v>
      </c>
      <c r="AA23" s="428">
        <v>0.4002</v>
      </c>
      <c r="AB23" s="428">
        <v>0.40565</v>
      </c>
      <c r="AC23" s="428">
        <v>0.4116</v>
      </c>
      <c r="AD23" s="428">
        <v>0.41685</v>
      </c>
      <c r="AE23" s="428">
        <v>0.42205</v>
      </c>
      <c r="AF23" s="428">
        <v>0.42735</v>
      </c>
      <c r="AG23" s="428">
        <v>0.4336</v>
      </c>
      <c r="AH23" s="428">
        <v>0.439</v>
      </c>
      <c r="AI23" s="428">
        <v>0.44405</v>
      </c>
      <c r="AJ23" s="428">
        <v>0.4483</v>
      </c>
      <c r="AK23" s="428">
        <v>0.45496</v>
      </c>
      <c r="AL23" s="428">
        <v>0.46123</v>
      </c>
      <c r="AM23" s="422">
        <v>0.469086</v>
      </c>
      <c r="AN23" s="659">
        <v>0.476187</v>
      </c>
      <c r="AO23" s="429">
        <v>0.483799</v>
      </c>
      <c r="AP23" s="113" t="s">
        <v>89</v>
      </c>
      <c r="AQ23" s="112"/>
    </row>
    <row r="24" spans="1:43" s="9" customFormat="1" ht="12" customHeight="1">
      <c r="A24" s="111"/>
      <c r="B24" s="125" t="s">
        <v>69</v>
      </c>
      <c r="C24" s="423">
        <v>10.322099</v>
      </c>
      <c r="D24" s="424">
        <v>10.353721</v>
      </c>
      <c r="E24" s="424">
        <v>10.381352</v>
      </c>
      <c r="F24" s="424">
        <v>10.415626</v>
      </c>
      <c r="G24" s="424">
        <v>10.448484</v>
      </c>
      <c r="H24" s="424">
        <v>10.508956</v>
      </c>
      <c r="I24" s="424">
        <v>10.572094</v>
      </c>
      <c r="J24" s="424">
        <v>10.625259</v>
      </c>
      <c r="K24" s="424">
        <v>10.670802</v>
      </c>
      <c r="L24" s="424">
        <v>10.698841</v>
      </c>
      <c r="M24" s="424">
        <v>10.709463</v>
      </c>
      <c r="N24" s="424">
        <v>10.712781</v>
      </c>
      <c r="O24" s="424">
        <v>10.710914</v>
      </c>
      <c r="P24" s="424">
        <v>10.700155</v>
      </c>
      <c r="Q24" s="424">
        <v>10.67877</v>
      </c>
      <c r="R24" s="424">
        <v>10.65742</v>
      </c>
      <c r="S24" s="424">
        <v>10.640006</v>
      </c>
      <c r="T24" s="424">
        <v>10.621121</v>
      </c>
      <c r="U24" s="424">
        <v>10.60436</v>
      </c>
      <c r="V24" s="424">
        <v>10.588614</v>
      </c>
      <c r="W24" s="424">
        <v>10.374823</v>
      </c>
      <c r="X24" s="424">
        <v>10.373153</v>
      </c>
      <c r="Y24" s="424">
        <v>10.373647</v>
      </c>
      <c r="Z24" s="424">
        <v>10.365035</v>
      </c>
      <c r="AA24" s="424">
        <v>10.35001</v>
      </c>
      <c r="AB24" s="424">
        <v>10.3367</v>
      </c>
      <c r="AC24" s="424">
        <v>10.321229</v>
      </c>
      <c r="AD24" s="424">
        <v>10.301247</v>
      </c>
      <c r="AE24" s="424">
        <v>10.279724</v>
      </c>
      <c r="AF24" s="424">
        <v>10.253416</v>
      </c>
      <c r="AG24" s="424">
        <v>10.221644</v>
      </c>
      <c r="AH24" s="424">
        <v>10.200298</v>
      </c>
      <c r="AI24" s="424">
        <v>10.174853</v>
      </c>
      <c r="AJ24" s="424">
        <v>10.142362</v>
      </c>
      <c r="AK24" s="424">
        <v>10.116742</v>
      </c>
      <c r="AL24" s="424">
        <v>10.097549</v>
      </c>
      <c r="AM24" s="425">
        <v>10.076581</v>
      </c>
      <c r="AN24" s="424">
        <v>10.066158</v>
      </c>
      <c r="AO24" s="426">
        <v>10.045401</v>
      </c>
      <c r="AP24" s="125" t="s">
        <v>69</v>
      </c>
      <c r="AQ24" s="112"/>
    </row>
    <row r="25" spans="1:43" s="9" customFormat="1" ht="12" customHeight="1">
      <c r="A25" s="111"/>
      <c r="B25" s="113" t="s">
        <v>72</v>
      </c>
      <c r="C25" s="427">
        <v>0.3025</v>
      </c>
      <c r="D25" s="428">
        <v>0.3028</v>
      </c>
      <c r="E25" s="428">
        <v>0.3025</v>
      </c>
      <c r="F25" s="431">
        <v>0.3022</v>
      </c>
      <c r="G25" s="431">
        <v>0.302</v>
      </c>
      <c r="H25" s="431">
        <v>0.301892</v>
      </c>
      <c r="I25" s="428">
        <v>0.306551</v>
      </c>
      <c r="J25" s="428">
        <v>0.304997</v>
      </c>
      <c r="K25" s="428">
        <v>0.308942</v>
      </c>
      <c r="L25" s="428">
        <v>0.311421</v>
      </c>
      <c r="M25" s="428">
        <v>0.315262</v>
      </c>
      <c r="N25" s="428">
        <v>0.318028</v>
      </c>
      <c r="O25" s="428">
        <v>0.319936</v>
      </c>
      <c r="P25" s="428">
        <v>0.331859</v>
      </c>
      <c r="Q25" s="428">
        <v>0.329189</v>
      </c>
      <c r="R25" s="428">
        <v>0.331997</v>
      </c>
      <c r="S25" s="428">
        <v>0.340907</v>
      </c>
      <c r="T25" s="428">
        <v>0.343334</v>
      </c>
      <c r="U25" s="428">
        <v>0.345636</v>
      </c>
      <c r="V25" s="428">
        <v>0.349014</v>
      </c>
      <c r="W25" s="428">
        <v>0.35243</v>
      </c>
      <c r="X25" s="428">
        <v>0.35591</v>
      </c>
      <c r="Y25" s="428">
        <v>0.359543</v>
      </c>
      <c r="Z25" s="428">
        <v>0.362977</v>
      </c>
      <c r="AA25" s="428">
        <v>0.366431</v>
      </c>
      <c r="AB25" s="428">
        <v>0.369451</v>
      </c>
      <c r="AC25" s="428">
        <v>0.371415</v>
      </c>
      <c r="AD25" s="428">
        <v>0.373958</v>
      </c>
      <c r="AE25" s="428">
        <v>0.376513</v>
      </c>
      <c r="AF25" s="428">
        <v>0.378518</v>
      </c>
      <c r="AG25" s="428">
        <v>0.380201</v>
      </c>
      <c r="AH25" s="428">
        <v>0.391415</v>
      </c>
      <c r="AI25" s="428">
        <v>0.394641</v>
      </c>
      <c r="AJ25" s="428">
        <v>0.397296</v>
      </c>
      <c r="AK25" s="428">
        <v>0.399867</v>
      </c>
      <c r="AL25" s="428">
        <v>0.402668</v>
      </c>
      <c r="AM25" s="422">
        <v>0.405006</v>
      </c>
      <c r="AN25" s="659">
        <v>0.40781</v>
      </c>
      <c r="AO25" s="429">
        <v>0.41029</v>
      </c>
      <c r="AP25" s="113" t="s">
        <v>72</v>
      </c>
      <c r="AQ25" s="112"/>
    </row>
    <row r="26" spans="1:43" s="9" customFormat="1" ht="12" customHeight="1">
      <c r="A26" s="111"/>
      <c r="B26" s="126" t="s">
        <v>80</v>
      </c>
      <c r="C26" s="423">
        <v>12.957621</v>
      </c>
      <c r="D26" s="424">
        <v>13.11943</v>
      </c>
      <c r="E26" s="424">
        <v>13.269563</v>
      </c>
      <c r="F26" s="424">
        <v>13.387623</v>
      </c>
      <c r="G26" s="424">
        <v>13.49102</v>
      </c>
      <c r="H26" s="424">
        <v>13.599092</v>
      </c>
      <c r="I26" s="424">
        <v>13.733578</v>
      </c>
      <c r="J26" s="424">
        <v>13.814495</v>
      </c>
      <c r="K26" s="424">
        <v>13.897874</v>
      </c>
      <c r="L26" s="424">
        <v>13.985526</v>
      </c>
      <c r="M26" s="424">
        <v>14.091014</v>
      </c>
      <c r="N26" s="424">
        <v>14.208586</v>
      </c>
      <c r="O26" s="424">
        <v>14.285829</v>
      </c>
      <c r="P26" s="424">
        <v>14.339551</v>
      </c>
      <c r="Q26" s="424">
        <v>14.394589</v>
      </c>
      <c r="R26" s="424">
        <v>14.453833</v>
      </c>
      <c r="S26" s="424">
        <v>14.52943</v>
      </c>
      <c r="T26" s="424">
        <v>14.615125</v>
      </c>
      <c r="U26" s="424">
        <v>14.714948</v>
      </c>
      <c r="V26" s="424">
        <v>14.80524</v>
      </c>
      <c r="W26" s="424">
        <v>14.892574</v>
      </c>
      <c r="X26" s="424">
        <v>15.010445</v>
      </c>
      <c r="Y26" s="424">
        <v>15.12915</v>
      </c>
      <c r="Z26" s="424">
        <v>15.239182</v>
      </c>
      <c r="AA26" s="424">
        <v>15.341553</v>
      </c>
      <c r="AB26" s="424">
        <v>15.424122</v>
      </c>
      <c r="AC26" s="424">
        <v>15.493889</v>
      </c>
      <c r="AD26" s="424">
        <v>15.567107</v>
      </c>
      <c r="AE26" s="424">
        <v>15.654192</v>
      </c>
      <c r="AF26" s="424">
        <v>15.760225</v>
      </c>
      <c r="AG26" s="424">
        <v>15.86395</v>
      </c>
      <c r="AH26" s="424">
        <v>15.987075</v>
      </c>
      <c r="AI26" s="424">
        <v>16.105285</v>
      </c>
      <c r="AJ26" s="424">
        <v>16.192572</v>
      </c>
      <c r="AK26" s="424">
        <v>16.258032</v>
      </c>
      <c r="AL26" s="424">
        <v>16.305526</v>
      </c>
      <c r="AM26" s="425">
        <v>16.33421</v>
      </c>
      <c r="AN26" s="424">
        <v>16.357992</v>
      </c>
      <c r="AO26" s="426">
        <v>16.405399</v>
      </c>
      <c r="AP26" s="126" t="s">
        <v>80</v>
      </c>
      <c r="AQ26" s="112"/>
    </row>
    <row r="27" spans="1:43" s="9" customFormat="1" ht="12" customHeight="1">
      <c r="A27" s="111"/>
      <c r="B27" s="113" t="s">
        <v>90</v>
      </c>
      <c r="C27" s="427">
        <v>7.455142</v>
      </c>
      <c r="D27" s="428">
        <v>7.47903</v>
      </c>
      <c r="E27" s="428">
        <v>7.521933</v>
      </c>
      <c r="F27" s="428">
        <v>7.566469</v>
      </c>
      <c r="G27" s="428">
        <v>7.60576</v>
      </c>
      <c r="H27" s="428">
        <v>7.592316</v>
      </c>
      <c r="I27" s="428">
        <v>7.565489</v>
      </c>
      <c r="J27" s="428">
        <v>7.565561</v>
      </c>
      <c r="K27" s="428">
        <v>7.571299</v>
      </c>
      <c r="L27" s="428">
        <v>7.55331</v>
      </c>
      <c r="M27" s="428">
        <v>7.545539</v>
      </c>
      <c r="N27" s="428">
        <v>7.553326</v>
      </c>
      <c r="O27" s="428">
        <v>7.584094</v>
      </c>
      <c r="P27" s="428">
        <v>7.564185</v>
      </c>
      <c r="Q27" s="428">
        <v>7.559635</v>
      </c>
      <c r="R27" s="428">
        <v>7.563233</v>
      </c>
      <c r="S27" s="428">
        <v>7.566736</v>
      </c>
      <c r="T27" s="428">
        <v>7.572852</v>
      </c>
      <c r="U27" s="428">
        <v>7.576319</v>
      </c>
      <c r="V27" s="428">
        <v>7.594315</v>
      </c>
      <c r="W27" s="428">
        <v>7.644818</v>
      </c>
      <c r="X27" s="428">
        <v>7.710882</v>
      </c>
      <c r="Y27" s="428">
        <v>7.798899</v>
      </c>
      <c r="Z27" s="428">
        <v>7.882519</v>
      </c>
      <c r="AA27" s="428">
        <v>7.928746</v>
      </c>
      <c r="AB27" s="428">
        <v>7.943489</v>
      </c>
      <c r="AC27" s="428">
        <v>7.953067</v>
      </c>
      <c r="AD27" s="428">
        <v>7.964966</v>
      </c>
      <c r="AE27" s="428">
        <v>7.971116</v>
      </c>
      <c r="AF27" s="428">
        <v>7.982461</v>
      </c>
      <c r="AG27" s="428">
        <v>8.002186</v>
      </c>
      <c r="AH27" s="428">
        <v>8.020946</v>
      </c>
      <c r="AI27" s="428">
        <v>8.065146</v>
      </c>
      <c r="AJ27" s="428">
        <v>8.102175</v>
      </c>
      <c r="AK27" s="428">
        <v>8.140122</v>
      </c>
      <c r="AL27" s="428">
        <v>8.206524</v>
      </c>
      <c r="AM27" s="422">
        <v>8.265925</v>
      </c>
      <c r="AN27" s="659">
        <v>8.298923</v>
      </c>
      <c r="AO27" s="429">
        <v>8.33193</v>
      </c>
      <c r="AP27" s="113" t="s">
        <v>90</v>
      </c>
      <c r="AQ27" s="112"/>
    </row>
    <row r="28" spans="1:43" s="9" customFormat="1" ht="12" customHeight="1">
      <c r="A28" s="111"/>
      <c r="B28" s="125" t="s">
        <v>73</v>
      </c>
      <c r="C28" s="423">
        <v>32.6706</v>
      </c>
      <c r="D28" s="424">
        <v>32.658</v>
      </c>
      <c r="E28" s="424">
        <v>32.909</v>
      </c>
      <c r="F28" s="424">
        <v>33.2023</v>
      </c>
      <c r="G28" s="424">
        <v>33.5121</v>
      </c>
      <c r="H28" s="424">
        <v>33.845698</v>
      </c>
      <c r="I28" s="424">
        <v>34.1847</v>
      </c>
      <c r="J28" s="424">
        <v>34.5279</v>
      </c>
      <c r="K28" s="424">
        <v>34.8502</v>
      </c>
      <c r="L28" s="424">
        <v>35.081</v>
      </c>
      <c r="M28" s="424">
        <v>35.413434</v>
      </c>
      <c r="N28" s="424">
        <v>35.734865</v>
      </c>
      <c r="O28" s="424">
        <v>36.062309</v>
      </c>
      <c r="P28" s="424">
        <v>36.398652</v>
      </c>
      <c r="Q28" s="424">
        <v>36.744964</v>
      </c>
      <c r="R28" s="424">
        <v>37.063303</v>
      </c>
      <c r="S28" s="424">
        <v>37.340467</v>
      </c>
      <c r="T28" s="424">
        <v>37.571771</v>
      </c>
      <c r="U28" s="424">
        <v>37.764318</v>
      </c>
      <c r="V28" s="424">
        <v>37.884655</v>
      </c>
      <c r="W28" s="424">
        <v>38.038403</v>
      </c>
      <c r="X28" s="424">
        <v>38.18316</v>
      </c>
      <c r="Y28" s="424">
        <v>38.309226</v>
      </c>
      <c r="Z28" s="424">
        <v>38.418108</v>
      </c>
      <c r="AA28" s="424">
        <v>38.504707</v>
      </c>
      <c r="AB28" s="424">
        <v>38.580597</v>
      </c>
      <c r="AC28" s="424">
        <v>38.609399</v>
      </c>
      <c r="AD28" s="424">
        <v>38.639341</v>
      </c>
      <c r="AE28" s="424">
        <v>38.659979</v>
      </c>
      <c r="AF28" s="424">
        <v>38.666983</v>
      </c>
      <c r="AG28" s="424">
        <v>38.653559</v>
      </c>
      <c r="AH28" s="424">
        <v>38.253955</v>
      </c>
      <c r="AI28" s="424">
        <v>38.242197</v>
      </c>
      <c r="AJ28" s="424">
        <v>38.218531</v>
      </c>
      <c r="AK28" s="424">
        <v>38.190608</v>
      </c>
      <c r="AL28" s="424">
        <v>38.173835</v>
      </c>
      <c r="AM28" s="425">
        <v>38.157055</v>
      </c>
      <c r="AN28" s="424">
        <v>38.125479</v>
      </c>
      <c r="AO28" s="426">
        <v>38.115641</v>
      </c>
      <c r="AP28" s="125" t="s">
        <v>73</v>
      </c>
      <c r="AQ28" s="112"/>
    </row>
    <row r="29" spans="1:43" s="9" customFormat="1" ht="12" customHeight="1">
      <c r="A29" s="111"/>
      <c r="B29" s="113" t="s">
        <v>91</v>
      </c>
      <c r="C29" s="427">
        <v>8.69761</v>
      </c>
      <c r="D29" s="428">
        <v>8.663252</v>
      </c>
      <c r="E29" s="428">
        <v>8.62426</v>
      </c>
      <c r="F29" s="428">
        <v>8.6366</v>
      </c>
      <c r="G29" s="428">
        <v>8.6296</v>
      </c>
      <c r="H29" s="428">
        <v>8.87913</v>
      </c>
      <c r="I29" s="428">
        <v>9.30781</v>
      </c>
      <c r="J29" s="428">
        <v>9.40381</v>
      </c>
      <c r="K29" s="428">
        <v>9.50754</v>
      </c>
      <c r="L29" s="428">
        <v>9.60896</v>
      </c>
      <c r="M29" s="428">
        <v>9.71357</v>
      </c>
      <c r="N29" s="428">
        <v>9.819054</v>
      </c>
      <c r="O29" s="428">
        <v>9.88367</v>
      </c>
      <c r="P29" s="428">
        <v>9.939871</v>
      </c>
      <c r="Q29" s="428">
        <v>9.975859</v>
      </c>
      <c r="R29" s="428">
        <v>10.016605</v>
      </c>
      <c r="S29" s="428">
        <v>10.030621</v>
      </c>
      <c r="T29" s="428">
        <v>10.034846</v>
      </c>
      <c r="U29" s="428">
        <v>10.025215</v>
      </c>
      <c r="V29" s="428">
        <v>10.014005</v>
      </c>
      <c r="W29" s="428">
        <v>9.995995</v>
      </c>
      <c r="X29" s="428">
        <v>9.970441</v>
      </c>
      <c r="Y29" s="428">
        <v>9.965315</v>
      </c>
      <c r="Z29" s="428">
        <v>9.974591</v>
      </c>
      <c r="AA29" s="428">
        <v>9.99059</v>
      </c>
      <c r="AB29" s="428">
        <v>10.017571</v>
      </c>
      <c r="AC29" s="428">
        <v>10.04318</v>
      </c>
      <c r="AD29" s="428">
        <v>10.072542</v>
      </c>
      <c r="AE29" s="428">
        <v>10.109697</v>
      </c>
      <c r="AF29" s="428">
        <v>10.148883</v>
      </c>
      <c r="AG29" s="428">
        <v>10.195014</v>
      </c>
      <c r="AH29" s="428">
        <v>10.256658</v>
      </c>
      <c r="AI29" s="428">
        <v>10.32934</v>
      </c>
      <c r="AJ29" s="428">
        <v>10.407465</v>
      </c>
      <c r="AK29" s="428">
        <v>10.474685</v>
      </c>
      <c r="AL29" s="428">
        <v>10.529255</v>
      </c>
      <c r="AM29" s="422">
        <v>10.569592</v>
      </c>
      <c r="AN29" s="659">
        <v>10.599095</v>
      </c>
      <c r="AO29" s="429">
        <v>10.617575</v>
      </c>
      <c r="AP29" s="113" t="s">
        <v>91</v>
      </c>
      <c r="AQ29" s="112"/>
    </row>
    <row r="30" spans="1:43" s="9" customFormat="1" ht="12" customHeight="1">
      <c r="A30" s="111"/>
      <c r="B30" s="125" t="s">
        <v>74</v>
      </c>
      <c r="C30" s="423">
        <v>20.139603</v>
      </c>
      <c r="D30" s="424">
        <v>20.361192</v>
      </c>
      <c r="E30" s="424">
        <v>20.561942</v>
      </c>
      <c r="F30" s="424">
        <v>20.753972</v>
      </c>
      <c r="G30" s="424">
        <v>20.91739</v>
      </c>
      <c r="H30" s="424">
        <v>21.141468</v>
      </c>
      <c r="I30" s="424">
        <v>21.445698</v>
      </c>
      <c r="J30" s="424">
        <v>21.657569</v>
      </c>
      <c r="K30" s="424">
        <v>21.854622</v>
      </c>
      <c r="L30" s="424">
        <v>22.048305</v>
      </c>
      <c r="M30" s="424">
        <v>22.13267</v>
      </c>
      <c r="N30" s="424">
        <v>22.352635</v>
      </c>
      <c r="O30" s="424">
        <v>22.477703</v>
      </c>
      <c r="P30" s="424">
        <v>22.553074</v>
      </c>
      <c r="Q30" s="424">
        <v>22.624505</v>
      </c>
      <c r="R30" s="424">
        <v>22.687374</v>
      </c>
      <c r="S30" s="424">
        <v>22.823479</v>
      </c>
      <c r="T30" s="424">
        <v>22.94043</v>
      </c>
      <c r="U30" s="424">
        <v>23.053552</v>
      </c>
      <c r="V30" s="424">
        <v>23.151564</v>
      </c>
      <c r="W30" s="424">
        <v>23.211395</v>
      </c>
      <c r="X30" s="424">
        <v>23.192274</v>
      </c>
      <c r="Y30" s="424">
        <v>22.304022</v>
      </c>
      <c r="Z30" s="424">
        <v>22.271714</v>
      </c>
      <c r="AA30" s="424">
        <v>22.23516</v>
      </c>
      <c r="AB30" s="424">
        <v>22.194261</v>
      </c>
      <c r="AC30" s="424">
        <v>22.13305</v>
      </c>
      <c r="AD30" s="424">
        <v>22.053681</v>
      </c>
      <c r="AE30" s="424">
        <v>21.98881</v>
      </c>
      <c r="AF30" s="424">
        <v>21.946431</v>
      </c>
      <c r="AG30" s="424">
        <v>22.455485</v>
      </c>
      <c r="AH30" s="424">
        <v>22.430457</v>
      </c>
      <c r="AI30" s="424">
        <v>21.833483</v>
      </c>
      <c r="AJ30" s="424">
        <v>21.772774</v>
      </c>
      <c r="AK30" s="424">
        <v>21.711252</v>
      </c>
      <c r="AL30" s="424">
        <v>21.658528</v>
      </c>
      <c r="AM30" s="425">
        <v>21.610213</v>
      </c>
      <c r="AN30" s="424">
        <v>21.565119</v>
      </c>
      <c r="AO30" s="426">
        <v>21.528627</v>
      </c>
      <c r="AP30" s="125" t="s">
        <v>74</v>
      </c>
      <c r="AQ30" s="112"/>
    </row>
    <row r="31" spans="1:43" s="9" customFormat="1" ht="12" customHeight="1">
      <c r="A31" s="111"/>
      <c r="B31" s="113" t="s">
        <v>76</v>
      </c>
      <c r="C31" s="427">
        <v>1.717995</v>
      </c>
      <c r="D31" s="428">
        <v>1.731787</v>
      </c>
      <c r="E31" s="428">
        <v>1.744882</v>
      </c>
      <c r="F31" s="428">
        <v>1.759584</v>
      </c>
      <c r="G31" s="428">
        <v>1.773809</v>
      </c>
      <c r="H31" s="428">
        <v>1.778454</v>
      </c>
      <c r="I31" s="428">
        <v>1.808707</v>
      </c>
      <c r="J31" s="428">
        <v>1.83179</v>
      </c>
      <c r="K31" s="428">
        <v>1.852963</v>
      </c>
      <c r="L31" s="428">
        <v>1.872133</v>
      </c>
      <c r="M31" s="428">
        <v>1.893064</v>
      </c>
      <c r="N31" s="428">
        <v>1.909566</v>
      </c>
      <c r="O31" s="428">
        <v>1.903495</v>
      </c>
      <c r="P31" s="428">
        <v>1.917173</v>
      </c>
      <c r="Q31" s="428">
        <v>1.927469</v>
      </c>
      <c r="R31" s="428">
        <v>1.936839</v>
      </c>
      <c r="S31" s="428">
        <v>1.946442</v>
      </c>
      <c r="T31" s="428">
        <v>1.985486</v>
      </c>
      <c r="U31" s="428">
        <v>1.994066</v>
      </c>
      <c r="V31" s="428">
        <v>1.996325</v>
      </c>
      <c r="W31" s="428">
        <v>1.996377</v>
      </c>
      <c r="X31" s="428">
        <v>1.999945</v>
      </c>
      <c r="Y31" s="428">
        <v>1.998912</v>
      </c>
      <c r="Z31" s="428">
        <v>1.994084</v>
      </c>
      <c r="AA31" s="428">
        <v>1.989408</v>
      </c>
      <c r="AB31" s="428">
        <v>1.989477</v>
      </c>
      <c r="AC31" s="428">
        <v>1.990266</v>
      </c>
      <c r="AD31" s="428">
        <v>1.986989</v>
      </c>
      <c r="AE31" s="428">
        <v>1.984923</v>
      </c>
      <c r="AF31" s="428">
        <v>1.978334</v>
      </c>
      <c r="AG31" s="428">
        <v>1.987755</v>
      </c>
      <c r="AH31" s="428">
        <v>1.990094</v>
      </c>
      <c r="AI31" s="428">
        <v>1.994026</v>
      </c>
      <c r="AJ31" s="428">
        <v>1.995033</v>
      </c>
      <c r="AK31" s="428">
        <v>1.996433</v>
      </c>
      <c r="AL31" s="428">
        <v>1.99759</v>
      </c>
      <c r="AM31" s="422">
        <v>2.003358</v>
      </c>
      <c r="AN31" s="659">
        <v>2.010377</v>
      </c>
      <c r="AO31" s="429">
        <v>2.025866</v>
      </c>
      <c r="AP31" s="113" t="s">
        <v>76</v>
      </c>
      <c r="AQ31" s="112"/>
    </row>
    <row r="32" spans="1:43" s="9" customFormat="1" ht="12" customHeight="1">
      <c r="A32" s="111"/>
      <c r="B32" s="125" t="s">
        <v>75</v>
      </c>
      <c r="C32" s="423">
        <v>4.536555</v>
      </c>
      <c r="D32" s="424">
        <v>4.53989</v>
      </c>
      <c r="E32" s="424">
        <v>4.575007</v>
      </c>
      <c r="F32" s="424">
        <v>4.618236</v>
      </c>
      <c r="G32" s="424">
        <v>4.664653</v>
      </c>
      <c r="H32" s="424">
        <v>4.714593</v>
      </c>
      <c r="I32" s="424">
        <v>4.763617</v>
      </c>
      <c r="J32" s="424">
        <v>4.815396</v>
      </c>
      <c r="K32" s="424">
        <v>4.865605</v>
      </c>
      <c r="L32" s="424">
        <v>4.914644</v>
      </c>
      <c r="M32" s="424">
        <v>4.963301</v>
      </c>
      <c r="N32" s="424">
        <v>4.996329</v>
      </c>
      <c r="O32" s="424">
        <v>5.035881</v>
      </c>
      <c r="P32" s="424">
        <v>5.074316</v>
      </c>
      <c r="Q32" s="424">
        <v>5.109626</v>
      </c>
      <c r="R32" s="424">
        <v>5.144568</v>
      </c>
      <c r="S32" s="424">
        <v>5.178967</v>
      </c>
      <c r="T32" s="424">
        <v>5.208708</v>
      </c>
      <c r="U32" s="424">
        <v>5.236972</v>
      </c>
      <c r="V32" s="424">
        <v>5.26422</v>
      </c>
      <c r="W32" s="424">
        <v>5.287663</v>
      </c>
      <c r="X32" s="424">
        <v>5.310711</v>
      </c>
      <c r="Y32" s="424">
        <v>5.295877</v>
      </c>
      <c r="Z32" s="424">
        <v>5.314155</v>
      </c>
      <c r="AA32" s="424">
        <v>5.336455</v>
      </c>
      <c r="AB32" s="424">
        <v>5.356207</v>
      </c>
      <c r="AC32" s="424">
        <v>5.36779</v>
      </c>
      <c r="AD32" s="424">
        <v>5.378932</v>
      </c>
      <c r="AE32" s="424">
        <v>5.38765</v>
      </c>
      <c r="AF32" s="424">
        <v>5.393382</v>
      </c>
      <c r="AG32" s="424">
        <v>5.398657</v>
      </c>
      <c r="AH32" s="424">
        <v>5.378783</v>
      </c>
      <c r="AI32" s="424">
        <v>5.378951</v>
      </c>
      <c r="AJ32" s="424">
        <v>5.379161</v>
      </c>
      <c r="AK32" s="424">
        <v>5.380053</v>
      </c>
      <c r="AL32" s="424">
        <v>5.384822</v>
      </c>
      <c r="AM32" s="425">
        <v>5.38918</v>
      </c>
      <c r="AN32" s="424">
        <v>5.393637</v>
      </c>
      <c r="AO32" s="426">
        <v>5.400998</v>
      </c>
      <c r="AP32" s="125" t="s">
        <v>75</v>
      </c>
      <c r="AQ32" s="112"/>
    </row>
    <row r="33" spans="1:43" s="9" customFormat="1" ht="12" customHeight="1">
      <c r="A33" s="111"/>
      <c r="B33" s="113" t="s">
        <v>92</v>
      </c>
      <c r="C33" s="427">
        <v>4.614277</v>
      </c>
      <c r="D33" s="428">
        <v>4.598336</v>
      </c>
      <c r="E33" s="428">
        <v>4.625912</v>
      </c>
      <c r="F33" s="428">
        <v>4.653401</v>
      </c>
      <c r="G33" s="428">
        <v>4.678761</v>
      </c>
      <c r="H33" s="428">
        <v>4.702387</v>
      </c>
      <c r="I33" s="428">
        <v>4.720492</v>
      </c>
      <c r="J33" s="428">
        <v>4.730836</v>
      </c>
      <c r="K33" s="428">
        <v>4.746967</v>
      </c>
      <c r="L33" s="428">
        <v>4.758088</v>
      </c>
      <c r="M33" s="428">
        <v>4.771292</v>
      </c>
      <c r="N33" s="428">
        <v>4.787778</v>
      </c>
      <c r="O33" s="428">
        <v>4.81215</v>
      </c>
      <c r="P33" s="428">
        <v>4.841715</v>
      </c>
      <c r="Q33" s="428">
        <v>4.869858</v>
      </c>
      <c r="R33" s="428">
        <v>4.893748</v>
      </c>
      <c r="S33" s="428">
        <v>4.910664</v>
      </c>
      <c r="T33" s="428">
        <v>4.925644</v>
      </c>
      <c r="U33" s="428">
        <v>4.938602</v>
      </c>
      <c r="V33" s="428">
        <v>4.954359</v>
      </c>
      <c r="W33" s="428">
        <v>4.974383</v>
      </c>
      <c r="X33" s="428">
        <v>4.998478</v>
      </c>
      <c r="Y33" s="428">
        <v>5.029002</v>
      </c>
      <c r="Z33" s="428">
        <v>5.054982</v>
      </c>
      <c r="AA33" s="428">
        <v>5.077912</v>
      </c>
      <c r="AB33" s="428">
        <v>5.098754</v>
      </c>
      <c r="AC33" s="428">
        <v>5.116826</v>
      </c>
      <c r="AD33" s="428">
        <v>5.13232</v>
      </c>
      <c r="AE33" s="428">
        <v>5.147349</v>
      </c>
      <c r="AF33" s="428">
        <v>5.159646</v>
      </c>
      <c r="AG33" s="428">
        <v>5.171302</v>
      </c>
      <c r="AH33" s="428">
        <v>5.181115</v>
      </c>
      <c r="AI33" s="428">
        <v>5.194901</v>
      </c>
      <c r="AJ33" s="428">
        <v>5.206295</v>
      </c>
      <c r="AK33" s="428">
        <v>5.219732</v>
      </c>
      <c r="AL33" s="428">
        <v>5.236611</v>
      </c>
      <c r="AM33" s="422">
        <v>5.25558</v>
      </c>
      <c r="AN33" s="659">
        <v>5.276955</v>
      </c>
      <c r="AO33" s="429">
        <v>5.300484</v>
      </c>
      <c r="AP33" s="113" t="s">
        <v>92</v>
      </c>
      <c r="AQ33" s="112"/>
    </row>
    <row r="34" spans="1:43" s="9" customFormat="1" ht="12" customHeight="1">
      <c r="A34" s="111"/>
      <c r="B34" s="125" t="s">
        <v>93</v>
      </c>
      <c r="C34" s="423">
        <v>8.004371</v>
      </c>
      <c r="D34" s="424">
        <v>8.08123</v>
      </c>
      <c r="E34" s="424">
        <v>8.115438</v>
      </c>
      <c r="F34" s="424">
        <v>8.129161</v>
      </c>
      <c r="G34" s="424">
        <v>8.143463</v>
      </c>
      <c r="H34" s="424">
        <v>8.176447</v>
      </c>
      <c r="I34" s="424">
        <v>8.208427</v>
      </c>
      <c r="J34" s="424">
        <v>8.236144</v>
      </c>
      <c r="K34" s="424">
        <v>8.266936</v>
      </c>
      <c r="L34" s="424">
        <v>8.284261</v>
      </c>
      <c r="M34" s="424">
        <v>8.303094</v>
      </c>
      <c r="N34" s="424">
        <v>8.317967</v>
      </c>
      <c r="O34" s="424">
        <v>8.323038</v>
      </c>
      <c r="P34" s="424">
        <v>8.327488</v>
      </c>
      <c r="Q34" s="424">
        <v>8.330577</v>
      </c>
      <c r="R34" s="424">
        <v>8.342633</v>
      </c>
      <c r="S34" s="424">
        <v>8.358139</v>
      </c>
      <c r="T34" s="424">
        <v>8.381519</v>
      </c>
      <c r="U34" s="424">
        <v>8.414089</v>
      </c>
      <c r="V34" s="424">
        <v>8.458888</v>
      </c>
      <c r="W34" s="424">
        <v>8.527039</v>
      </c>
      <c r="X34" s="424">
        <v>8.59063</v>
      </c>
      <c r="Y34" s="424">
        <v>8.64412</v>
      </c>
      <c r="Z34" s="424">
        <v>8.692013</v>
      </c>
      <c r="AA34" s="424">
        <v>8.745109</v>
      </c>
      <c r="AB34" s="424">
        <v>8.816381</v>
      </c>
      <c r="AC34" s="424">
        <v>8.837496</v>
      </c>
      <c r="AD34" s="424">
        <v>8.844499</v>
      </c>
      <c r="AE34" s="424">
        <v>8.847625</v>
      </c>
      <c r="AF34" s="424">
        <v>8.854322</v>
      </c>
      <c r="AG34" s="424">
        <v>8.861426</v>
      </c>
      <c r="AH34" s="424">
        <v>8.882792</v>
      </c>
      <c r="AI34" s="424">
        <v>8.909128</v>
      </c>
      <c r="AJ34" s="424">
        <v>8.940788</v>
      </c>
      <c r="AK34" s="424">
        <v>8.97567</v>
      </c>
      <c r="AL34" s="424">
        <v>9.011392</v>
      </c>
      <c r="AM34" s="425">
        <v>9.047752</v>
      </c>
      <c r="AN34" s="424">
        <v>9.113257</v>
      </c>
      <c r="AO34" s="426">
        <v>9.182927</v>
      </c>
      <c r="AP34" s="125" t="s">
        <v>93</v>
      </c>
      <c r="AQ34" s="112"/>
    </row>
    <row r="35" spans="1:43" s="9" customFormat="1" ht="12" customHeight="1">
      <c r="A35" s="111"/>
      <c r="B35" s="115" t="s">
        <v>81</v>
      </c>
      <c r="C35" s="432">
        <v>55.5464</v>
      </c>
      <c r="D35" s="433">
        <v>55.7801</v>
      </c>
      <c r="E35" s="433">
        <v>56.012345</v>
      </c>
      <c r="F35" s="433">
        <v>56.159785</v>
      </c>
      <c r="G35" s="433">
        <v>56.229268</v>
      </c>
      <c r="H35" s="433">
        <v>56.23068</v>
      </c>
      <c r="I35" s="433">
        <v>56.22092</v>
      </c>
      <c r="J35" s="433">
        <v>56.203016</v>
      </c>
      <c r="K35" s="433">
        <v>56.183968</v>
      </c>
      <c r="L35" s="433">
        <v>56.209039</v>
      </c>
      <c r="M35" s="433">
        <v>56.284863</v>
      </c>
      <c r="N35" s="433">
        <v>56.343569</v>
      </c>
      <c r="O35" s="433">
        <v>56.324088</v>
      </c>
      <c r="P35" s="433">
        <v>56.303194</v>
      </c>
      <c r="Q35" s="433">
        <v>56.362502</v>
      </c>
      <c r="R35" s="433">
        <v>56.481641</v>
      </c>
      <c r="S35" s="433">
        <v>56.618895</v>
      </c>
      <c r="T35" s="433">
        <v>56.743897</v>
      </c>
      <c r="U35" s="433">
        <v>56.860203</v>
      </c>
      <c r="V35" s="433">
        <v>56.99645</v>
      </c>
      <c r="W35" s="433">
        <v>57.156972</v>
      </c>
      <c r="X35" s="433">
        <v>57.338199</v>
      </c>
      <c r="Y35" s="433">
        <v>57.511594</v>
      </c>
      <c r="Z35" s="433">
        <v>57.64921</v>
      </c>
      <c r="AA35" s="433">
        <v>57.788017</v>
      </c>
      <c r="AB35" s="433">
        <v>57.943472</v>
      </c>
      <c r="AC35" s="433">
        <v>58.094587</v>
      </c>
      <c r="AD35" s="433">
        <v>58.239312</v>
      </c>
      <c r="AE35" s="433">
        <v>58.394596</v>
      </c>
      <c r="AF35" s="433">
        <v>58.579685</v>
      </c>
      <c r="AG35" s="433">
        <v>58.785246</v>
      </c>
      <c r="AH35" s="433">
        <v>58.999781</v>
      </c>
      <c r="AI35" s="433">
        <v>59.217592</v>
      </c>
      <c r="AJ35" s="433">
        <v>59.437723</v>
      </c>
      <c r="AK35" s="433">
        <v>59.699828</v>
      </c>
      <c r="AL35" s="433">
        <v>60.0599</v>
      </c>
      <c r="AM35" s="434">
        <v>60.425786</v>
      </c>
      <c r="AN35" s="434">
        <v>60.816701</v>
      </c>
      <c r="AO35" s="435">
        <v>61.185981</v>
      </c>
      <c r="AP35" s="115" t="s">
        <v>81</v>
      </c>
      <c r="AQ35" s="112"/>
    </row>
    <row r="36" spans="1:43" s="9" customFormat="1" ht="12" customHeight="1">
      <c r="A36" s="111"/>
      <c r="B36" s="125" t="s">
        <v>97</v>
      </c>
      <c r="C36" s="423">
        <v>4.403352</v>
      </c>
      <c r="D36" s="424">
        <v>4.421151</v>
      </c>
      <c r="E36" s="424">
        <v>4.441399</v>
      </c>
      <c r="F36" s="424">
        <v>4.459729</v>
      </c>
      <c r="G36" s="424">
        <v>4.480592</v>
      </c>
      <c r="H36" s="424">
        <v>4.500727</v>
      </c>
      <c r="I36" s="424">
        <v>4.523436</v>
      </c>
      <c r="J36" s="424">
        <v>4.548432</v>
      </c>
      <c r="K36" s="424">
        <v>4.570709</v>
      </c>
      <c r="L36" s="424">
        <v>4.59146</v>
      </c>
      <c r="M36" s="424">
        <v>4.598095</v>
      </c>
      <c r="N36" s="424">
        <v>4.601469</v>
      </c>
      <c r="O36" s="424">
        <v>4.634934</v>
      </c>
      <c r="P36" s="424">
        <v>4.658907</v>
      </c>
      <c r="Q36" s="424">
        <v>4.680266</v>
      </c>
      <c r="R36" s="424">
        <v>4.701699</v>
      </c>
      <c r="S36" s="424">
        <v>4.722005</v>
      </c>
      <c r="T36" s="424">
        <v>4.740076</v>
      </c>
      <c r="U36" s="424">
        <v>4.756824</v>
      </c>
      <c r="V36" s="424">
        <v>4.767105</v>
      </c>
      <c r="W36" s="424">
        <v>4.778007</v>
      </c>
      <c r="X36" s="424">
        <v>4.784265</v>
      </c>
      <c r="Y36" s="424">
        <v>4.470266</v>
      </c>
      <c r="Z36" s="424">
        <v>4.641275</v>
      </c>
      <c r="AA36" s="424">
        <v>4.649034</v>
      </c>
      <c r="AB36" s="424">
        <v>4.668752</v>
      </c>
      <c r="AC36" s="424">
        <v>4.493581</v>
      </c>
      <c r="AD36" s="436">
        <v>4.572474</v>
      </c>
      <c r="AE36" s="424">
        <v>4.501149</v>
      </c>
      <c r="AF36" s="436">
        <v>4.553769</v>
      </c>
      <c r="AG36" s="424">
        <v>4.4417</v>
      </c>
      <c r="AH36" s="424">
        <v>4.437452</v>
      </c>
      <c r="AI36" s="424">
        <v>4.444608</v>
      </c>
      <c r="AJ36" s="424">
        <v>4.442744</v>
      </c>
      <c r="AK36" s="424">
        <v>4.441733</v>
      </c>
      <c r="AL36" s="424">
        <v>4.443901</v>
      </c>
      <c r="AM36" s="425">
        <v>4.442884</v>
      </c>
      <c r="AN36" s="424">
        <v>4.441238</v>
      </c>
      <c r="AO36" s="426">
        <v>4.436401</v>
      </c>
      <c r="AP36" s="125" t="s">
        <v>97</v>
      </c>
      <c r="AQ36" s="109"/>
    </row>
    <row r="37" spans="1:43" s="9" customFormat="1" ht="12" customHeight="1">
      <c r="A37" s="111"/>
      <c r="B37" s="113" t="s">
        <v>1</v>
      </c>
      <c r="C37" s="427">
        <v>1.616769</v>
      </c>
      <c r="D37" s="428">
        <v>1.641353</v>
      </c>
      <c r="E37" s="428">
        <v>1.666798</v>
      </c>
      <c r="F37" s="428">
        <v>1.692113</v>
      </c>
      <c r="G37" s="428">
        <v>1.71709</v>
      </c>
      <c r="H37" s="428">
        <v>1.74278</v>
      </c>
      <c r="I37" s="428">
        <v>1.76989</v>
      </c>
      <c r="J37" s="428">
        <v>1.797145</v>
      </c>
      <c r="K37" s="428">
        <v>1.823151</v>
      </c>
      <c r="L37" s="428">
        <v>1.849388</v>
      </c>
      <c r="M37" s="428">
        <v>1.878067</v>
      </c>
      <c r="N37" s="428">
        <v>1.90457</v>
      </c>
      <c r="O37" s="428">
        <v>1.928856</v>
      </c>
      <c r="P37" s="428">
        <v>1.954972</v>
      </c>
      <c r="Q37" s="428">
        <v>1.980139</v>
      </c>
      <c r="R37" s="428">
        <v>2.004709</v>
      </c>
      <c r="S37" s="428">
        <v>2.029175</v>
      </c>
      <c r="T37" s="428">
        <v>2.052953</v>
      </c>
      <c r="U37" s="428">
        <v>2.077056</v>
      </c>
      <c r="V37" s="428">
        <v>2.100246</v>
      </c>
      <c r="W37" s="428">
        <v>1.873109</v>
      </c>
      <c r="X37" s="428">
        <v>1.890872</v>
      </c>
      <c r="Y37" s="428">
        <v>1.908941</v>
      </c>
      <c r="Z37" s="428">
        <v>2.061</v>
      </c>
      <c r="AA37" s="428">
        <v>1.936741</v>
      </c>
      <c r="AB37" s="428">
        <v>1.957265</v>
      </c>
      <c r="AC37" s="428">
        <v>1.971687</v>
      </c>
      <c r="AD37" s="428">
        <v>1.991398</v>
      </c>
      <c r="AE37" s="428">
        <v>2.00234</v>
      </c>
      <c r="AF37" s="428">
        <v>2.012705</v>
      </c>
      <c r="AG37" s="428">
        <v>2.021578</v>
      </c>
      <c r="AH37" s="428">
        <v>2.031112</v>
      </c>
      <c r="AI37" s="428">
        <v>2.038651</v>
      </c>
      <c r="AJ37" s="428">
        <v>2.023654</v>
      </c>
      <c r="AK37" s="428">
        <v>2.029892</v>
      </c>
      <c r="AL37" s="428">
        <v>2.035196</v>
      </c>
      <c r="AM37" s="422">
        <v>2.038514</v>
      </c>
      <c r="AN37" s="659">
        <v>2.041941</v>
      </c>
      <c r="AO37" s="429">
        <v>2.045177</v>
      </c>
      <c r="AP37" s="113" t="s">
        <v>1</v>
      </c>
      <c r="AQ37" s="109"/>
    </row>
    <row r="38" spans="1:43" s="9" customFormat="1" ht="12" customHeight="1">
      <c r="A38" s="111"/>
      <c r="B38" s="127" t="s">
        <v>77</v>
      </c>
      <c r="C38" s="437">
        <v>34.880611</v>
      </c>
      <c r="D38" s="438">
        <v>35.707058</v>
      </c>
      <c r="E38" s="438">
        <v>36.582215</v>
      </c>
      <c r="F38" s="438">
        <v>37.50888</v>
      </c>
      <c r="G38" s="438">
        <v>38.490106</v>
      </c>
      <c r="H38" s="438">
        <v>39.529218</v>
      </c>
      <c r="I38" s="438">
        <v>40.281507</v>
      </c>
      <c r="J38" s="438">
        <v>41.102443</v>
      </c>
      <c r="K38" s="438">
        <v>41.996129</v>
      </c>
      <c r="L38" s="438">
        <v>42.967253</v>
      </c>
      <c r="M38" s="438">
        <v>44.021146</v>
      </c>
      <c r="N38" s="438">
        <v>45.02345</v>
      </c>
      <c r="O38" s="438">
        <v>46.085508</v>
      </c>
      <c r="P38" s="438">
        <v>47.210448</v>
      </c>
      <c r="Q38" s="438">
        <v>48.401689</v>
      </c>
      <c r="R38" s="438">
        <v>49.662958</v>
      </c>
      <c r="S38" s="438">
        <v>50.695548</v>
      </c>
      <c r="T38" s="438">
        <v>51.791212</v>
      </c>
      <c r="U38" s="438">
        <v>52.953586</v>
      </c>
      <c r="V38" s="438">
        <v>54.186642</v>
      </c>
      <c r="W38" s="438">
        <v>55.494711</v>
      </c>
      <c r="X38" s="438">
        <v>56.714051</v>
      </c>
      <c r="Y38" s="438">
        <v>57.835076</v>
      </c>
      <c r="Z38" s="438">
        <v>58.958565</v>
      </c>
      <c r="AA38" s="438">
        <v>60.07906</v>
      </c>
      <c r="AB38" s="438">
        <v>61.203584</v>
      </c>
      <c r="AC38" s="438">
        <v>62.337617</v>
      </c>
      <c r="AD38" s="438">
        <v>63.484661</v>
      </c>
      <c r="AE38" s="438">
        <v>64.641675</v>
      </c>
      <c r="AF38" s="438">
        <v>65.786563</v>
      </c>
      <c r="AG38" s="438">
        <v>66.889425</v>
      </c>
      <c r="AH38" s="438">
        <v>67.895581</v>
      </c>
      <c r="AI38" s="438">
        <v>68.838069</v>
      </c>
      <c r="AJ38" s="438">
        <v>69.770026</v>
      </c>
      <c r="AK38" s="438">
        <v>70.692009</v>
      </c>
      <c r="AL38" s="438">
        <v>71.610009</v>
      </c>
      <c r="AM38" s="438">
        <v>72.519974</v>
      </c>
      <c r="AN38" s="438">
        <v>69.689256</v>
      </c>
      <c r="AO38" s="439">
        <v>70.586256</v>
      </c>
      <c r="AP38" s="127" t="s">
        <v>77</v>
      </c>
      <c r="AQ38" s="109"/>
    </row>
    <row r="39" spans="1:43" s="9" customFormat="1" ht="12" customHeight="1">
      <c r="A39" s="111"/>
      <c r="B39" s="113" t="s">
        <v>63</v>
      </c>
      <c r="C39" s="427">
        <v>0.204042</v>
      </c>
      <c r="D39" s="428">
        <v>0.204834</v>
      </c>
      <c r="E39" s="428">
        <v>0.207361</v>
      </c>
      <c r="F39" s="428">
        <v>0.210912</v>
      </c>
      <c r="G39" s="428">
        <v>0.213722</v>
      </c>
      <c r="H39" s="428">
        <v>0.216695</v>
      </c>
      <c r="I39" s="428">
        <v>0.219262</v>
      </c>
      <c r="J39" s="428">
        <v>0.221046</v>
      </c>
      <c r="K39" s="428">
        <v>0.222552</v>
      </c>
      <c r="L39" s="428">
        <v>0.224522</v>
      </c>
      <c r="M39" s="428">
        <v>0.226948</v>
      </c>
      <c r="N39" s="428">
        <v>0.229327</v>
      </c>
      <c r="O39" s="428">
        <v>0.232182</v>
      </c>
      <c r="P39" s="428">
        <v>0.235537</v>
      </c>
      <c r="Q39" s="428">
        <v>0.238416</v>
      </c>
      <c r="R39" s="428">
        <v>0.240606</v>
      </c>
      <c r="S39" s="428">
        <v>0.242203</v>
      </c>
      <c r="T39" s="428">
        <v>0.244157</v>
      </c>
      <c r="U39" s="428">
        <v>0.247561</v>
      </c>
      <c r="V39" s="428">
        <v>0.251919</v>
      </c>
      <c r="W39" s="428">
        <v>0.253785</v>
      </c>
      <c r="X39" s="428">
        <v>0.255866</v>
      </c>
      <c r="Y39" s="428">
        <v>0.259727</v>
      </c>
      <c r="Z39" s="428">
        <v>0.262386</v>
      </c>
      <c r="AA39" s="428">
        <v>0.265064</v>
      </c>
      <c r="AB39" s="428">
        <v>0.266978</v>
      </c>
      <c r="AC39" s="428">
        <v>0.267958</v>
      </c>
      <c r="AD39" s="428">
        <v>0.269874</v>
      </c>
      <c r="AE39" s="428">
        <v>0.272381</v>
      </c>
      <c r="AF39" s="428">
        <v>0.275712</v>
      </c>
      <c r="AG39" s="428">
        <v>0.279049</v>
      </c>
      <c r="AH39" s="428">
        <v>0.283361</v>
      </c>
      <c r="AI39" s="428">
        <v>0.286575</v>
      </c>
      <c r="AJ39" s="428">
        <v>0.288471</v>
      </c>
      <c r="AK39" s="428">
        <v>0.29057</v>
      </c>
      <c r="AL39" s="428">
        <v>0.293577</v>
      </c>
      <c r="AM39" s="422">
        <v>0.299891</v>
      </c>
      <c r="AN39" s="659">
        <v>0.307672</v>
      </c>
      <c r="AO39" s="429">
        <v>0.313376</v>
      </c>
      <c r="AP39" s="113" t="s">
        <v>63</v>
      </c>
      <c r="AQ39" s="109"/>
    </row>
    <row r="40" spans="1:43" s="9" customFormat="1" ht="12" customHeight="1">
      <c r="A40" s="111"/>
      <c r="B40" s="125" t="s">
        <v>94</v>
      </c>
      <c r="C40" s="423">
        <v>3.863221</v>
      </c>
      <c r="D40" s="424">
        <v>3.888305</v>
      </c>
      <c r="E40" s="424">
        <v>3.917773</v>
      </c>
      <c r="F40" s="424">
        <v>3.948234</v>
      </c>
      <c r="G40" s="424">
        <v>3.97299</v>
      </c>
      <c r="H40" s="424">
        <v>3.997525</v>
      </c>
      <c r="I40" s="424">
        <v>4.017101</v>
      </c>
      <c r="J40" s="424">
        <v>4.035202</v>
      </c>
      <c r="K40" s="424">
        <v>4.051208</v>
      </c>
      <c r="L40" s="424">
        <v>4.066134</v>
      </c>
      <c r="M40" s="424">
        <v>4.0789</v>
      </c>
      <c r="N40" s="424">
        <v>4.09234</v>
      </c>
      <c r="O40" s="424">
        <v>4.107063</v>
      </c>
      <c r="P40" s="424">
        <v>4.122511</v>
      </c>
      <c r="Q40" s="424">
        <v>4.134353</v>
      </c>
      <c r="R40" s="424">
        <v>4.145845</v>
      </c>
      <c r="S40" s="424">
        <v>4.159187</v>
      </c>
      <c r="T40" s="424">
        <v>4.175521</v>
      </c>
      <c r="U40" s="424">
        <v>4.198289</v>
      </c>
      <c r="V40" s="424">
        <v>4.220686</v>
      </c>
      <c r="W40" s="424">
        <v>4.233116</v>
      </c>
      <c r="X40" s="424">
        <v>4.24983</v>
      </c>
      <c r="Y40" s="424">
        <v>4.273634</v>
      </c>
      <c r="Z40" s="424">
        <v>4.299167</v>
      </c>
      <c r="AA40" s="424">
        <v>4.324815</v>
      </c>
      <c r="AB40" s="424">
        <v>4.34841</v>
      </c>
      <c r="AC40" s="424">
        <v>4.369957</v>
      </c>
      <c r="AD40" s="424">
        <v>4.392714</v>
      </c>
      <c r="AE40" s="424">
        <v>4.417599</v>
      </c>
      <c r="AF40" s="424">
        <v>4.445329</v>
      </c>
      <c r="AG40" s="424">
        <v>4.478497</v>
      </c>
      <c r="AH40" s="424">
        <v>4.503436</v>
      </c>
      <c r="AI40" s="424">
        <v>4.524066</v>
      </c>
      <c r="AJ40" s="424">
        <v>4.552252</v>
      </c>
      <c r="AK40" s="424">
        <v>4.577457</v>
      </c>
      <c r="AL40" s="424">
        <v>4.606363</v>
      </c>
      <c r="AM40" s="425">
        <v>4.640219</v>
      </c>
      <c r="AN40" s="424">
        <v>4.681134</v>
      </c>
      <c r="AO40" s="426">
        <v>4.737171</v>
      </c>
      <c r="AP40" s="125" t="s">
        <v>94</v>
      </c>
      <c r="AQ40" s="109"/>
    </row>
    <row r="41" spans="1:43" s="9" customFormat="1" ht="12" customHeight="1">
      <c r="A41" s="111"/>
      <c r="B41" s="113" t="s">
        <v>64</v>
      </c>
      <c r="C41" s="427">
        <v>6.1687</v>
      </c>
      <c r="D41" s="428">
        <v>6.193054</v>
      </c>
      <c r="E41" s="428">
        <v>6.233744</v>
      </c>
      <c r="F41" s="428">
        <v>6.288168</v>
      </c>
      <c r="G41" s="428">
        <v>6.326525</v>
      </c>
      <c r="H41" s="428">
        <v>6.356285</v>
      </c>
      <c r="I41" s="428">
        <v>6.320978</v>
      </c>
      <c r="J41" s="428">
        <v>6.284029</v>
      </c>
      <c r="K41" s="428">
        <v>6.278319</v>
      </c>
      <c r="L41" s="428">
        <v>6.285156</v>
      </c>
      <c r="M41" s="428">
        <v>6.303573</v>
      </c>
      <c r="N41" s="428">
        <v>6.335243</v>
      </c>
      <c r="O41" s="428">
        <v>6.372904</v>
      </c>
      <c r="P41" s="428">
        <v>6.409713</v>
      </c>
      <c r="Q41" s="428">
        <v>6.427833</v>
      </c>
      <c r="R41" s="428">
        <v>6.455896</v>
      </c>
      <c r="S41" s="428">
        <v>6.484834</v>
      </c>
      <c r="T41" s="428">
        <v>6.523413</v>
      </c>
      <c r="U41" s="428">
        <v>6.566799</v>
      </c>
      <c r="V41" s="428">
        <v>6.619973</v>
      </c>
      <c r="W41" s="428">
        <v>6.67385</v>
      </c>
      <c r="X41" s="428">
        <v>6.757188</v>
      </c>
      <c r="Y41" s="428">
        <v>6.842768</v>
      </c>
      <c r="Z41" s="428">
        <v>6.907959</v>
      </c>
      <c r="AA41" s="428">
        <v>6.96857</v>
      </c>
      <c r="AB41" s="428">
        <v>7.019019</v>
      </c>
      <c r="AC41" s="428">
        <v>7.062354</v>
      </c>
      <c r="AD41" s="428">
        <v>7.081346</v>
      </c>
      <c r="AE41" s="428">
        <v>7.096465</v>
      </c>
      <c r="AF41" s="428">
        <v>7.123537</v>
      </c>
      <c r="AG41" s="428">
        <v>7.164444</v>
      </c>
      <c r="AH41" s="428">
        <v>7.204055</v>
      </c>
      <c r="AI41" s="428">
        <v>7.255653</v>
      </c>
      <c r="AJ41" s="428">
        <v>7.313853</v>
      </c>
      <c r="AK41" s="428">
        <v>7.364148</v>
      </c>
      <c r="AL41" s="428">
        <v>7.415102</v>
      </c>
      <c r="AM41" s="422">
        <v>7.459128</v>
      </c>
      <c r="AN41" s="659">
        <v>7.508739</v>
      </c>
      <c r="AO41" s="429">
        <v>7.593494</v>
      </c>
      <c r="AP41" s="113" t="s">
        <v>64</v>
      </c>
      <c r="AQ41" s="109"/>
    </row>
    <row r="42" spans="1:43" s="9" customFormat="1" ht="12" customHeight="1">
      <c r="A42" s="111"/>
      <c r="B42" s="127" t="s">
        <v>125</v>
      </c>
      <c r="C42" s="437">
        <v>0.02093</v>
      </c>
      <c r="D42" s="438">
        <v>0.02135</v>
      </c>
      <c r="E42" s="438">
        <v>0.02185</v>
      </c>
      <c r="F42" s="438">
        <v>0.022414</v>
      </c>
      <c r="G42" s="438">
        <v>0.023156</v>
      </c>
      <c r="H42" s="438">
        <v>0.023745</v>
      </c>
      <c r="I42" s="438">
        <v>0.023947</v>
      </c>
      <c r="J42" s="438">
        <v>0.024169</v>
      </c>
      <c r="K42" s="438">
        <v>0.024715</v>
      </c>
      <c r="L42" s="438">
        <v>0.02534</v>
      </c>
      <c r="M42" s="438">
        <v>0.025808</v>
      </c>
      <c r="N42" s="438">
        <v>0.025215</v>
      </c>
      <c r="O42" s="438">
        <v>0.02613</v>
      </c>
      <c r="P42" s="438">
        <v>0.02638</v>
      </c>
      <c r="Q42" s="438">
        <v>0.026512</v>
      </c>
      <c r="R42" s="438">
        <v>0.02668</v>
      </c>
      <c r="S42" s="438">
        <v>0.027076</v>
      </c>
      <c r="T42" s="438">
        <v>0.027399</v>
      </c>
      <c r="U42" s="438">
        <v>0.027714</v>
      </c>
      <c r="V42" s="438">
        <v>0.028181</v>
      </c>
      <c r="W42" s="438">
        <v>0.028452</v>
      </c>
      <c r="X42" s="438">
        <v>0.029032</v>
      </c>
      <c r="Y42" s="438">
        <v>0.029386</v>
      </c>
      <c r="Z42" s="438">
        <v>0.029868</v>
      </c>
      <c r="AA42" s="438">
        <v>0.03031</v>
      </c>
      <c r="AB42" s="438">
        <v>0.030629</v>
      </c>
      <c r="AC42" s="438">
        <v>0.030923</v>
      </c>
      <c r="AD42" s="438">
        <v>0.031143</v>
      </c>
      <c r="AE42" s="438">
        <v>0.03132</v>
      </c>
      <c r="AF42" s="438">
        <v>0.032015</v>
      </c>
      <c r="AG42" s="438">
        <v>0.032426</v>
      </c>
      <c r="AH42" s="438">
        <v>0.032863</v>
      </c>
      <c r="AI42" s="438">
        <v>0.033525</v>
      </c>
      <c r="AJ42" s="438">
        <v>0.033863</v>
      </c>
      <c r="AK42" s="438">
        <v>0.034294</v>
      </c>
      <c r="AL42" s="438">
        <v>0.0346</v>
      </c>
      <c r="AM42" s="438">
        <v>0.034905</v>
      </c>
      <c r="AN42" s="438">
        <v>0.035168</v>
      </c>
      <c r="AO42" s="439">
        <v>0.035356</v>
      </c>
      <c r="AP42" s="127" t="s">
        <v>125</v>
      </c>
      <c r="AQ42" s="116"/>
    </row>
    <row r="43" spans="2:43" s="9" customFormat="1" ht="14.25" customHeight="1">
      <c r="B43" s="117" t="s">
        <v>202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AK43" s="5"/>
      <c r="AL43" s="5"/>
      <c r="AM43" s="5"/>
      <c r="AN43" s="5"/>
      <c r="AO43" s="5"/>
      <c r="AP43" s="5"/>
      <c r="AQ43" s="5"/>
    </row>
    <row r="44" spans="2:43" ht="10.5" customHeight="1">
      <c r="B44" s="22" t="s">
        <v>126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5"/>
    </row>
    <row r="45" spans="2:43" ht="12.75" customHeight="1">
      <c r="B45" s="935" t="s">
        <v>128</v>
      </c>
      <c r="C45" s="935"/>
      <c r="D45" s="935"/>
      <c r="E45" s="935"/>
      <c r="F45" s="935"/>
      <c r="G45" s="935"/>
      <c r="H45" s="935"/>
      <c r="I45" s="935"/>
      <c r="J45" s="935"/>
      <c r="K45" s="935"/>
      <c r="L45" s="935"/>
      <c r="M45" s="935"/>
      <c r="N45" s="935"/>
      <c r="O45" s="935"/>
      <c r="P45" s="935"/>
      <c r="Q45" s="935"/>
      <c r="R45" s="935"/>
      <c r="S45" s="935"/>
      <c r="T45" s="935"/>
      <c r="U45" s="935"/>
      <c r="V45" s="935"/>
      <c r="W45" s="935"/>
      <c r="X45" s="935"/>
      <c r="Y45" s="935"/>
      <c r="Z45" s="935"/>
      <c r="AA45" s="935"/>
      <c r="AB45" s="935"/>
      <c r="AC45" s="935"/>
      <c r="AD45" s="935"/>
      <c r="AE45" s="935"/>
      <c r="AF45" s="935"/>
      <c r="AG45" s="935"/>
      <c r="AH45" s="935"/>
      <c r="AI45" s="935"/>
      <c r="AJ45" s="935"/>
      <c r="AK45" s="935"/>
      <c r="AL45" s="935"/>
      <c r="AM45" s="935"/>
      <c r="AN45" s="935"/>
      <c r="AO45" s="30"/>
      <c r="AP45" s="30"/>
      <c r="AQ45" s="5"/>
    </row>
    <row r="46" spans="2:43" ht="12" customHeight="1">
      <c r="B46" s="47" t="s">
        <v>129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47"/>
      <c r="AC46" s="121"/>
      <c r="AD46" s="121"/>
      <c r="AE46" s="121"/>
      <c r="AF46" s="121"/>
      <c r="AG46" s="121"/>
      <c r="AH46" s="121"/>
      <c r="AI46" s="121"/>
      <c r="AJ46" s="121"/>
      <c r="AK46" s="122"/>
      <c r="AL46" s="123"/>
      <c r="AM46" s="5"/>
      <c r="AN46" s="5"/>
      <c r="AO46" s="5"/>
      <c r="AP46" s="5"/>
      <c r="AQ46" s="5"/>
    </row>
    <row r="47" spans="2:38" ht="12" customHeight="1">
      <c r="B47" s="47" t="s">
        <v>130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4"/>
    </row>
  </sheetData>
  <mergeCells count="5">
    <mergeCell ref="B45:AN45"/>
    <mergeCell ref="B1:C1"/>
    <mergeCell ref="M4:AB4"/>
    <mergeCell ref="B2:AN2"/>
    <mergeCell ref="C3:AN3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X4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4.00390625" style="4" customWidth="1"/>
    <col min="3" max="5" width="6.7109375" style="4" customWidth="1"/>
    <col min="6" max="9" width="6.7109375" style="4" hidden="1" customWidth="1"/>
    <col min="10" max="15" width="6.7109375" style="4" customWidth="1"/>
    <col min="16" max="16" width="6.7109375" style="32" customWidth="1"/>
    <col min="17" max="17" width="6.7109375" style="50" customWidth="1"/>
    <col min="18" max="20" width="6.7109375" style="46" customWidth="1"/>
    <col min="21" max="22" width="7.28125" style="46" customWidth="1"/>
    <col min="23" max="23" width="6.140625" style="4" customWidth="1"/>
    <col min="24" max="24" width="4.00390625" style="4" customWidth="1"/>
    <col min="25" max="16384" width="9.140625" style="4" customWidth="1"/>
  </cols>
  <sheetData>
    <row r="1" spans="2:24" ht="14.2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28"/>
      <c r="Q1" s="87"/>
      <c r="R1" s="88"/>
      <c r="S1" s="88"/>
      <c r="X1" s="45" t="s">
        <v>100</v>
      </c>
    </row>
    <row r="2" spans="2:24" s="189" customFormat="1" ht="30" customHeight="1">
      <c r="B2" s="884" t="s">
        <v>17</v>
      </c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  <c r="X2" s="884"/>
    </row>
    <row r="3" spans="2:24" ht="15" customHeight="1">
      <c r="B3" s="885" t="s">
        <v>226</v>
      </c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</row>
    <row r="4" ht="12.75" customHeight="1">
      <c r="V4" s="89" t="s">
        <v>6</v>
      </c>
    </row>
    <row r="5" spans="2:24" ht="19.5" customHeight="1">
      <c r="B5" s="5"/>
      <c r="C5" s="685">
        <v>1970</v>
      </c>
      <c r="D5" s="685">
        <v>1980</v>
      </c>
      <c r="E5" s="444">
        <v>1990</v>
      </c>
      <c r="F5" s="444">
        <v>1991</v>
      </c>
      <c r="G5" s="444">
        <v>1992</v>
      </c>
      <c r="H5" s="444">
        <v>1993</v>
      </c>
      <c r="I5" s="444">
        <v>1994</v>
      </c>
      <c r="J5" s="444">
        <v>1995</v>
      </c>
      <c r="K5" s="444">
        <v>1996</v>
      </c>
      <c r="L5" s="444">
        <v>1997</v>
      </c>
      <c r="M5" s="444">
        <v>1998</v>
      </c>
      <c r="N5" s="444">
        <v>1999</v>
      </c>
      <c r="O5" s="444">
        <v>2000</v>
      </c>
      <c r="P5" s="444">
        <v>2001</v>
      </c>
      <c r="Q5" s="444">
        <v>2002</v>
      </c>
      <c r="R5" s="444">
        <v>2003</v>
      </c>
      <c r="S5" s="444">
        <v>2004</v>
      </c>
      <c r="T5" s="444">
        <v>2005</v>
      </c>
      <c r="U5" s="444">
        <v>2006</v>
      </c>
      <c r="V5" s="444">
        <v>2007</v>
      </c>
      <c r="W5" s="674" t="s">
        <v>219</v>
      </c>
      <c r="X5" s="2"/>
    </row>
    <row r="6" spans="2:24" ht="9.75" customHeight="1">
      <c r="B6" s="5"/>
      <c r="C6" s="686"/>
      <c r="D6" s="686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136"/>
      <c r="V6" s="136"/>
      <c r="W6" s="675" t="s">
        <v>176</v>
      </c>
      <c r="X6" s="2"/>
    </row>
    <row r="7" spans="2:24" ht="12.75" customHeight="1">
      <c r="B7" s="177" t="s">
        <v>47</v>
      </c>
      <c r="C7" s="683"/>
      <c r="D7" s="683"/>
      <c r="E7" s="199">
        <f aca="true" t="shared" si="0" ref="E7:U7">SUM(E10:E36)</f>
        <v>162898.99899999998</v>
      </c>
      <c r="F7" s="199">
        <f t="shared" si="0"/>
        <v>167725.546</v>
      </c>
      <c r="G7" s="199">
        <f t="shared" si="0"/>
        <v>172185.88999999998</v>
      </c>
      <c r="H7" s="199">
        <f t="shared" si="0"/>
        <v>175148.343</v>
      </c>
      <c r="I7" s="199">
        <f t="shared" si="0"/>
        <v>178268.269</v>
      </c>
      <c r="J7" s="181">
        <f t="shared" si="0"/>
        <v>181751.17799999999</v>
      </c>
      <c r="K7" s="181">
        <f t="shared" si="0"/>
        <v>185923.53100000002</v>
      </c>
      <c r="L7" s="181">
        <f t="shared" si="0"/>
        <v>185482.25999999998</v>
      </c>
      <c r="M7" s="181">
        <f t="shared" si="0"/>
        <v>190290.733</v>
      </c>
      <c r="N7" s="181">
        <f t="shared" si="0"/>
        <v>195973.603</v>
      </c>
      <c r="O7" s="181">
        <f t="shared" si="0"/>
        <v>200868.095</v>
      </c>
      <c r="P7" s="181">
        <f t="shared" si="0"/>
        <v>205562.54299999998</v>
      </c>
      <c r="Q7" s="181">
        <f t="shared" si="0"/>
        <v>209647.198</v>
      </c>
      <c r="R7" s="181">
        <f t="shared" si="0"/>
        <v>212487.16499999995</v>
      </c>
      <c r="S7" s="181">
        <f t="shared" si="0"/>
        <v>215900.56199999992</v>
      </c>
      <c r="T7" s="181">
        <f t="shared" si="0"/>
        <v>220223.08199999994</v>
      </c>
      <c r="U7" s="338">
        <f t="shared" si="0"/>
        <v>224675.885</v>
      </c>
      <c r="V7" s="338">
        <f>SUM(V10:V36)</f>
        <v>229764.073</v>
      </c>
      <c r="W7" s="676">
        <f>100*(V7/U7-1)</f>
        <v>2.264679184417151</v>
      </c>
      <c r="X7" s="177" t="s">
        <v>47</v>
      </c>
    </row>
    <row r="8" spans="2:24" ht="12.75" customHeight="1">
      <c r="B8" s="174" t="s">
        <v>82</v>
      </c>
      <c r="C8" s="684">
        <f>SUM(C10,C13:C14,C16:C20,C24,C27:C28,C30,C34:C36)</f>
        <v>62477.114</v>
      </c>
      <c r="D8" s="684">
        <f aca="true" t="shared" si="1" ref="D8:S8">SUM(D10,D13:D14,D16:D20,D24,D27:D28,D30,D34:D36)</f>
        <v>104284.42300000001</v>
      </c>
      <c r="E8" s="201">
        <f t="shared" si="1"/>
        <v>147891.61</v>
      </c>
      <c r="F8" s="201">
        <f t="shared" si="1"/>
        <v>151360.09600000002</v>
      </c>
      <c r="G8" s="201">
        <f t="shared" si="1"/>
        <v>154937.316</v>
      </c>
      <c r="H8" s="201">
        <f t="shared" si="1"/>
        <v>156868.47400000002</v>
      </c>
      <c r="I8" s="201">
        <f t="shared" si="1"/>
        <v>159118.863</v>
      </c>
      <c r="J8" s="183">
        <f t="shared" si="1"/>
        <v>161538.931</v>
      </c>
      <c r="K8" s="183">
        <f t="shared" si="1"/>
        <v>164596.276</v>
      </c>
      <c r="L8" s="183">
        <f t="shared" si="1"/>
        <v>163008.656</v>
      </c>
      <c r="M8" s="183">
        <f t="shared" si="1"/>
        <v>166938.63900000002</v>
      </c>
      <c r="N8" s="183">
        <f t="shared" si="1"/>
        <v>171789.65500000003</v>
      </c>
      <c r="O8" s="183">
        <f t="shared" si="1"/>
        <v>175512.823</v>
      </c>
      <c r="P8" s="183">
        <f t="shared" si="1"/>
        <v>179303.222</v>
      </c>
      <c r="Q8" s="183">
        <f t="shared" si="1"/>
        <v>182282.50599999994</v>
      </c>
      <c r="R8" s="183">
        <f t="shared" si="1"/>
        <v>184245.51099999997</v>
      </c>
      <c r="S8" s="183">
        <f t="shared" si="1"/>
        <v>186466.39399999997</v>
      </c>
      <c r="T8" s="183">
        <f>SUM(T10,T13:T14,T16:T20,T24,T27:T28,T30,T34:T36)</f>
        <v>189611.39200000002</v>
      </c>
      <c r="U8" s="341">
        <f>SUM(U10,U13:U14,U16:U20,U24,U27:U28,U30,U34:U36)</f>
        <v>192984.80299999999</v>
      </c>
      <c r="V8" s="341">
        <f>SUM(V10,V13:V14,V16:V20,V24,V27:V28,V30,V34:V36)</f>
        <v>196159.908</v>
      </c>
      <c r="W8" s="677">
        <f aca="true" t="shared" si="2" ref="W8:W43">100*(V8/U8-1)</f>
        <v>1.6452616737909764</v>
      </c>
      <c r="X8" s="174" t="s">
        <v>82</v>
      </c>
    </row>
    <row r="9" spans="2:24" ht="12.75" customHeight="1">
      <c r="B9" s="174" t="s">
        <v>175</v>
      </c>
      <c r="C9" s="694"/>
      <c r="D9" s="694"/>
      <c r="E9" s="201">
        <f>SUM(E11,E12,E15,E21,E22,E23,E25,E26,E29,E31,E32,E33)</f>
        <v>15007.389</v>
      </c>
      <c r="F9" s="183">
        <f>SUM(F11,F12,F15,F21,F22,F23,F25,F26,F29,F31,F32,F33)</f>
        <v>16365.45</v>
      </c>
      <c r="G9" s="183">
        <f>SUM(G11,G12,G15,G21,G22,G23,G25,G26,G29,G31,G32,G33)</f>
        <v>17248.574</v>
      </c>
      <c r="H9" s="183">
        <f>SUM(H11,H12,H15,H21,H22,H23,H25,H26,H29,H31,H32,H33)</f>
        <v>18279.869000000002</v>
      </c>
      <c r="I9" s="183">
        <f>SUM(I11,I12,I15,I21,I22,I23,I25,I26,I29,I31,I32,I33)</f>
        <v>19149.406</v>
      </c>
      <c r="J9" s="183">
        <f aca="true" t="shared" si="3" ref="J9:U9">SUM(J11,J12,J15,J21,J22,J23,J25,J26,J29,J31,J32,J33)</f>
        <v>20212.247000000003</v>
      </c>
      <c r="K9" s="183">
        <f t="shared" si="3"/>
        <v>21327.255</v>
      </c>
      <c r="L9" s="183">
        <f t="shared" si="3"/>
        <v>22473.604</v>
      </c>
      <c r="M9" s="183">
        <f t="shared" si="3"/>
        <v>23352.094</v>
      </c>
      <c r="N9" s="183">
        <f t="shared" si="3"/>
        <v>24183.948</v>
      </c>
      <c r="O9" s="183">
        <f t="shared" si="3"/>
        <v>25355.272</v>
      </c>
      <c r="P9" s="183">
        <f t="shared" si="3"/>
        <v>26259.321</v>
      </c>
      <c r="Q9" s="183">
        <f t="shared" si="3"/>
        <v>27364.692000000003</v>
      </c>
      <c r="R9" s="183">
        <f t="shared" si="3"/>
        <v>28241.654</v>
      </c>
      <c r="S9" s="183">
        <f t="shared" si="3"/>
        <v>29434.167999999998</v>
      </c>
      <c r="T9" s="183">
        <f t="shared" si="3"/>
        <v>30611.69</v>
      </c>
      <c r="U9" s="341">
        <f t="shared" si="3"/>
        <v>31691.08199999999</v>
      </c>
      <c r="V9" s="341">
        <f>SUM(V11,V12,V15,V21,V22,V23,V25,V26,V29,V31,V32,V33)</f>
        <v>33604.165</v>
      </c>
      <c r="W9" s="678">
        <f t="shared" si="2"/>
        <v>6.036660408123673</v>
      </c>
      <c r="X9" s="176" t="s">
        <v>175</v>
      </c>
    </row>
    <row r="10" spans="1:24" ht="12.75" customHeight="1">
      <c r="A10" s="12"/>
      <c r="B10" s="13" t="s">
        <v>83</v>
      </c>
      <c r="C10" s="695">
        <v>2059.616</v>
      </c>
      <c r="D10" s="695">
        <v>3158.737</v>
      </c>
      <c r="E10" s="696">
        <v>3864.159</v>
      </c>
      <c r="F10" s="696">
        <v>3970</v>
      </c>
      <c r="G10" s="696">
        <v>4021</v>
      </c>
      <c r="H10" s="193">
        <v>4109.601</v>
      </c>
      <c r="I10" s="193">
        <v>4210.197</v>
      </c>
      <c r="J10" s="193">
        <v>4273.451</v>
      </c>
      <c r="K10" s="193">
        <v>4339.231</v>
      </c>
      <c r="L10" s="193">
        <v>4415.343</v>
      </c>
      <c r="M10" s="193">
        <v>4491.734</v>
      </c>
      <c r="N10" s="696">
        <v>4583.615</v>
      </c>
      <c r="O10" s="696">
        <v>4678.376</v>
      </c>
      <c r="P10" s="696">
        <v>4739.85</v>
      </c>
      <c r="Q10" s="696">
        <v>4787.359</v>
      </c>
      <c r="R10" s="696">
        <v>4820.868</v>
      </c>
      <c r="S10" s="696">
        <v>4874.426</v>
      </c>
      <c r="T10" s="696">
        <v>4918.544</v>
      </c>
      <c r="U10" s="696">
        <v>4976.286</v>
      </c>
      <c r="V10" s="697">
        <v>5048.723</v>
      </c>
      <c r="W10" s="679">
        <f t="shared" si="2"/>
        <v>1.4556438275452832</v>
      </c>
      <c r="X10" s="13" t="s">
        <v>83</v>
      </c>
    </row>
    <row r="11" spans="1:24" ht="12.75" customHeight="1">
      <c r="A11" s="12"/>
      <c r="B11" s="174" t="s">
        <v>65</v>
      </c>
      <c r="C11" s="687">
        <v>160</v>
      </c>
      <c r="D11" s="687">
        <v>820</v>
      </c>
      <c r="E11" s="688">
        <v>1317.4</v>
      </c>
      <c r="F11" s="688">
        <v>1359</v>
      </c>
      <c r="G11" s="688">
        <v>1411.3</v>
      </c>
      <c r="H11" s="191">
        <v>1505.451</v>
      </c>
      <c r="I11" s="191">
        <v>1587.873</v>
      </c>
      <c r="J11" s="191">
        <v>1647.571</v>
      </c>
      <c r="K11" s="191">
        <v>1707.023</v>
      </c>
      <c r="L11" s="191">
        <v>1730.506</v>
      </c>
      <c r="M11" s="191">
        <v>1809.35</v>
      </c>
      <c r="N11" s="688">
        <v>1908.4</v>
      </c>
      <c r="O11" s="688">
        <v>1992.7</v>
      </c>
      <c r="P11" s="688">
        <v>2085.7</v>
      </c>
      <c r="Q11" s="688">
        <v>2174.1</v>
      </c>
      <c r="R11" s="688">
        <v>2309.3</v>
      </c>
      <c r="S11" s="688">
        <v>2438.4</v>
      </c>
      <c r="T11" s="691">
        <v>2538</v>
      </c>
      <c r="U11" s="688">
        <v>1767.7</v>
      </c>
      <c r="V11" s="698">
        <v>2081.5</v>
      </c>
      <c r="W11" s="680">
        <f t="shared" si="2"/>
        <v>17.7518809752786</v>
      </c>
      <c r="X11" s="174" t="s">
        <v>65</v>
      </c>
    </row>
    <row r="12" spans="1:24" ht="12.75" customHeight="1">
      <c r="A12" s="12"/>
      <c r="B12" s="14" t="s">
        <v>67</v>
      </c>
      <c r="C12" s="663">
        <v>685</v>
      </c>
      <c r="D12" s="663">
        <v>1780</v>
      </c>
      <c r="E12" s="91">
        <v>2410</v>
      </c>
      <c r="F12" s="91">
        <v>2480</v>
      </c>
      <c r="G12" s="91">
        <v>2580</v>
      </c>
      <c r="H12" s="91">
        <v>2833.143</v>
      </c>
      <c r="I12" s="91">
        <v>2923.916</v>
      </c>
      <c r="J12" s="91">
        <v>3043.316</v>
      </c>
      <c r="K12" s="91">
        <v>3192.532</v>
      </c>
      <c r="L12" s="91">
        <v>3391.541</v>
      </c>
      <c r="M12" s="91">
        <v>3492.961</v>
      </c>
      <c r="N12" s="91">
        <v>3439.745</v>
      </c>
      <c r="O12" s="91">
        <v>3438.87</v>
      </c>
      <c r="P12" s="91">
        <v>3529.791</v>
      </c>
      <c r="Q12" s="91">
        <v>3647.067</v>
      </c>
      <c r="R12" s="91">
        <v>3706.012</v>
      </c>
      <c r="S12" s="91">
        <v>3815.547</v>
      </c>
      <c r="T12" s="91">
        <v>3958.708</v>
      </c>
      <c r="U12" s="91">
        <v>4108.61</v>
      </c>
      <c r="V12" s="98">
        <v>4280.081</v>
      </c>
      <c r="W12" s="679">
        <f t="shared" si="2"/>
        <v>4.173455256157199</v>
      </c>
      <c r="X12" s="14" t="s">
        <v>67</v>
      </c>
    </row>
    <row r="13" spans="1:24" ht="12.75" customHeight="1">
      <c r="A13" s="12"/>
      <c r="B13" s="174" t="s">
        <v>78</v>
      </c>
      <c r="C13" s="687">
        <v>1076.875</v>
      </c>
      <c r="D13" s="687">
        <v>1390</v>
      </c>
      <c r="E13" s="191">
        <v>1590</v>
      </c>
      <c r="F13" s="191">
        <v>1594</v>
      </c>
      <c r="G13" s="191">
        <v>1604.053</v>
      </c>
      <c r="H13" s="191">
        <v>1617.734</v>
      </c>
      <c r="I13" s="191">
        <v>1611.191</v>
      </c>
      <c r="J13" s="191">
        <v>1679.007</v>
      </c>
      <c r="K13" s="191">
        <v>1738.854</v>
      </c>
      <c r="L13" s="191">
        <v>1783.098</v>
      </c>
      <c r="M13" s="191">
        <v>1817.147</v>
      </c>
      <c r="N13" s="191">
        <v>1843.254</v>
      </c>
      <c r="O13" s="191">
        <v>1854.06</v>
      </c>
      <c r="P13" s="191">
        <v>1872.631</v>
      </c>
      <c r="Q13" s="191">
        <v>1888.29</v>
      </c>
      <c r="R13" s="191">
        <v>1894.649</v>
      </c>
      <c r="S13" s="191">
        <v>1915.821</v>
      </c>
      <c r="T13" s="191">
        <v>1964.682</v>
      </c>
      <c r="U13" s="191">
        <v>2020.013</v>
      </c>
      <c r="V13" s="164">
        <v>2068.493</v>
      </c>
      <c r="W13" s="680">
        <f t="shared" si="2"/>
        <v>2.399984554554857</v>
      </c>
      <c r="X13" s="174" t="s">
        <v>78</v>
      </c>
    </row>
    <row r="14" spans="1:24" ht="12.75" customHeight="1">
      <c r="A14" s="12"/>
      <c r="B14" s="14" t="s">
        <v>84</v>
      </c>
      <c r="C14" s="663">
        <v>15107.079</v>
      </c>
      <c r="D14" s="663">
        <v>25869.616000000005</v>
      </c>
      <c r="E14" s="664">
        <v>36772</v>
      </c>
      <c r="F14" s="664">
        <v>37947</v>
      </c>
      <c r="G14" s="91">
        <v>38892</v>
      </c>
      <c r="H14" s="91">
        <v>39202.066</v>
      </c>
      <c r="I14" s="91">
        <v>39917.577</v>
      </c>
      <c r="J14" s="91">
        <v>40499.442</v>
      </c>
      <c r="K14" s="665">
        <v>41045.217</v>
      </c>
      <c r="L14" s="664">
        <v>36924.647</v>
      </c>
      <c r="M14" s="664">
        <v>37553.549</v>
      </c>
      <c r="N14" s="664">
        <v>38426.776</v>
      </c>
      <c r="O14" s="664">
        <v>39058.937</v>
      </c>
      <c r="P14" s="664">
        <v>39388.319</v>
      </c>
      <c r="Q14" s="664">
        <v>39720.951</v>
      </c>
      <c r="R14" s="664">
        <v>40017.482</v>
      </c>
      <c r="S14" s="664">
        <v>40179.477</v>
      </c>
      <c r="T14" s="664">
        <v>40659.5</v>
      </c>
      <c r="U14" s="664">
        <v>41019.7</v>
      </c>
      <c r="V14" s="699">
        <v>41183.594</v>
      </c>
      <c r="W14" s="679">
        <f t="shared" si="2"/>
        <v>0.3995494847597536</v>
      </c>
      <c r="X14" s="14" t="s">
        <v>84</v>
      </c>
    </row>
    <row r="15" spans="1:24" ht="12.75" customHeight="1">
      <c r="A15" s="12"/>
      <c r="B15" s="174" t="s">
        <v>68</v>
      </c>
      <c r="C15" s="687">
        <v>30</v>
      </c>
      <c r="D15" s="687">
        <v>127</v>
      </c>
      <c r="E15" s="688">
        <v>241</v>
      </c>
      <c r="F15" s="688">
        <v>261</v>
      </c>
      <c r="G15" s="688">
        <v>284</v>
      </c>
      <c r="H15" s="191">
        <v>317.425</v>
      </c>
      <c r="I15" s="191">
        <v>337.812</v>
      </c>
      <c r="J15" s="191">
        <v>383.444</v>
      </c>
      <c r="K15" s="191">
        <v>406.598</v>
      </c>
      <c r="L15" s="191">
        <v>427.678</v>
      </c>
      <c r="M15" s="191">
        <v>450.954</v>
      </c>
      <c r="N15" s="191">
        <v>458.7</v>
      </c>
      <c r="O15" s="690">
        <v>463.9</v>
      </c>
      <c r="P15" s="690">
        <v>407.3</v>
      </c>
      <c r="Q15" s="688">
        <v>400.7</v>
      </c>
      <c r="R15" s="688">
        <v>434</v>
      </c>
      <c r="S15" s="688">
        <v>471.2</v>
      </c>
      <c r="T15" s="688">
        <v>493.78</v>
      </c>
      <c r="U15" s="691">
        <v>554.012</v>
      </c>
      <c r="V15" s="688">
        <v>523.766</v>
      </c>
      <c r="W15" s="680">
        <f t="shared" si="2"/>
        <v>-5.4594485318007475</v>
      </c>
      <c r="X15" s="174" t="s">
        <v>68</v>
      </c>
    </row>
    <row r="16" spans="1:24" ht="12.75" customHeight="1">
      <c r="A16" s="12"/>
      <c r="B16" s="14" t="s">
        <v>87</v>
      </c>
      <c r="C16" s="663">
        <v>393.459</v>
      </c>
      <c r="D16" s="663">
        <v>738.114</v>
      </c>
      <c r="E16" s="91">
        <f>796.408+4.977</f>
        <v>801.385</v>
      </c>
      <c r="F16" s="91">
        <f>836.583+5.363</f>
        <v>841.946</v>
      </c>
      <c r="G16" s="91">
        <f>858.498+5.711</f>
        <v>864.2090000000001</v>
      </c>
      <c r="H16" s="91">
        <f>891.027+6.144</f>
        <v>897.171</v>
      </c>
      <c r="I16" s="91">
        <f>939.022+6.925</f>
        <v>945.947</v>
      </c>
      <c r="J16" s="91">
        <f>990.384+8.086</f>
        <v>998.47</v>
      </c>
      <c r="K16" s="91">
        <f>1057.383+9.219</f>
        <v>1066.602</v>
      </c>
      <c r="L16" s="91">
        <f>1134.429+10.34</f>
        <v>1144.769</v>
      </c>
      <c r="M16" s="91">
        <f>1196.901+11.249</f>
        <v>1208.15</v>
      </c>
      <c r="N16" s="91">
        <f>1269.245+13.076</f>
        <v>1282.321</v>
      </c>
      <c r="O16" s="91">
        <f>1319.25+13.637</f>
        <v>1332.887</v>
      </c>
      <c r="P16" s="91">
        <f>1384.704+16.547</f>
        <v>1401.251</v>
      </c>
      <c r="Q16" s="91">
        <f>1447.908+18.252</f>
        <v>1466.1599999999999</v>
      </c>
      <c r="R16" s="91">
        <f>1507.106+19.856</f>
        <v>1526.962</v>
      </c>
      <c r="S16" s="91">
        <f>1582.833+20.744</f>
        <v>1603.577</v>
      </c>
      <c r="T16" s="91">
        <f>1662.157+21.888</f>
        <v>1684.0449999999998</v>
      </c>
      <c r="U16" s="91">
        <f>1778.861+23.284</f>
        <v>1802.1450000000002</v>
      </c>
      <c r="V16" s="98">
        <f>1882.901+26.654</f>
        <v>1909.555</v>
      </c>
      <c r="W16" s="679">
        <f t="shared" si="2"/>
        <v>5.960119746191328</v>
      </c>
      <c r="X16" s="14" t="s">
        <v>87</v>
      </c>
    </row>
    <row r="17" spans="1:24" ht="12.75" customHeight="1">
      <c r="A17" s="12"/>
      <c r="B17" s="174" t="s">
        <v>79</v>
      </c>
      <c r="C17" s="687">
        <v>226.893</v>
      </c>
      <c r="D17" s="687">
        <v>862.609</v>
      </c>
      <c r="E17" s="688">
        <v>1735.523</v>
      </c>
      <c r="F17" s="688">
        <v>1777.484</v>
      </c>
      <c r="G17" s="688">
        <v>1829.1</v>
      </c>
      <c r="H17" s="688">
        <v>1958.544</v>
      </c>
      <c r="I17" s="688">
        <v>2074.081</v>
      </c>
      <c r="J17" s="688">
        <v>2204.761</v>
      </c>
      <c r="K17" s="688">
        <v>2339.421</v>
      </c>
      <c r="L17" s="688">
        <v>2500.099</v>
      </c>
      <c r="M17" s="688">
        <v>2675.676</v>
      </c>
      <c r="N17" s="688">
        <v>2928.881</v>
      </c>
      <c r="O17" s="688">
        <v>3195.065</v>
      </c>
      <c r="P17" s="688">
        <v>3423.704</v>
      </c>
      <c r="Q17" s="688">
        <v>3646.069</v>
      </c>
      <c r="R17" s="688">
        <v>3839.549</v>
      </c>
      <c r="S17" s="688">
        <v>4073.511</v>
      </c>
      <c r="T17" s="688">
        <v>4303.129</v>
      </c>
      <c r="U17" s="688">
        <v>4543.016</v>
      </c>
      <c r="V17" s="698">
        <v>4798.53</v>
      </c>
      <c r="W17" s="680">
        <f t="shared" si="2"/>
        <v>5.624325338057368</v>
      </c>
      <c r="X17" s="174" t="s">
        <v>79</v>
      </c>
    </row>
    <row r="18" spans="1:24" ht="12.75" customHeight="1">
      <c r="A18" s="12"/>
      <c r="B18" s="14" t="s">
        <v>85</v>
      </c>
      <c r="C18" s="663">
        <v>2378</v>
      </c>
      <c r="D18" s="663">
        <v>7556.511</v>
      </c>
      <c r="E18" s="664">
        <v>11995.64</v>
      </c>
      <c r="F18" s="664">
        <v>12537.099</v>
      </c>
      <c r="G18" s="664">
        <v>13102.285</v>
      </c>
      <c r="H18" s="664">
        <v>13440.694</v>
      </c>
      <c r="I18" s="664">
        <v>13733.794</v>
      </c>
      <c r="J18" s="664">
        <v>14212.259</v>
      </c>
      <c r="K18" s="664">
        <v>14753.809</v>
      </c>
      <c r="L18" s="664">
        <v>15297.366</v>
      </c>
      <c r="M18" s="664">
        <v>16050.057</v>
      </c>
      <c r="N18" s="664">
        <v>16847.397</v>
      </c>
      <c r="O18" s="664">
        <v>17449.235</v>
      </c>
      <c r="P18" s="664">
        <v>18150.88</v>
      </c>
      <c r="Q18" s="665">
        <v>18732.632</v>
      </c>
      <c r="R18" s="664">
        <v>18688.32</v>
      </c>
      <c r="S18" s="664">
        <v>19541.918</v>
      </c>
      <c r="T18" s="664">
        <v>20250.377</v>
      </c>
      <c r="U18" s="664">
        <v>20908.725</v>
      </c>
      <c r="V18" s="699">
        <v>21760.174</v>
      </c>
      <c r="W18" s="679">
        <f t="shared" si="2"/>
        <v>4.07221865513081</v>
      </c>
      <c r="X18" s="14" t="s">
        <v>85</v>
      </c>
    </row>
    <row r="19" spans="1:24" ht="12.75" customHeight="1">
      <c r="A19" s="12"/>
      <c r="B19" s="174" t="s">
        <v>86</v>
      </c>
      <c r="C19" s="687">
        <v>11900</v>
      </c>
      <c r="D19" s="687">
        <v>19100</v>
      </c>
      <c r="E19" s="688">
        <v>27071.642</v>
      </c>
      <c r="F19" s="688">
        <v>27309.644</v>
      </c>
      <c r="G19" s="688">
        <v>27596.041</v>
      </c>
      <c r="H19" s="688">
        <v>27680.285</v>
      </c>
      <c r="I19" s="688">
        <v>27761.922</v>
      </c>
      <c r="J19" s="688">
        <v>27872.067</v>
      </c>
      <c r="K19" s="688">
        <v>28017.221</v>
      </c>
      <c r="L19" s="688">
        <v>28201.321</v>
      </c>
      <c r="M19" s="688">
        <v>28627.36</v>
      </c>
      <c r="N19" s="688">
        <v>29272.165</v>
      </c>
      <c r="O19" s="688">
        <v>29807.799</v>
      </c>
      <c r="P19" s="688">
        <v>30330.382</v>
      </c>
      <c r="Q19" s="688">
        <v>30590.743</v>
      </c>
      <c r="R19" s="688">
        <v>30582.717</v>
      </c>
      <c r="S19" s="688">
        <v>30537.244</v>
      </c>
      <c r="T19" s="688">
        <v>30497.013</v>
      </c>
      <c r="U19" s="688">
        <v>31002.304</v>
      </c>
      <c r="V19" s="698">
        <v>31442.88</v>
      </c>
      <c r="W19" s="680">
        <f t="shared" si="2"/>
        <v>1.421107282865175</v>
      </c>
      <c r="X19" s="174" t="s">
        <v>86</v>
      </c>
    </row>
    <row r="20" spans="1:24" ht="12.75" customHeight="1">
      <c r="A20" s="12"/>
      <c r="B20" s="14" t="s">
        <v>88</v>
      </c>
      <c r="C20" s="663">
        <v>10181.192</v>
      </c>
      <c r="D20" s="663">
        <v>17686.236</v>
      </c>
      <c r="E20" s="664">
        <v>27415.828</v>
      </c>
      <c r="F20" s="664">
        <v>28434.923</v>
      </c>
      <c r="G20" s="664">
        <v>29429.628</v>
      </c>
      <c r="H20" s="664">
        <v>29652.024</v>
      </c>
      <c r="I20" s="664">
        <v>29665.308</v>
      </c>
      <c r="J20" s="664">
        <v>30301.424</v>
      </c>
      <c r="K20" s="91">
        <v>30467.173</v>
      </c>
      <c r="L20" s="91">
        <v>30741.953</v>
      </c>
      <c r="M20" s="91">
        <v>31370.765</v>
      </c>
      <c r="N20" s="664">
        <v>32038.291</v>
      </c>
      <c r="O20" s="664">
        <v>32583.815</v>
      </c>
      <c r="P20" s="664">
        <v>33239.029</v>
      </c>
      <c r="Q20" s="664">
        <v>33706.153</v>
      </c>
      <c r="R20" s="664">
        <v>34310.446</v>
      </c>
      <c r="S20" s="664">
        <v>33973.147</v>
      </c>
      <c r="T20" s="664">
        <v>34667.485</v>
      </c>
      <c r="U20" s="664">
        <v>35297.282</v>
      </c>
      <c r="V20" s="699">
        <v>35680.097</v>
      </c>
      <c r="W20" s="679">
        <f t="shared" si="2"/>
        <v>1.0845452632868513</v>
      </c>
      <c r="X20" s="14" t="s">
        <v>88</v>
      </c>
    </row>
    <row r="21" spans="1:24" ht="12.75" customHeight="1">
      <c r="A21" s="12"/>
      <c r="B21" s="174" t="s">
        <v>66</v>
      </c>
      <c r="C21" s="687">
        <v>60</v>
      </c>
      <c r="D21" s="687">
        <v>90</v>
      </c>
      <c r="E21" s="688">
        <v>178.602</v>
      </c>
      <c r="F21" s="688">
        <v>190</v>
      </c>
      <c r="G21" s="688">
        <v>200</v>
      </c>
      <c r="H21" s="191">
        <v>203.61</v>
      </c>
      <c r="I21" s="191">
        <v>210.365</v>
      </c>
      <c r="J21" s="191">
        <v>219.749</v>
      </c>
      <c r="K21" s="191">
        <v>226.832</v>
      </c>
      <c r="L21" s="191">
        <v>234.976</v>
      </c>
      <c r="M21" s="191">
        <v>249.225</v>
      </c>
      <c r="N21" s="191">
        <v>256.989</v>
      </c>
      <c r="O21" s="688">
        <v>267.589</v>
      </c>
      <c r="P21" s="691">
        <v>280.069</v>
      </c>
      <c r="Q21" s="688">
        <v>287.622</v>
      </c>
      <c r="R21" s="688">
        <v>302.501</v>
      </c>
      <c r="S21" s="688">
        <v>335.634</v>
      </c>
      <c r="T21" s="688">
        <v>355.134</v>
      </c>
      <c r="U21" s="688">
        <v>372.945</v>
      </c>
      <c r="V21" s="698">
        <v>410.936</v>
      </c>
      <c r="W21" s="680">
        <f t="shared" si="2"/>
        <v>10.186756760380211</v>
      </c>
      <c r="X21" s="174" t="s">
        <v>66</v>
      </c>
    </row>
    <row r="22" spans="1:24" ht="12.75" customHeight="1">
      <c r="A22" s="12"/>
      <c r="B22" s="14" t="s">
        <v>70</v>
      </c>
      <c r="C22" s="663">
        <v>40</v>
      </c>
      <c r="D22" s="663">
        <v>166</v>
      </c>
      <c r="E22" s="664">
        <v>283</v>
      </c>
      <c r="F22" s="664">
        <v>329</v>
      </c>
      <c r="G22" s="664">
        <v>350</v>
      </c>
      <c r="H22" s="666">
        <v>367.475</v>
      </c>
      <c r="I22" s="91">
        <v>251.593</v>
      </c>
      <c r="J22" s="91">
        <v>332</v>
      </c>
      <c r="K22" s="91">
        <v>379.895</v>
      </c>
      <c r="L22" s="91">
        <v>431.816</v>
      </c>
      <c r="M22" s="91">
        <v>482.67</v>
      </c>
      <c r="N22" s="91">
        <v>525.572</v>
      </c>
      <c r="O22" s="664">
        <v>556.8</v>
      </c>
      <c r="P22" s="664">
        <v>586.2</v>
      </c>
      <c r="Q22" s="664">
        <v>619.1</v>
      </c>
      <c r="R22" s="664">
        <v>648.9</v>
      </c>
      <c r="S22" s="664">
        <v>686.128</v>
      </c>
      <c r="T22" s="664">
        <v>742.447</v>
      </c>
      <c r="U22" s="664">
        <v>822.011</v>
      </c>
      <c r="V22" s="699">
        <v>904.869</v>
      </c>
      <c r="W22" s="679">
        <f t="shared" si="2"/>
        <v>10.079913772443438</v>
      </c>
      <c r="X22" s="14" t="s">
        <v>70</v>
      </c>
    </row>
    <row r="23" spans="1:24" ht="12.75" customHeight="1">
      <c r="A23" s="12"/>
      <c r="B23" s="174" t="s">
        <v>71</v>
      </c>
      <c r="C23" s="687">
        <v>43.7</v>
      </c>
      <c r="D23" s="687">
        <v>247</v>
      </c>
      <c r="E23" s="688">
        <v>493</v>
      </c>
      <c r="F23" s="688">
        <v>531</v>
      </c>
      <c r="G23" s="688">
        <v>565</v>
      </c>
      <c r="H23" s="191">
        <v>597.735</v>
      </c>
      <c r="I23" s="191">
        <v>652.81</v>
      </c>
      <c r="J23" s="688">
        <v>718.469</v>
      </c>
      <c r="K23" s="688">
        <v>785.088</v>
      </c>
      <c r="L23" s="688">
        <v>882.101</v>
      </c>
      <c r="M23" s="688">
        <v>980.91</v>
      </c>
      <c r="N23" s="688">
        <v>1089.334</v>
      </c>
      <c r="O23" s="688">
        <v>1172.394</v>
      </c>
      <c r="P23" s="688">
        <v>1133.477</v>
      </c>
      <c r="Q23" s="688">
        <v>1180.945</v>
      </c>
      <c r="R23" s="688">
        <v>1256.853</v>
      </c>
      <c r="S23" s="688">
        <v>1315.914</v>
      </c>
      <c r="T23" s="688">
        <v>1455.276</v>
      </c>
      <c r="U23" s="688">
        <v>1592.238</v>
      </c>
      <c r="V23" s="698">
        <v>1587.903</v>
      </c>
      <c r="W23" s="680">
        <f t="shared" si="2"/>
        <v>-0.2722582930441364</v>
      </c>
      <c r="X23" s="174" t="s">
        <v>71</v>
      </c>
    </row>
    <row r="24" spans="1:24" ht="12.75" customHeight="1">
      <c r="A24" s="12"/>
      <c r="B24" s="14" t="s">
        <v>89</v>
      </c>
      <c r="C24" s="663">
        <v>72</v>
      </c>
      <c r="D24" s="663">
        <v>128.6</v>
      </c>
      <c r="E24" s="664">
        <v>183.404</v>
      </c>
      <c r="F24" s="664">
        <v>192</v>
      </c>
      <c r="G24" s="664">
        <v>201</v>
      </c>
      <c r="H24" s="91">
        <v>208</v>
      </c>
      <c r="I24" s="91">
        <v>217.754</v>
      </c>
      <c r="J24" s="91">
        <v>229.037</v>
      </c>
      <c r="K24" s="91">
        <v>231.666</v>
      </c>
      <c r="L24" s="91">
        <v>236.834</v>
      </c>
      <c r="M24" s="91">
        <v>253.406</v>
      </c>
      <c r="N24" s="91">
        <v>263.475</v>
      </c>
      <c r="O24" s="91">
        <v>273.086</v>
      </c>
      <c r="P24" s="91">
        <v>280.709</v>
      </c>
      <c r="Q24" s="664">
        <v>287.245</v>
      </c>
      <c r="R24" s="664">
        <v>293.398</v>
      </c>
      <c r="S24" s="664">
        <v>299.759</v>
      </c>
      <c r="T24" s="664">
        <f>211.567+92.927+2.771</f>
        <v>307.26500000000004</v>
      </c>
      <c r="U24" s="664">
        <f>210.986+101.57+2.162</f>
        <v>314.71799999999996</v>
      </c>
      <c r="V24" s="699">
        <f>211.611+108.265+1.662</f>
        <v>321.53799999999995</v>
      </c>
      <c r="W24" s="679">
        <f t="shared" si="2"/>
        <v>2.1670193633665624</v>
      </c>
      <c r="X24" s="14" t="s">
        <v>89</v>
      </c>
    </row>
    <row r="25" spans="1:24" ht="12.75" customHeight="1">
      <c r="A25" s="12"/>
      <c r="B25" s="174" t="s">
        <v>69</v>
      </c>
      <c r="C25" s="687">
        <v>240</v>
      </c>
      <c r="D25" s="687">
        <v>1010</v>
      </c>
      <c r="E25" s="688">
        <v>1944</v>
      </c>
      <c r="F25" s="688">
        <v>2020</v>
      </c>
      <c r="G25" s="688">
        <v>2058</v>
      </c>
      <c r="H25" s="191">
        <v>2093.529</v>
      </c>
      <c r="I25" s="191">
        <v>2178.891</v>
      </c>
      <c r="J25" s="191">
        <v>2244.946</v>
      </c>
      <c r="K25" s="191">
        <v>2265.18</v>
      </c>
      <c r="L25" s="191">
        <v>2297.964</v>
      </c>
      <c r="M25" s="191">
        <v>2218.124</v>
      </c>
      <c r="N25" s="191">
        <v>2255.526</v>
      </c>
      <c r="O25" s="191">
        <v>2364.706</v>
      </c>
      <c r="P25" s="191">
        <v>2482.827</v>
      </c>
      <c r="Q25" s="191">
        <v>2629.526</v>
      </c>
      <c r="R25" s="191">
        <v>2777.219</v>
      </c>
      <c r="S25" s="688">
        <v>2828.433</v>
      </c>
      <c r="T25" s="688">
        <v>2888.735</v>
      </c>
      <c r="U25" s="688">
        <v>2953.737</v>
      </c>
      <c r="V25" s="698">
        <v>3012.165</v>
      </c>
      <c r="W25" s="680">
        <f t="shared" si="2"/>
        <v>1.9781043471371884</v>
      </c>
      <c r="X25" s="174" t="s">
        <v>69</v>
      </c>
    </row>
    <row r="26" spans="1:24" ht="12.75" customHeight="1">
      <c r="A26" s="12"/>
      <c r="B26" s="14" t="s">
        <v>72</v>
      </c>
      <c r="C26" s="663" t="s">
        <v>95</v>
      </c>
      <c r="D26" s="663" t="s">
        <v>95</v>
      </c>
      <c r="E26" s="667">
        <v>120</v>
      </c>
      <c r="F26" s="664">
        <v>122</v>
      </c>
      <c r="G26" s="664">
        <v>125</v>
      </c>
      <c r="H26" s="91">
        <v>152.613</v>
      </c>
      <c r="I26" s="91">
        <v>170.635</v>
      </c>
      <c r="J26" s="91">
        <v>180.851</v>
      </c>
      <c r="K26" s="91">
        <v>182</v>
      </c>
      <c r="L26" s="666">
        <f>177.651+6.123</f>
        <v>183.774</v>
      </c>
      <c r="M26" s="91">
        <f>0.863+169.542+4.136+0.245</f>
        <v>174.786</v>
      </c>
      <c r="N26" s="91">
        <f>0.966+176.264+4.777+0.245</f>
        <v>182.252</v>
      </c>
      <c r="O26" s="91">
        <f>1.034+182.105+5.738+0.246</f>
        <v>189.123</v>
      </c>
      <c r="P26" s="91">
        <f>1.116+188.495+5.521+0.247</f>
        <v>195.37900000000002</v>
      </c>
      <c r="Q26" s="91">
        <f>1.165+195.055+5.454+0.247</f>
        <v>201.92100000000002</v>
      </c>
      <c r="R26" s="91">
        <f>1.194+201.924+5.447+0.247</f>
        <v>208.812</v>
      </c>
      <c r="S26" s="664">
        <f>1.19+204.702+5.245+0.246</f>
        <v>211.383</v>
      </c>
      <c r="T26" s="664">
        <f>1.133+206.148+5.034+0.246</f>
        <v>212.561</v>
      </c>
      <c r="U26" s="668">
        <f>1.123+211.84+4.943+0.247</f>
        <v>218.15300000000002</v>
      </c>
      <c r="V26" s="700">
        <f>1.136+218.429+5.083+0.248</f>
        <v>224.896</v>
      </c>
      <c r="W26" s="679">
        <f t="shared" si="2"/>
        <v>3.0909499296365217</v>
      </c>
      <c r="X26" s="14" t="s">
        <v>72</v>
      </c>
    </row>
    <row r="27" spans="1:24" ht="12.75" customHeight="1">
      <c r="A27" s="12"/>
      <c r="B27" s="175" t="s">
        <v>80</v>
      </c>
      <c r="C27" s="687">
        <v>2564</v>
      </c>
      <c r="D27" s="687">
        <v>4550</v>
      </c>
      <c r="E27" s="688">
        <v>5509.173</v>
      </c>
      <c r="F27" s="688">
        <v>5554</v>
      </c>
      <c r="G27" s="688">
        <v>5658</v>
      </c>
      <c r="H27" s="191">
        <v>5755</v>
      </c>
      <c r="I27" s="191">
        <v>5884</v>
      </c>
      <c r="J27" s="191">
        <v>5633</v>
      </c>
      <c r="K27" s="191">
        <v>5740</v>
      </c>
      <c r="L27" s="191">
        <v>5931.387</v>
      </c>
      <c r="M27" s="191">
        <v>6119.581</v>
      </c>
      <c r="N27" s="191">
        <v>6343.195</v>
      </c>
      <c r="O27" s="191">
        <v>6539.212</v>
      </c>
      <c r="P27" s="191">
        <v>6710.602</v>
      </c>
      <c r="Q27" s="191">
        <v>6854.743</v>
      </c>
      <c r="R27" s="191">
        <v>6908.473</v>
      </c>
      <c r="S27" s="688">
        <v>6991.991</v>
      </c>
      <c r="T27" s="688">
        <v>7092.293</v>
      </c>
      <c r="U27" s="688">
        <v>7230.178</v>
      </c>
      <c r="V27" s="698">
        <v>7391.903</v>
      </c>
      <c r="W27" s="680">
        <f t="shared" si="2"/>
        <v>2.2368052349472034</v>
      </c>
      <c r="X27" s="175" t="s">
        <v>80</v>
      </c>
    </row>
    <row r="28" spans="1:24" ht="12.75" customHeight="1">
      <c r="A28" s="12"/>
      <c r="B28" s="14" t="s">
        <v>90</v>
      </c>
      <c r="C28" s="663">
        <v>1197</v>
      </c>
      <c r="D28" s="663">
        <v>2247</v>
      </c>
      <c r="E28" s="664">
        <v>2991</v>
      </c>
      <c r="F28" s="664">
        <v>3100</v>
      </c>
      <c r="G28" s="664">
        <v>3245</v>
      </c>
      <c r="H28" s="91">
        <v>3367.626</v>
      </c>
      <c r="I28" s="91">
        <v>3479.595</v>
      </c>
      <c r="J28" s="91">
        <v>3593.588</v>
      </c>
      <c r="K28" s="91">
        <v>3690.692</v>
      </c>
      <c r="L28" s="91">
        <v>3782.543</v>
      </c>
      <c r="M28" s="91">
        <v>3887.174</v>
      </c>
      <c r="N28" s="91">
        <v>4009.604</v>
      </c>
      <c r="O28" s="91">
        <v>4097.145</v>
      </c>
      <c r="P28" s="666">
        <v>4182.027</v>
      </c>
      <c r="Q28" s="91">
        <v>3987.093</v>
      </c>
      <c r="R28" s="91">
        <v>4054.308</v>
      </c>
      <c r="S28" s="664">
        <v>4109.129</v>
      </c>
      <c r="T28" s="664">
        <v>4156.743</v>
      </c>
      <c r="U28" s="664">
        <v>4204.969</v>
      </c>
      <c r="V28" s="699">
        <v>4245.583</v>
      </c>
      <c r="W28" s="679">
        <f t="shared" si="2"/>
        <v>0.9658572988290759</v>
      </c>
      <c r="X28" s="14" t="s">
        <v>90</v>
      </c>
    </row>
    <row r="29" spans="1:24" ht="12.75" customHeight="1">
      <c r="A29" s="12"/>
      <c r="B29" s="174" t="s">
        <v>73</v>
      </c>
      <c r="C29" s="687">
        <v>479</v>
      </c>
      <c r="D29" s="687">
        <v>2380</v>
      </c>
      <c r="E29" s="688">
        <v>5261</v>
      </c>
      <c r="F29" s="688">
        <v>6110</v>
      </c>
      <c r="G29" s="688">
        <v>6505</v>
      </c>
      <c r="H29" s="191">
        <v>6770.557</v>
      </c>
      <c r="I29" s="191">
        <v>7153.141</v>
      </c>
      <c r="J29" s="191">
        <v>7517.266</v>
      </c>
      <c r="K29" s="191">
        <v>8054.448</v>
      </c>
      <c r="L29" s="191">
        <v>8533.449</v>
      </c>
      <c r="M29" s="191">
        <v>8890.763</v>
      </c>
      <c r="N29" s="191">
        <v>9282.9</v>
      </c>
      <c r="O29" s="191">
        <v>9991.3</v>
      </c>
      <c r="P29" s="191">
        <v>10503.1</v>
      </c>
      <c r="Q29" s="191">
        <v>11028.9</v>
      </c>
      <c r="R29" s="191">
        <v>11243.8</v>
      </c>
      <c r="S29" s="688">
        <v>11975.191</v>
      </c>
      <c r="T29" s="688">
        <v>12339.353</v>
      </c>
      <c r="U29" s="688">
        <v>13384.229</v>
      </c>
      <c r="V29" s="698">
        <v>14588.739</v>
      </c>
      <c r="W29" s="680">
        <f t="shared" si="2"/>
        <v>8.999472438793443</v>
      </c>
      <c r="X29" s="174" t="s">
        <v>73</v>
      </c>
    </row>
    <row r="30" spans="1:24" ht="12.75" customHeight="1">
      <c r="A30" s="12"/>
      <c r="B30" s="14" t="s">
        <v>91</v>
      </c>
      <c r="C30" s="663">
        <v>421</v>
      </c>
      <c r="D30" s="663">
        <v>1269</v>
      </c>
      <c r="E30" s="667">
        <v>1700</v>
      </c>
      <c r="F30" s="667">
        <v>1800</v>
      </c>
      <c r="G30" s="667">
        <v>2000</v>
      </c>
      <c r="H30" s="194">
        <v>2250</v>
      </c>
      <c r="I30" s="194">
        <v>2410</v>
      </c>
      <c r="J30" s="91">
        <v>2560</v>
      </c>
      <c r="K30" s="91">
        <v>2750</v>
      </c>
      <c r="L30" s="91">
        <v>2950</v>
      </c>
      <c r="M30" s="91">
        <v>3150</v>
      </c>
      <c r="N30" s="91">
        <v>3350</v>
      </c>
      <c r="O30" s="91">
        <v>3443</v>
      </c>
      <c r="P30" s="91">
        <v>3589</v>
      </c>
      <c r="Q30" s="91">
        <v>3885</v>
      </c>
      <c r="R30" s="91">
        <v>3966</v>
      </c>
      <c r="S30" s="664">
        <v>4100</v>
      </c>
      <c r="T30" s="664">
        <v>4200</v>
      </c>
      <c r="U30" s="664">
        <v>4290</v>
      </c>
      <c r="V30" s="699">
        <v>4379</v>
      </c>
      <c r="W30" s="679">
        <f t="shared" si="2"/>
        <v>2.0745920745920854</v>
      </c>
      <c r="X30" s="14" t="s">
        <v>91</v>
      </c>
    </row>
    <row r="31" spans="1:24" ht="12.75" customHeight="1">
      <c r="A31" s="12"/>
      <c r="B31" s="174" t="s">
        <v>74</v>
      </c>
      <c r="C31" s="687">
        <v>40</v>
      </c>
      <c r="D31" s="687">
        <v>240</v>
      </c>
      <c r="E31" s="688">
        <v>1292.283</v>
      </c>
      <c r="F31" s="688">
        <v>1431.566</v>
      </c>
      <c r="G31" s="688">
        <v>1593.029</v>
      </c>
      <c r="H31" s="191">
        <v>1793.054</v>
      </c>
      <c r="I31" s="191">
        <v>2020.017</v>
      </c>
      <c r="J31" s="191">
        <v>2197.477</v>
      </c>
      <c r="K31" s="191">
        <v>2326.177</v>
      </c>
      <c r="L31" s="191">
        <v>2447.087</v>
      </c>
      <c r="M31" s="191">
        <v>2594.571</v>
      </c>
      <c r="N31" s="191">
        <v>2702.021</v>
      </c>
      <c r="O31" s="191">
        <v>2777.594</v>
      </c>
      <c r="P31" s="191">
        <v>2881.191</v>
      </c>
      <c r="Q31" s="191">
        <v>2973.39</v>
      </c>
      <c r="R31" s="191">
        <v>3087.628</v>
      </c>
      <c r="S31" s="688">
        <v>3225.367</v>
      </c>
      <c r="T31" s="688">
        <v>3363.779</v>
      </c>
      <c r="U31" s="691">
        <v>3603.437</v>
      </c>
      <c r="V31" s="688">
        <v>3541.262</v>
      </c>
      <c r="W31" s="680">
        <f t="shared" si="2"/>
        <v>-1.7254360212208386</v>
      </c>
      <c r="X31" s="174" t="s">
        <v>74</v>
      </c>
    </row>
    <row r="32" spans="1:24" s="189" customFormat="1" ht="12.75" customHeight="1">
      <c r="A32" s="12"/>
      <c r="B32" s="188" t="s">
        <v>76</v>
      </c>
      <c r="C32" s="663">
        <v>150.807</v>
      </c>
      <c r="D32" s="663">
        <v>416.448</v>
      </c>
      <c r="E32" s="664">
        <v>587.104</v>
      </c>
      <c r="F32" s="664">
        <v>602.884</v>
      </c>
      <c r="G32" s="664">
        <v>606.245</v>
      </c>
      <c r="H32" s="91">
        <v>650.344</v>
      </c>
      <c r="I32" s="91">
        <v>668.307</v>
      </c>
      <c r="J32" s="91">
        <v>711.364</v>
      </c>
      <c r="K32" s="91">
        <v>743.057</v>
      </c>
      <c r="L32" s="91">
        <v>776.798</v>
      </c>
      <c r="M32" s="91">
        <v>811.671</v>
      </c>
      <c r="N32" s="91">
        <v>846.109</v>
      </c>
      <c r="O32" s="91">
        <v>866.096</v>
      </c>
      <c r="P32" s="91">
        <v>881.487</v>
      </c>
      <c r="Q32" s="91">
        <v>894.521</v>
      </c>
      <c r="R32" s="91">
        <v>910.429</v>
      </c>
      <c r="S32" s="664">
        <v>933.941</v>
      </c>
      <c r="T32" s="664">
        <v>960.213</v>
      </c>
      <c r="U32" s="664">
        <v>980.261</v>
      </c>
      <c r="V32" s="699">
        <v>1014.122</v>
      </c>
      <c r="W32" s="679">
        <f t="shared" si="2"/>
        <v>3.4542841141287806</v>
      </c>
      <c r="X32" s="188" t="s">
        <v>76</v>
      </c>
    </row>
    <row r="33" spans="1:24" ht="12.75" customHeight="1">
      <c r="A33" s="12"/>
      <c r="B33" s="174" t="s">
        <v>75</v>
      </c>
      <c r="C33" s="687">
        <v>164</v>
      </c>
      <c r="D33" s="687">
        <v>552</v>
      </c>
      <c r="E33" s="688">
        <v>880</v>
      </c>
      <c r="F33" s="688">
        <v>929</v>
      </c>
      <c r="G33" s="688">
        <v>971</v>
      </c>
      <c r="H33" s="191">
        <v>994.933</v>
      </c>
      <c r="I33" s="191">
        <v>994.046</v>
      </c>
      <c r="J33" s="191">
        <v>1015.794</v>
      </c>
      <c r="K33" s="191">
        <v>1058.425</v>
      </c>
      <c r="L33" s="191">
        <v>1135.914</v>
      </c>
      <c r="M33" s="191">
        <v>1196.109</v>
      </c>
      <c r="N33" s="191">
        <v>1236.4</v>
      </c>
      <c r="O33" s="191">
        <v>1274.2</v>
      </c>
      <c r="P33" s="191">
        <v>1292.8</v>
      </c>
      <c r="Q33" s="191">
        <v>1326.9</v>
      </c>
      <c r="R33" s="689">
        <v>1356.2</v>
      </c>
      <c r="S33" s="688">
        <v>1197.03</v>
      </c>
      <c r="T33" s="688">
        <v>1303.704</v>
      </c>
      <c r="U33" s="688">
        <v>1333.749</v>
      </c>
      <c r="V33" s="698">
        <v>1433.926</v>
      </c>
      <c r="W33" s="680">
        <f t="shared" si="2"/>
        <v>7.510933466491809</v>
      </c>
      <c r="X33" s="174" t="s">
        <v>75</v>
      </c>
    </row>
    <row r="34" spans="1:24" ht="12.75" customHeight="1">
      <c r="A34" s="12"/>
      <c r="B34" s="14" t="s">
        <v>92</v>
      </c>
      <c r="C34" s="663">
        <v>712</v>
      </c>
      <c r="D34" s="663">
        <v>1226</v>
      </c>
      <c r="E34" s="664">
        <v>1938.856</v>
      </c>
      <c r="F34" s="664">
        <v>1923</v>
      </c>
      <c r="G34" s="664">
        <v>1936</v>
      </c>
      <c r="H34" s="91">
        <v>1872.933</v>
      </c>
      <c r="I34" s="91">
        <v>1872.588</v>
      </c>
      <c r="J34" s="91">
        <v>1900.855</v>
      </c>
      <c r="K34" s="91">
        <v>1942.752</v>
      </c>
      <c r="L34" s="91">
        <v>1948.126</v>
      </c>
      <c r="M34" s="91">
        <v>2021.116</v>
      </c>
      <c r="N34" s="91">
        <v>2082.58</v>
      </c>
      <c r="O34" s="91">
        <v>2134.728</v>
      </c>
      <c r="P34" s="91">
        <v>2160.603</v>
      </c>
      <c r="Q34" s="91">
        <v>2194.683</v>
      </c>
      <c r="R34" s="91">
        <v>2274.577</v>
      </c>
      <c r="S34" s="664">
        <v>2346.726</v>
      </c>
      <c r="T34" s="664">
        <v>2430.345</v>
      </c>
      <c r="U34" s="664">
        <v>2505.543</v>
      </c>
      <c r="V34" s="699">
        <v>2570.356</v>
      </c>
      <c r="W34" s="679">
        <f t="shared" si="2"/>
        <v>2.586784581226498</v>
      </c>
      <c r="X34" s="14" t="s">
        <v>92</v>
      </c>
    </row>
    <row r="35" spans="1:24" ht="12.75" customHeight="1">
      <c r="A35" s="12"/>
      <c r="B35" s="174" t="s">
        <v>93</v>
      </c>
      <c r="C35" s="687">
        <v>2288</v>
      </c>
      <c r="D35" s="687">
        <v>2883</v>
      </c>
      <c r="E35" s="688">
        <v>3601</v>
      </c>
      <c r="F35" s="688">
        <v>3619</v>
      </c>
      <c r="G35" s="688">
        <v>3589</v>
      </c>
      <c r="H35" s="191">
        <v>3566.1</v>
      </c>
      <c r="I35" s="191">
        <v>3594.2</v>
      </c>
      <c r="J35" s="191">
        <v>3630.76</v>
      </c>
      <c r="K35" s="191">
        <v>3654.92</v>
      </c>
      <c r="L35" s="191">
        <v>3701.17</v>
      </c>
      <c r="M35" s="191">
        <v>3790.695</v>
      </c>
      <c r="N35" s="191">
        <v>3890.159</v>
      </c>
      <c r="O35" s="191">
        <v>3998.614</v>
      </c>
      <c r="P35" s="191">
        <v>4018.533</v>
      </c>
      <c r="Q35" s="191">
        <v>4042.792</v>
      </c>
      <c r="R35" s="191">
        <v>4075.414</v>
      </c>
      <c r="S35" s="191">
        <v>4113.424</v>
      </c>
      <c r="T35" s="191">
        <v>4153.674</v>
      </c>
      <c r="U35" s="191">
        <v>4202.463</v>
      </c>
      <c r="V35" s="698">
        <v>4258.463</v>
      </c>
      <c r="W35" s="680">
        <f t="shared" si="2"/>
        <v>1.332551886833988</v>
      </c>
      <c r="X35" s="174" t="s">
        <v>93</v>
      </c>
    </row>
    <row r="36" spans="1:24" ht="12.75" customHeight="1">
      <c r="A36" s="12"/>
      <c r="B36" s="15" t="s">
        <v>81</v>
      </c>
      <c r="C36" s="701">
        <v>11900</v>
      </c>
      <c r="D36" s="701">
        <v>15619</v>
      </c>
      <c r="E36" s="702">
        <v>20722</v>
      </c>
      <c r="F36" s="702">
        <v>20760</v>
      </c>
      <c r="G36" s="703">
        <v>20970</v>
      </c>
      <c r="H36" s="97">
        <v>21290.696</v>
      </c>
      <c r="I36" s="97">
        <v>21740.709</v>
      </c>
      <c r="J36" s="97">
        <v>21950.81</v>
      </c>
      <c r="K36" s="97">
        <v>22818.718</v>
      </c>
      <c r="L36" s="97">
        <v>23450</v>
      </c>
      <c r="M36" s="97">
        <f>23293+36+592.836+0.393</f>
        <v>23922.229</v>
      </c>
      <c r="N36" s="97">
        <f>23975+37+615.567+0.375</f>
        <v>24627.942</v>
      </c>
      <c r="O36" s="97">
        <f>24406+38+622.488+0.376</f>
        <v>25066.864</v>
      </c>
      <c r="P36" s="97">
        <f>25126+39+650.323+0.379</f>
        <v>25815.702</v>
      </c>
      <c r="Q36" s="97">
        <f>25782+39+671.18+0.413</f>
        <v>26492.593</v>
      </c>
      <c r="R36" s="97">
        <f>26240+39+712.835+0.513</f>
        <v>26992.347999999998</v>
      </c>
      <c r="S36" s="702">
        <f>27028+41+736.706+0.538</f>
        <v>27806.244</v>
      </c>
      <c r="T36" s="702">
        <f>27520+42+763.664+0.633</f>
        <v>28326.297000000002</v>
      </c>
      <c r="U36" s="702">
        <f>27830+43+793.763+0.698</f>
        <v>28667.461</v>
      </c>
      <c r="V36" s="704">
        <f>28228+44+828.31+0.709</f>
        <v>29101.019</v>
      </c>
      <c r="W36" s="681">
        <f t="shared" si="2"/>
        <v>1.5123697211971487</v>
      </c>
      <c r="X36" s="15" t="s">
        <v>81</v>
      </c>
    </row>
    <row r="37" spans="1:24" ht="12.75" customHeight="1">
      <c r="A37" s="12"/>
      <c r="B37" s="174" t="s">
        <v>97</v>
      </c>
      <c r="C37" s="687" t="s">
        <v>95</v>
      </c>
      <c r="D37" s="687" t="s">
        <v>95</v>
      </c>
      <c r="E37" s="688" t="s">
        <v>95</v>
      </c>
      <c r="F37" s="688" t="s">
        <v>95</v>
      </c>
      <c r="G37" s="688" t="s">
        <v>95</v>
      </c>
      <c r="H37" s="191">
        <v>646.21</v>
      </c>
      <c r="I37" s="191">
        <v>698.391</v>
      </c>
      <c r="J37" s="191">
        <v>710.91</v>
      </c>
      <c r="K37" s="191">
        <v>835.714</v>
      </c>
      <c r="L37" s="191">
        <v>932.278</v>
      </c>
      <c r="M37" s="191">
        <v>1000.052</v>
      </c>
      <c r="N37" s="191">
        <v>1063.546</v>
      </c>
      <c r="O37" s="191">
        <v>1124.825</v>
      </c>
      <c r="P37" s="191">
        <v>1195.45</v>
      </c>
      <c r="Q37" s="191">
        <v>1244.252</v>
      </c>
      <c r="R37" s="191">
        <v>1293.421</v>
      </c>
      <c r="S37" s="688">
        <v>1337.538</v>
      </c>
      <c r="T37" s="688">
        <v>1384.699</v>
      </c>
      <c r="U37" s="688">
        <v>1435.781</v>
      </c>
      <c r="V37" s="688">
        <v>1491.127</v>
      </c>
      <c r="W37" s="680">
        <f t="shared" si="2"/>
        <v>3.854766151662403</v>
      </c>
      <c r="X37" s="174" t="s">
        <v>97</v>
      </c>
    </row>
    <row r="38" spans="1:24" ht="12.75" customHeight="1">
      <c r="A38" s="12"/>
      <c r="B38" s="14" t="s">
        <v>1</v>
      </c>
      <c r="C38" s="663"/>
      <c r="D38" s="663"/>
      <c r="E38" s="664"/>
      <c r="F38" s="664"/>
      <c r="G38" s="664"/>
      <c r="H38" s="91">
        <v>289.979</v>
      </c>
      <c r="I38" s="91">
        <v>263.181</v>
      </c>
      <c r="J38" s="91">
        <v>285.907</v>
      </c>
      <c r="K38" s="91">
        <v>284.022</v>
      </c>
      <c r="L38" s="91">
        <v>289.204</v>
      </c>
      <c r="M38" s="91">
        <v>288.678</v>
      </c>
      <c r="N38" s="91">
        <v>290</v>
      </c>
      <c r="O38" s="91">
        <v>300</v>
      </c>
      <c r="P38" s="91">
        <v>310</v>
      </c>
      <c r="Q38" s="91">
        <v>308</v>
      </c>
      <c r="R38" s="666">
        <v>300</v>
      </c>
      <c r="S38" s="194">
        <v>245</v>
      </c>
      <c r="T38" s="91">
        <v>253.2</v>
      </c>
      <c r="U38" s="91">
        <v>242</v>
      </c>
      <c r="V38" s="194">
        <v>250</v>
      </c>
      <c r="W38" s="705">
        <f t="shared" si="2"/>
        <v>3.305785123966931</v>
      </c>
      <c r="X38" s="14" t="s">
        <v>1</v>
      </c>
    </row>
    <row r="39" spans="1:24" ht="12.75" customHeight="1">
      <c r="A39" s="12"/>
      <c r="B39" s="176" t="s">
        <v>77</v>
      </c>
      <c r="C39" s="692" t="s">
        <v>95</v>
      </c>
      <c r="D39" s="692" t="s">
        <v>95</v>
      </c>
      <c r="E39" s="693" t="s">
        <v>95</v>
      </c>
      <c r="F39" s="693" t="s">
        <v>95</v>
      </c>
      <c r="G39" s="693" t="s">
        <v>95</v>
      </c>
      <c r="H39" s="192">
        <v>2619.852</v>
      </c>
      <c r="I39" s="192">
        <v>2861.64</v>
      </c>
      <c r="J39" s="192">
        <v>3058.5110000000004</v>
      </c>
      <c r="K39" s="192">
        <v>3274.156</v>
      </c>
      <c r="L39" s="192">
        <v>3570.105</v>
      </c>
      <c r="M39" s="192">
        <v>3838.288</v>
      </c>
      <c r="N39" s="192">
        <v>4072.326</v>
      </c>
      <c r="O39" s="192">
        <v>4422.18</v>
      </c>
      <c r="P39" s="192">
        <v>4534.803</v>
      </c>
      <c r="Q39" s="693">
        <v>4600.14</v>
      </c>
      <c r="R39" s="693">
        <v>4700.343</v>
      </c>
      <c r="S39" s="693">
        <v>5400.44</v>
      </c>
      <c r="T39" s="693">
        <v>5772.745</v>
      </c>
      <c r="U39" s="693">
        <v>6140.992</v>
      </c>
      <c r="V39" s="693">
        <v>6472.156</v>
      </c>
      <c r="W39" s="682">
        <f t="shared" si="2"/>
        <v>5.39267922837221</v>
      </c>
      <c r="X39" s="176" t="s">
        <v>77</v>
      </c>
    </row>
    <row r="40" spans="1:24" ht="12.75" customHeight="1">
      <c r="A40" s="12"/>
      <c r="B40" s="188" t="s">
        <v>63</v>
      </c>
      <c r="C40" s="669">
        <v>40.786</v>
      </c>
      <c r="D40" s="669">
        <v>85.924</v>
      </c>
      <c r="E40" s="670">
        <v>119.731</v>
      </c>
      <c r="F40" s="670">
        <v>120.862</v>
      </c>
      <c r="G40" s="670">
        <v>120.146</v>
      </c>
      <c r="H40" s="670">
        <v>116.195</v>
      </c>
      <c r="I40" s="670">
        <v>116.243</v>
      </c>
      <c r="J40" s="670">
        <v>119.232</v>
      </c>
      <c r="K40" s="670">
        <v>124.909</v>
      </c>
      <c r="L40" s="670">
        <v>132.468</v>
      </c>
      <c r="M40" s="670">
        <v>140.372</v>
      </c>
      <c r="N40" s="670">
        <v>151.409</v>
      </c>
      <c r="O40" s="670">
        <v>158.936</v>
      </c>
      <c r="P40" s="670">
        <v>159.865</v>
      </c>
      <c r="Q40" s="670">
        <v>161.721</v>
      </c>
      <c r="R40" s="670">
        <v>166.869</v>
      </c>
      <c r="S40" s="670">
        <v>175.427</v>
      </c>
      <c r="T40" s="670">
        <v>187.442</v>
      </c>
      <c r="U40" s="670">
        <v>197.305</v>
      </c>
      <c r="V40" s="670">
        <v>209.456</v>
      </c>
      <c r="W40" s="679">
        <f t="shared" si="2"/>
        <v>6.158485593370666</v>
      </c>
      <c r="X40" s="673" t="s">
        <v>63</v>
      </c>
    </row>
    <row r="41" spans="1:24" ht="12.75" customHeight="1">
      <c r="A41" s="12"/>
      <c r="B41" s="174" t="s">
        <v>94</v>
      </c>
      <c r="C41" s="687">
        <v>690</v>
      </c>
      <c r="D41" s="687">
        <v>1230</v>
      </c>
      <c r="E41" s="688">
        <v>1613.037</v>
      </c>
      <c r="F41" s="688">
        <v>1614.623</v>
      </c>
      <c r="G41" s="688">
        <v>1619.438</v>
      </c>
      <c r="H41" s="688">
        <v>1633.088</v>
      </c>
      <c r="I41" s="688">
        <v>1653.678</v>
      </c>
      <c r="J41" s="688">
        <v>1684.664</v>
      </c>
      <c r="K41" s="688">
        <v>1661.247</v>
      </c>
      <c r="L41" s="688">
        <v>1758.001</v>
      </c>
      <c r="M41" s="688">
        <v>1786.404</v>
      </c>
      <c r="N41" s="688">
        <v>1813.642</v>
      </c>
      <c r="O41" s="688">
        <v>1851.929</v>
      </c>
      <c r="P41" s="688">
        <v>1872.862</v>
      </c>
      <c r="Q41" s="688">
        <v>1899.767</v>
      </c>
      <c r="R41" s="688">
        <v>1933.66</v>
      </c>
      <c r="S41" s="688">
        <v>1977.922</v>
      </c>
      <c r="T41" s="688">
        <v>2028.909</v>
      </c>
      <c r="U41" s="688">
        <v>2084.193</v>
      </c>
      <c r="V41" s="688">
        <v>2154.837</v>
      </c>
      <c r="W41" s="680">
        <f t="shared" si="2"/>
        <v>3.389513351210738</v>
      </c>
      <c r="X41" s="174" t="s">
        <v>94</v>
      </c>
    </row>
    <row r="42" spans="1:24" ht="12.75" customHeight="1">
      <c r="A42" s="12"/>
      <c r="B42" s="14" t="s">
        <v>64</v>
      </c>
      <c r="C42" s="671">
        <v>1383.204</v>
      </c>
      <c r="D42" s="671">
        <v>2246.752</v>
      </c>
      <c r="E42" s="672">
        <v>2985.397</v>
      </c>
      <c r="F42" s="672">
        <v>3057.798</v>
      </c>
      <c r="G42" s="672">
        <v>3091.228</v>
      </c>
      <c r="H42" s="672">
        <v>3109.523</v>
      </c>
      <c r="I42" s="672">
        <v>3165.042</v>
      </c>
      <c r="J42" s="672">
        <v>3229.176</v>
      </c>
      <c r="K42" s="672">
        <v>3268.093</v>
      </c>
      <c r="L42" s="672">
        <v>3323.455</v>
      </c>
      <c r="M42" s="672">
        <v>3383.307</v>
      </c>
      <c r="N42" s="672">
        <v>3467.311</v>
      </c>
      <c r="O42" s="672">
        <v>3545.247</v>
      </c>
      <c r="P42" s="672">
        <v>3629.713</v>
      </c>
      <c r="Q42" s="672">
        <v>3700.951</v>
      </c>
      <c r="R42" s="672">
        <v>3753.89</v>
      </c>
      <c r="S42" s="672">
        <v>3811.351</v>
      </c>
      <c r="T42" s="672">
        <v>3861.442</v>
      </c>
      <c r="U42" s="672">
        <v>3900.014</v>
      </c>
      <c r="V42" s="672">
        <v>3955.787</v>
      </c>
      <c r="W42" s="679">
        <f t="shared" si="2"/>
        <v>1.430071789485865</v>
      </c>
      <c r="X42" s="14" t="s">
        <v>64</v>
      </c>
    </row>
    <row r="43" spans="1:24" ht="12.75" customHeight="1">
      <c r="A43" s="12"/>
      <c r="B43" s="174" t="s">
        <v>125</v>
      </c>
      <c r="C43" s="687"/>
      <c r="D43" s="687"/>
      <c r="E43" s="688">
        <v>16.891</v>
      </c>
      <c r="F43" s="688">
        <v>17.328</v>
      </c>
      <c r="G43" s="688">
        <v>17.679</v>
      </c>
      <c r="H43" s="688">
        <v>17.767</v>
      </c>
      <c r="I43" s="688">
        <v>18.256</v>
      </c>
      <c r="J43" s="688">
        <v>18.82</v>
      </c>
      <c r="K43" s="688">
        <v>19.31</v>
      </c>
      <c r="L43" s="688">
        <v>19.926</v>
      </c>
      <c r="M43" s="688">
        <v>20.469</v>
      </c>
      <c r="N43" s="688">
        <v>21.15</v>
      </c>
      <c r="O43" s="688">
        <v>21.784</v>
      </c>
      <c r="P43" s="688">
        <v>22.626</v>
      </c>
      <c r="Q43" s="688">
        <v>23.265</v>
      </c>
      <c r="R43" s="688">
        <v>23.524</v>
      </c>
      <c r="S43" s="688">
        <v>23.935</v>
      </c>
      <c r="T43" s="693">
        <v>24.393</v>
      </c>
      <c r="U43" s="693">
        <v>24.293</v>
      </c>
      <c r="V43" s="693">
        <v>24.368</v>
      </c>
      <c r="W43" s="682">
        <f t="shared" si="2"/>
        <v>0.30873091013872145</v>
      </c>
      <c r="X43" s="176" t="s">
        <v>125</v>
      </c>
    </row>
    <row r="44" spans="2:23" ht="15" customHeight="1">
      <c r="B44" s="886" t="s">
        <v>191</v>
      </c>
      <c r="C44" s="887"/>
      <c r="D44" s="887"/>
      <c r="E44" s="887"/>
      <c r="F44" s="887"/>
      <c r="G44" s="887"/>
      <c r="H44" s="887"/>
      <c r="I44" s="887"/>
      <c r="J44" s="887"/>
      <c r="K44" s="887"/>
      <c r="L44" s="887"/>
      <c r="M44" s="887"/>
      <c r="N44" s="887"/>
      <c r="O44" s="887"/>
      <c r="P44" s="887"/>
      <c r="Q44" s="887"/>
      <c r="R44" s="887"/>
      <c r="S44" s="887"/>
      <c r="T44" s="887"/>
      <c r="U44" s="887"/>
      <c r="V44" s="887"/>
      <c r="W44" s="887"/>
    </row>
    <row r="45" spans="2:23" ht="11.25">
      <c r="B45" s="888" t="s">
        <v>224</v>
      </c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89"/>
      <c r="S45" s="889"/>
      <c r="T45" s="889"/>
      <c r="U45" s="889"/>
      <c r="V45" s="889"/>
      <c r="W45" s="889"/>
    </row>
  </sheetData>
  <mergeCells count="4">
    <mergeCell ref="B2:X2"/>
    <mergeCell ref="B3:X3"/>
    <mergeCell ref="B44:W44"/>
    <mergeCell ref="B45:W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X4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5" width="6.7109375" style="4" customWidth="1"/>
    <col min="6" max="9" width="6.7109375" style="4" hidden="1" customWidth="1"/>
    <col min="10" max="20" width="6.7109375" style="4" customWidth="1"/>
    <col min="21" max="22" width="7.28125" style="4" customWidth="1"/>
    <col min="23" max="23" width="6.28125" style="4" customWidth="1"/>
    <col min="24" max="24" width="4.00390625" style="4" customWidth="1"/>
    <col min="25" max="16384" width="9.140625" style="4" customWidth="1"/>
  </cols>
  <sheetData>
    <row r="1" spans="2:24" ht="14.25" customHeight="1">
      <c r="B1" s="881"/>
      <c r="C1" s="881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T1" s="76"/>
      <c r="X1" s="76" t="s">
        <v>101</v>
      </c>
    </row>
    <row r="2" spans="2:24" s="189" customFormat="1" ht="30" customHeight="1">
      <c r="B2" s="882" t="s">
        <v>19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</row>
    <row r="3" spans="2:24" ht="15" customHeight="1">
      <c r="B3" s="891" t="s">
        <v>226</v>
      </c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</row>
    <row r="4" spans="2:24" ht="12.75" customHeight="1">
      <c r="B4" s="5"/>
      <c r="C4" s="5"/>
      <c r="E4" s="34"/>
      <c r="F4" s="34"/>
      <c r="G4" s="34"/>
      <c r="H4" s="34"/>
      <c r="I4" s="34"/>
      <c r="J4" s="38"/>
      <c r="K4" s="38"/>
      <c r="L4" s="38"/>
      <c r="M4" s="38"/>
      <c r="N4" s="38"/>
      <c r="O4" s="38"/>
      <c r="V4" s="67" t="s">
        <v>6</v>
      </c>
      <c r="X4" s="83"/>
    </row>
    <row r="5" spans="2:24" ht="19.5" customHeight="1">
      <c r="B5" s="5"/>
      <c r="C5" s="685">
        <v>1970</v>
      </c>
      <c r="D5" s="685">
        <v>1980</v>
      </c>
      <c r="E5" s="444">
        <v>1990</v>
      </c>
      <c r="F5" s="444">
        <v>1991</v>
      </c>
      <c r="G5" s="444">
        <v>1992</v>
      </c>
      <c r="H5" s="444">
        <v>1993</v>
      </c>
      <c r="I5" s="444">
        <v>1994</v>
      </c>
      <c r="J5" s="444">
        <v>1995</v>
      </c>
      <c r="K5" s="444">
        <v>1996</v>
      </c>
      <c r="L5" s="444">
        <v>1997</v>
      </c>
      <c r="M5" s="444">
        <v>1998</v>
      </c>
      <c r="N5" s="444">
        <v>1999</v>
      </c>
      <c r="O5" s="444">
        <v>2000</v>
      </c>
      <c r="P5" s="444">
        <v>2001</v>
      </c>
      <c r="Q5" s="444">
        <v>2002</v>
      </c>
      <c r="R5" s="444">
        <v>2003</v>
      </c>
      <c r="S5" s="444">
        <v>2004</v>
      </c>
      <c r="T5" s="444">
        <v>2005</v>
      </c>
      <c r="U5" s="444">
        <v>2006</v>
      </c>
      <c r="V5" s="445">
        <v>2007</v>
      </c>
      <c r="W5" s="446" t="s">
        <v>219</v>
      </c>
      <c r="X5" s="10"/>
    </row>
    <row r="6" spans="2:24" ht="9.75" customHeight="1">
      <c r="B6" s="5"/>
      <c r="C6" s="724"/>
      <c r="D6" s="724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7"/>
      <c r="W6" s="442" t="s">
        <v>176</v>
      </c>
      <c r="X6" s="10"/>
    </row>
    <row r="7" spans="2:24" ht="12.75" customHeight="1">
      <c r="B7" s="177" t="s">
        <v>47</v>
      </c>
      <c r="C7" s="725"/>
      <c r="D7" s="725"/>
      <c r="E7" s="799">
        <f>SUM(E10:E36)</f>
        <v>738.1700000000001</v>
      </c>
      <c r="F7" s="390"/>
      <c r="G7" s="390"/>
      <c r="H7" s="390"/>
      <c r="I7" s="390"/>
      <c r="J7" s="390">
        <f>SUM(J10:J36)</f>
        <v>752.923</v>
      </c>
      <c r="K7" s="390">
        <f aca="true" t="shared" si="0" ref="K7:U7">SUM(K10:K36)</f>
        <v>756.6290000000001</v>
      </c>
      <c r="L7" s="390">
        <f t="shared" si="0"/>
        <v>754.73</v>
      </c>
      <c r="M7" s="390">
        <f t="shared" si="0"/>
        <v>757.402</v>
      </c>
      <c r="N7" s="390">
        <f t="shared" si="0"/>
        <v>765.1949999999998</v>
      </c>
      <c r="O7" s="390">
        <f t="shared" si="0"/>
        <v>776.8420000000001</v>
      </c>
      <c r="P7" s="390">
        <f t="shared" si="0"/>
        <v>784.0239999999999</v>
      </c>
      <c r="Q7" s="390">
        <f t="shared" si="0"/>
        <v>793.628</v>
      </c>
      <c r="R7" s="390">
        <f t="shared" si="0"/>
        <v>800.0519999999999</v>
      </c>
      <c r="S7" s="390">
        <f t="shared" si="0"/>
        <v>795.0030000000002</v>
      </c>
      <c r="T7" s="390">
        <f t="shared" si="0"/>
        <v>790.318</v>
      </c>
      <c r="U7" s="643">
        <f t="shared" si="0"/>
        <v>790.8740000000001</v>
      </c>
      <c r="V7" s="643">
        <f>SUM(V10:V36)</f>
        <v>797.5680000000001</v>
      </c>
      <c r="W7" s="676">
        <f aca="true" t="shared" si="1" ref="W7:W43">100*(V7/U7-1)</f>
        <v>0.8464053692497142</v>
      </c>
      <c r="X7" s="177" t="s">
        <v>47</v>
      </c>
    </row>
    <row r="8" spans="2:24" ht="12.75" customHeight="1">
      <c r="B8" s="174" t="s">
        <v>82</v>
      </c>
      <c r="C8" s="726">
        <f>SUM(C10,C13:C14,C16:C20,C24,C27:C28,C30,C34:C36)</f>
        <v>331.638</v>
      </c>
      <c r="D8" s="726">
        <f aca="true" t="shared" si="2" ref="D8:O8">SUM(D10,D13:D14,D16:D20,D24,D27:D28,D30,D34:D36)</f>
        <v>435.08299999999997</v>
      </c>
      <c r="E8" s="496">
        <f t="shared" si="2"/>
        <v>480.081</v>
      </c>
      <c r="F8" s="496">
        <f t="shared" si="2"/>
        <v>476.17300000000006</v>
      </c>
      <c r="G8" s="496">
        <f t="shared" si="2"/>
        <v>477.5940000000001</v>
      </c>
      <c r="H8" s="496">
        <f t="shared" si="2"/>
        <v>481.74099999999993</v>
      </c>
      <c r="I8" s="391">
        <f t="shared" si="2"/>
        <v>481.918</v>
      </c>
      <c r="J8" s="391">
        <f t="shared" si="2"/>
        <v>483.66799999999995</v>
      </c>
      <c r="K8" s="391">
        <f t="shared" si="2"/>
        <v>491.79799999999994</v>
      </c>
      <c r="L8" s="391">
        <f t="shared" si="2"/>
        <v>493.44199999999995</v>
      </c>
      <c r="M8" s="391">
        <f t="shared" si="2"/>
        <v>503.5</v>
      </c>
      <c r="N8" s="391">
        <f t="shared" si="2"/>
        <v>514.2429999999999</v>
      </c>
      <c r="O8" s="391">
        <f t="shared" si="2"/>
        <v>523.2959999999999</v>
      </c>
      <c r="P8" s="391">
        <f aca="true" t="shared" si="3" ref="P8:U8">SUM(P10,P13:P14,P16:P20,P24,P27:P28,P30,P34:P36)</f>
        <v>530.802</v>
      </c>
      <c r="Q8" s="391">
        <f t="shared" si="3"/>
        <v>536.439</v>
      </c>
      <c r="R8" s="391">
        <f t="shared" si="3"/>
        <v>542.2370000000001</v>
      </c>
      <c r="S8" s="391">
        <f t="shared" si="3"/>
        <v>547.993</v>
      </c>
      <c r="T8" s="391">
        <f t="shared" si="3"/>
        <v>548.4979999999999</v>
      </c>
      <c r="U8" s="644">
        <f t="shared" si="3"/>
        <v>558.311</v>
      </c>
      <c r="V8" s="644">
        <f>SUM(V10,V13:V14,V16:V20,V24,V27:V28,V30,V34:V36)</f>
        <v>566.136</v>
      </c>
      <c r="W8" s="677">
        <f t="shared" si="1"/>
        <v>1.401548599257385</v>
      </c>
      <c r="X8" s="174" t="s">
        <v>82</v>
      </c>
    </row>
    <row r="9" spans="2:24" ht="12.75" customHeight="1">
      <c r="B9" s="176" t="s">
        <v>175</v>
      </c>
      <c r="C9" s="726"/>
      <c r="D9" s="726"/>
      <c r="E9" s="391">
        <f aca="true" t="shared" si="4" ref="E9:N9">SUM(E11,E12,E15,E21,E22,E23,E25,E26,E29,E31,E32,E33)</f>
        <v>258.089</v>
      </c>
      <c r="F9" s="391"/>
      <c r="G9" s="391"/>
      <c r="H9" s="391"/>
      <c r="I9" s="391"/>
      <c r="J9" s="391">
        <f t="shared" si="4"/>
        <v>269.255</v>
      </c>
      <c r="K9" s="391">
        <f t="shared" si="4"/>
        <v>264.831</v>
      </c>
      <c r="L9" s="391">
        <f t="shared" si="4"/>
        <v>261.288</v>
      </c>
      <c r="M9" s="391">
        <f t="shared" si="4"/>
        <v>253.902</v>
      </c>
      <c r="N9" s="391">
        <f t="shared" si="4"/>
        <v>250.952</v>
      </c>
      <c r="O9" s="391">
        <f aca="true" t="shared" si="5" ref="O9:U9">SUM(O11,O12,O15,O21,O22,O23,O25,O26,O29,O31,O32,O33)</f>
        <v>253.54600000000002</v>
      </c>
      <c r="P9" s="391">
        <f t="shared" si="5"/>
        <v>253.222</v>
      </c>
      <c r="Q9" s="391">
        <f t="shared" si="5"/>
        <v>257.189</v>
      </c>
      <c r="R9" s="391">
        <f t="shared" si="5"/>
        <v>257.815</v>
      </c>
      <c r="S9" s="391">
        <f t="shared" si="5"/>
        <v>247.01</v>
      </c>
      <c r="T9" s="391">
        <f t="shared" si="5"/>
        <v>241.82</v>
      </c>
      <c r="U9" s="644">
        <f t="shared" si="5"/>
        <v>232.56300000000002</v>
      </c>
      <c r="V9" s="644">
        <f>SUM(V11,V12,V15,V21,V22,V23,V25,V26,V29,V31,V32,V33)</f>
        <v>231.43200000000002</v>
      </c>
      <c r="W9" s="678">
        <f t="shared" si="1"/>
        <v>-0.4863198359154275</v>
      </c>
      <c r="X9" s="176" t="s">
        <v>175</v>
      </c>
    </row>
    <row r="10" spans="1:24" ht="12.75" customHeight="1">
      <c r="A10" s="12"/>
      <c r="B10" s="14" t="s">
        <v>83</v>
      </c>
      <c r="C10" s="727">
        <v>16.169</v>
      </c>
      <c r="D10" s="728">
        <v>17.176</v>
      </c>
      <c r="E10" s="729">
        <v>15.644</v>
      </c>
      <c r="F10" s="729">
        <v>15.378</v>
      </c>
      <c r="G10" s="729">
        <v>15.004</v>
      </c>
      <c r="H10" s="729">
        <v>14.982</v>
      </c>
      <c r="I10" s="729">
        <v>14.85</v>
      </c>
      <c r="J10" s="729">
        <v>14.646</v>
      </c>
      <c r="K10" s="729">
        <v>14.684</v>
      </c>
      <c r="L10" s="729">
        <v>14.667</v>
      </c>
      <c r="M10" s="729">
        <v>14.588</v>
      </c>
      <c r="N10" s="729">
        <v>14.673</v>
      </c>
      <c r="O10" s="729">
        <v>14.722</v>
      </c>
      <c r="P10" s="729">
        <v>14.676</v>
      </c>
      <c r="Q10" s="729">
        <v>14.769</v>
      </c>
      <c r="R10" s="729">
        <v>15.06</v>
      </c>
      <c r="S10" s="729">
        <v>15.328</v>
      </c>
      <c r="T10" s="729">
        <v>15.391</v>
      </c>
      <c r="U10" s="729">
        <v>15.329</v>
      </c>
      <c r="V10" s="730">
        <v>15.479</v>
      </c>
      <c r="W10" s="679">
        <f t="shared" si="1"/>
        <v>0.9785374127470714</v>
      </c>
      <c r="X10" s="14" t="s">
        <v>83</v>
      </c>
    </row>
    <row r="11" spans="1:24" ht="12.75" customHeight="1">
      <c r="A11" s="12"/>
      <c r="B11" s="174" t="s">
        <v>65</v>
      </c>
      <c r="C11" s="716"/>
      <c r="D11" s="716">
        <v>21</v>
      </c>
      <c r="E11" s="717">
        <f>33.8+0.8</f>
        <v>34.599999999999994</v>
      </c>
      <c r="F11" s="717">
        <f>35.6+0.8</f>
        <v>36.4</v>
      </c>
      <c r="G11" s="717">
        <f>37.1+0.8</f>
        <v>37.9</v>
      </c>
      <c r="H11" s="717">
        <f>39.3+0.8</f>
        <v>40.099999999999994</v>
      </c>
      <c r="I11" s="717">
        <v>41.432</v>
      </c>
      <c r="J11" s="717">
        <v>41.839</v>
      </c>
      <c r="K11" s="717">
        <v>41.642</v>
      </c>
      <c r="L11" s="717">
        <v>41.202</v>
      </c>
      <c r="M11" s="717">
        <v>42.264</v>
      </c>
      <c r="N11" s="717">
        <v>42.721</v>
      </c>
      <c r="O11" s="717">
        <v>43.005</v>
      </c>
      <c r="P11" s="717">
        <v>43.566</v>
      </c>
      <c r="Q11" s="717">
        <v>43.86</v>
      </c>
      <c r="R11" s="723">
        <v>44.3</v>
      </c>
      <c r="S11" s="717">
        <v>36.6</v>
      </c>
      <c r="T11" s="723">
        <v>37.8</v>
      </c>
      <c r="U11" s="483">
        <v>22.8</v>
      </c>
      <c r="V11" s="731">
        <v>23.9</v>
      </c>
      <c r="W11" s="680">
        <f t="shared" si="1"/>
        <v>4.824561403508754</v>
      </c>
      <c r="X11" s="174" t="s">
        <v>65</v>
      </c>
    </row>
    <row r="12" spans="1:24" ht="12.75" customHeight="1">
      <c r="A12" s="12"/>
      <c r="B12" s="14" t="s">
        <v>67</v>
      </c>
      <c r="C12" s="706"/>
      <c r="D12" s="706">
        <v>20.3</v>
      </c>
      <c r="E12" s="707">
        <v>20.474</v>
      </c>
      <c r="F12" s="707"/>
      <c r="G12" s="707"/>
      <c r="H12" s="707">
        <v>19.203</v>
      </c>
      <c r="I12" s="707">
        <f>19.071+0.685</f>
        <v>19.756</v>
      </c>
      <c r="J12" s="707">
        <f>19.756+0.718</f>
        <v>20.474</v>
      </c>
      <c r="K12" s="707">
        <f>20.489+0.711</f>
        <v>21.2</v>
      </c>
      <c r="L12" s="707">
        <f>20.755+0.721</f>
        <v>21.476</v>
      </c>
      <c r="M12" s="707">
        <f>19.96+0.708</f>
        <v>20.668</v>
      </c>
      <c r="N12" s="707">
        <f>18.981+0.721</f>
        <v>19.702</v>
      </c>
      <c r="O12" s="707">
        <f>18.259+0.727</f>
        <v>18.986</v>
      </c>
      <c r="P12" s="707">
        <f>18.384+0.739</f>
        <v>19.123</v>
      </c>
      <c r="Q12" s="484">
        <f>21.34+0.726</f>
        <v>22.066</v>
      </c>
      <c r="R12" s="484">
        <f>20.627+0.723</f>
        <v>21.349999999999998</v>
      </c>
      <c r="S12" s="484">
        <f>19.948+0.726</f>
        <v>20.674</v>
      </c>
      <c r="T12" s="484">
        <f>20.134+0.719</f>
        <v>20.853</v>
      </c>
      <c r="U12" s="484">
        <f>20.331+0.744</f>
        <v>21.075</v>
      </c>
      <c r="V12" s="732">
        <f>20.416+0.74</f>
        <v>21.156</v>
      </c>
      <c r="W12" s="679">
        <f t="shared" si="1"/>
        <v>0.3843416370106656</v>
      </c>
      <c r="X12" s="14" t="s">
        <v>67</v>
      </c>
    </row>
    <row r="13" spans="1:24" ht="12.75" customHeight="1">
      <c r="A13" s="12"/>
      <c r="B13" s="174" t="s">
        <v>78</v>
      </c>
      <c r="C13" s="716">
        <v>5.039</v>
      </c>
      <c r="D13" s="716">
        <v>7.351</v>
      </c>
      <c r="E13" s="717">
        <v>8.109</v>
      </c>
      <c r="F13" s="717">
        <v>9.989</v>
      </c>
      <c r="G13" s="717">
        <v>11.259</v>
      </c>
      <c r="H13" s="717">
        <v>12.976</v>
      </c>
      <c r="I13" s="717">
        <v>13.614</v>
      </c>
      <c r="J13" s="717">
        <v>13.669</v>
      </c>
      <c r="K13" s="717">
        <v>13.786</v>
      </c>
      <c r="L13" s="717">
        <v>13.779</v>
      </c>
      <c r="M13" s="717">
        <v>13.911</v>
      </c>
      <c r="N13" s="717">
        <v>13.909</v>
      </c>
      <c r="O13" s="717">
        <v>13.968</v>
      </c>
      <c r="P13" s="717">
        <v>13.954</v>
      </c>
      <c r="Q13" s="717">
        <v>13.986</v>
      </c>
      <c r="R13" s="717">
        <v>14.132</v>
      </c>
      <c r="S13" s="717">
        <v>14.191</v>
      </c>
      <c r="T13" s="717">
        <v>14.402</v>
      </c>
      <c r="U13" s="483">
        <v>14.552</v>
      </c>
      <c r="V13" s="731">
        <v>14.482</v>
      </c>
      <c r="W13" s="680">
        <f t="shared" si="1"/>
        <v>-0.481033534909292</v>
      </c>
      <c r="X13" s="174" t="s">
        <v>78</v>
      </c>
    </row>
    <row r="14" spans="1:24" ht="12.75" customHeight="1">
      <c r="A14" s="12"/>
      <c r="B14" s="14" t="s">
        <v>84</v>
      </c>
      <c r="C14" s="706">
        <v>63.939</v>
      </c>
      <c r="D14" s="706">
        <v>95.758</v>
      </c>
      <c r="E14" s="484">
        <v>100.37</v>
      </c>
      <c r="F14" s="484">
        <v>89.59</v>
      </c>
      <c r="G14" s="484">
        <v>88.433</v>
      </c>
      <c r="H14" s="484">
        <v>88.746</v>
      </c>
      <c r="I14" s="484">
        <v>87.421</v>
      </c>
      <c r="J14" s="484">
        <v>85.434</v>
      </c>
      <c r="K14" s="708">
        <v>84.654</v>
      </c>
      <c r="L14" s="484">
        <v>75.453</v>
      </c>
      <c r="M14" s="484">
        <v>75.594</v>
      </c>
      <c r="N14" s="484">
        <v>76.63</v>
      </c>
      <c r="O14" s="484">
        <v>77.183</v>
      </c>
      <c r="P14" s="484">
        <v>77.089</v>
      </c>
      <c r="Q14" s="484">
        <v>77.06</v>
      </c>
      <c r="R14" s="484">
        <v>76.664</v>
      </c>
      <c r="S14" s="484">
        <v>76.028</v>
      </c>
      <c r="T14" s="484">
        <v>75.203</v>
      </c>
      <c r="U14" s="484">
        <v>75.085</v>
      </c>
      <c r="V14" s="732">
        <v>75.068</v>
      </c>
      <c r="W14" s="679">
        <f t="shared" si="1"/>
        <v>-0.022641006858892254</v>
      </c>
      <c r="X14" s="14" t="s">
        <v>84</v>
      </c>
    </row>
    <row r="15" spans="1:24" ht="12.75" customHeight="1">
      <c r="A15" s="12"/>
      <c r="B15" s="174" t="s">
        <v>68</v>
      </c>
      <c r="C15" s="716"/>
      <c r="D15" s="716">
        <v>6.4</v>
      </c>
      <c r="E15" s="483">
        <v>7.9</v>
      </c>
      <c r="F15" s="483">
        <v>8.6</v>
      </c>
      <c r="G15" s="483">
        <v>8.4</v>
      </c>
      <c r="H15" s="483">
        <v>8.7</v>
      </c>
      <c r="I15" s="483">
        <v>6.3</v>
      </c>
      <c r="J15" s="483">
        <v>7</v>
      </c>
      <c r="K15" s="483">
        <v>6.7</v>
      </c>
      <c r="L15" s="483">
        <v>6.5</v>
      </c>
      <c r="M15" s="483">
        <v>6.3</v>
      </c>
      <c r="N15" s="483">
        <v>6.2</v>
      </c>
      <c r="O15" s="483">
        <v>6.1</v>
      </c>
      <c r="P15" s="483">
        <v>5.5</v>
      </c>
      <c r="Q15" s="483">
        <v>5.3</v>
      </c>
      <c r="R15" s="483">
        <v>5.4</v>
      </c>
      <c r="S15" s="483">
        <v>5.3</v>
      </c>
      <c r="T15" s="483">
        <v>5.194</v>
      </c>
      <c r="U15" s="723">
        <v>5.378</v>
      </c>
      <c r="V15" s="483">
        <v>4.31</v>
      </c>
      <c r="W15" s="680">
        <f t="shared" si="1"/>
        <v>-19.858683525474163</v>
      </c>
      <c r="X15" s="174" t="s">
        <v>68</v>
      </c>
    </row>
    <row r="16" spans="1:24" ht="12.75" customHeight="1">
      <c r="A16" s="12"/>
      <c r="B16" s="14" t="s">
        <v>87</v>
      </c>
      <c r="C16" s="706">
        <v>2.012</v>
      </c>
      <c r="D16" s="706">
        <v>2.722</v>
      </c>
      <c r="E16" s="484">
        <v>4.047</v>
      </c>
      <c r="F16" s="484">
        <v>4.388</v>
      </c>
      <c r="G16" s="484">
        <v>4.557</v>
      </c>
      <c r="H16" s="484">
        <v>4.835</v>
      </c>
      <c r="I16" s="484">
        <v>4.985</v>
      </c>
      <c r="J16" s="484">
        <v>5.282</v>
      </c>
      <c r="K16" s="484">
        <v>5.535</v>
      </c>
      <c r="L16" s="484">
        <v>5.845</v>
      </c>
      <c r="M16" s="484">
        <v>6.096</v>
      </c>
      <c r="N16" s="484">
        <v>6.564</v>
      </c>
      <c r="O16" s="484">
        <v>6.957</v>
      </c>
      <c r="P16" s="484">
        <v>7.084</v>
      </c>
      <c r="Q16" s="484">
        <v>7.09</v>
      </c>
      <c r="R16" s="484">
        <v>7.392</v>
      </c>
      <c r="S16" s="484">
        <v>7.43</v>
      </c>
      <c r="T16" s="484">
        <v>7.625</v>
      </c>
      <c r="U16" s="484">
        <v>7.997</v>
      </c>
      <c r="V16" s="732">
        <v>8.451</v>
      </c>
      <c r="W16" s="679">
        <f t="shared" si="1"/>
        <v>5.677128923346264</v>
      </c>
      <c r="X16" s="14" t="s">
        <v>87</v>
      </c>
    </row>
    <row r="17" spans="1:24" ht="12.75" customHeight="1">
      <c r="A17" s="12"/>
      <c r="B17" s="174" t="s">
        <v>79</v>
      </c>
      <c r="C17" s="716">
        <v>10.546</v>
      </c>
      <c r="D17" s="716">
        <v>18.011</v>
      </c>
      <c r="E17" s="483">
        <v>21.43</v>
      </c>
      <c r="F17" s="483">
        <v>22.08</v>
      </c>
      <c r="G17" s="483">
        <v>22.674</v>
      </c>
      <c r="H17" s="483">
        <v>23.206</v>
      </c>
      <c r="I17" s="483">
        <v>23.54</v>
      </c>
      <c r="J17" s="483">
        <v>24.6</v>
      </c>
      <c r="K17" s="483">
        <v>25.096</v>
      </c>
      <c r="L17" s="483">
        <v>25.622</v>
      </c>
      <c r="M17" s="483">
        <v>26.32</v>
      </c>
      <c r="N17" s="483">
        <v>26.769</v>
      </c>
      <c r="O17" s="483">
        <v>27.037</v>
      </c>
      <c r="P17" s="483">
        <v>27.115</v>
      </c>
      <c r="Q17" s="483">
        <v>27.247</v>
      </c>
      <c r="R17" s="483">
        <v>27.139</v>
      </c>
      <c r="S17" s="483">
        <v>26.78</v>
      </c>
      <c r="T17" s="483">
        <v>26.829</v>
      </c>
      <c r="U17" s="483">
        <v>26.938</v>
      </c>
      <c r="V17" s="731">
        <v>27.102</v>
      </c>
      <c r="W17" s="680">
        <f t="shared" si="1"/>
        <v>0.6088054050040981</v>
      </c>
      <c r="X17" s="174" t="s">
        <v>79</v>
      </c>
    </row>
    <row r="18" spans="1:24" ht="12.75" customHeight="1">
      <c r="A18" s="12"/>
      <c r="B18" s="14" t="s">
        <v>85</v>
      </c>
      <c r="C18" s="706">
        <v>30.728</v>
      </c>
      <c r="D18" s="706">
        <v>42.631</v>
      </c>
      <c r="E18" s="707">
        <v>45.767</v>
      </c>
      <c r="F18" s="707">
        <v>46.604</v>
      </c>
      <c r="G18" s="707">
        <v>47.18</v>
      </c>
      <c r="H18" s="707">
        <v>47.028</v>
      </c>
      <c r="I18" s="707">
        <v>47.088</v>
      </c>
      <c r="J18" s="707">
        <v>47.375</v>
      </c>
      <c r="K18" s="707">
        <v>48.405</v>
      </c>
      <c r="L18" s="707">
        <v>50.035</v>
      </c>
      <c r="M18" s="707">
        <v>51.805</v>
      </c>
      <c r="N18" s="707">
        <v>53.54</v>
      </c>
      <c r="O18" s="707">
        <v>54.732</v>
      </c>
      <c r="P18" s="707">
        <v>56.146</v>
      </c>
      <c r="Q18" s="707">
        <v>56.953</v>
      </c>
      <c r="R18" s="707">
        <v>55.993</v>
      </c>
      <c r="S18" s="707">
        <v>56.957</v>
      </c>
      <c r="T18" s="484">
        <v>58.248</v>
      </c>
      <c r="U18" s="484">
        <v>59.105</v>
      </c>
      <c r="V18" s="732">
        <v>61.039</v>
      </c>
      <c r="W18" s="679">
        <f t="shared" si="1"/>
        <v>3.272142796717703</v>
      </c>
      <c r="X18" s="14" t="s">
        <v>85</v>
      </c>
    </row>
    <row r="19" spans="1:24" ht="12.75" customHeight="1">
      <c r="A19" s="12"/>
      <c r="B19" s="174" t="s">
        <v>86</v>
      </c>
      <c r="C19" s="716">
        <v>41</v>
      </c>
      <c r="D19" s="716">
        <v>59</v>
      </c>
      <c r="E19" s="717">
        <v>73.7</v>
      </c>
      <c r="F19" s="717">
        <v>76.3</v>
      </c>
      <c r="G19" s="483">
        <v>75.9</v>
      </c>
      <c r="H19" s="483">
        <v>77.7</v>
      </c>
      <c r="I19" s="483">
        <v>78.7</v>
      </c>
      <c r="J19" s="483">
        <v>81.8</v>
      </c>
      <c r="K19" s="483">
        <v>82.1</v>
      </c>
      <c r="L19" s="483">
        <v>82</v>
      </c>
      <c r="M19" s="483">
        <v>84.961</v>
      </c>
      <c r="N19" s="483">
        <v>85.668</v>
      </c>
      <c r="O19" s="483">
        <v>85.749</v>
      </c>
      <c r="P19" s="483">
        <v>86.954</v>
      </c>
      <c r="Q19" s="483">
        <v>85.876</v>
      </c>
      <c r="R19" s="483">
        <v>87.101</v>
      </c>
      <c r="S19" s="483">
        <v>88.417</v>
      </c>
      <c r="T19" s="483">
        <v>90.055</v>
      </c>
      <c r="U19" s="483">
        <v>92.152</v>
      </c>
      <c r="V19" s="731">
        <v>94.392</v>
      </c>
      <c r="W19" s="680">
        <f t="shared" si="1"/>
        <v>2.430766559597175</v>
      </c>
      <c r="X19" s="174" t="s">
        <v>86</v>
      </c>
    </row>
    <row r="20" spans="1:24" ht="12.75" customHeight="1">
      <c r="A20" s="12"/>
      <c r="B20" s="14" t="s">
        <v>88</v>
      </c>
      <c r="C20" s="706">
        <v>32.899</v>
      </c>
      <c r="D20" s="706">
        <v>58.149</v>
      </c>
      <c r="E20" s="707">
        <v>77.731</v>
      </c>
      <c r="F20" s="707">
        <v>78</v>
      </c>
      <c r="G20" s="707">
        <v>78.179</v>
      </c>
      <c r="H20" s="707">
        <v>76.974</v>
      </c>
      <c r="I20" s="707">
        <v>76.076</v>
      </c>
      <c r="J20" s="707">
        <v>75.023</v>
      </c>
      <c r="K20" s="707">
        <v>78.183</v>
      </c>
      <c r="L20" s="707">
        <v>84.177</v>
      </c>
      <c r="M20" s="707">
        <v>84.822</v>
      </c>
      <c r="N20" s="484">
        <v>85.762</v>
      </c>
      <c r="O20" s="484">
        <v>87.956</v>
      </c>
      <c r="P20" s="484">
        <v>89.858</v>
      </c>
      <c r="Q20" s="484">
        <v>91.716</v>
      </c>
      <c r="R20" s="484">
        <v>92.701</v>
      </c>
      <c r="S20" s="484">
        <v>92.874</v>
      </c>
      <c r="T20" s="484">
        <v>94.437</v>
      </c>
      <c r="U20" s="484">
        <v>96.099</v>
      </c>
      <c r="V20" s="732">
        <v>96.419</v>
      </c>
      <c r="W20" s="679">
        <f t="shared" si="1"/>
        <v>0.33298993746031513</v>
      </c>
      <c r="X20" s="14" t="s">
        <v>88</v>
      </c>
    </row>
    <row r="21" spans="1:24" ht="12.75" customHeight="1">
      <c r="A21" s="12"/>
      <c r="B21" s="174" t="s">
        <v>66</v>
      </c>
      <c r="C21" s="716"/>
      <c r="D21" s="716">
        <v>1.6</v>
      </c>
      <c r="E21" s="717">
        <v>2.308</v>
      </c>
      <c r="F21" s="717">
        <v>2.176</v>
      </c>
      <c r="G21" s="717">
        <v>2.371</v>
      </c>
      <c r="H21" s="717">
        <v>2.438</v>
      </c>
      <c r="I21" s="717">
        <v>2.546</v>
      </c>
      <c r="J21" s="717">
        <v>2.67</v>
      </c>
      <c r="K21" s="717">
        <v>2.801</v>
      </c>
      <c r="L21" s="717">
        <v>2.8</v>
      </c>
      <c r="M21" s="717">
        <v>2.754</v>
      </c>
      <c r="N21" s="717">
        <v>2.835</v>
      </c>
      <c r="O21" s="717">
        <v>2.949</v>
      </c>
      <c r="P21" s="717">
        <v>3.003</v>
      </c>
      <c r="Q21" s="483">
        <v>2.997</v>
      </c>
      <c r="R21" s="483">
        <v>3.275</v>
      </c>
      <c r="S21" s="483">
        <v>3.199</v>
      </c>
      <c r="T21" s="483">
        <v>3.217</v>
      </c>
      <c r="U21" s="483">
        <v>3.221</v>
      </c>
      <c r="V21" s="731">
        <v>3.292</v>
      </c>
      <c r="W21" s="680">
        <f t="shared" si="1"/>
        <v>2.204284383731747</v>
      </c>
      <c r="X21" s="174" t="s">
        <v>66</v>
      </c>
    </row>
    <row r="22" spans="1:24" ht="12.75" customHeight="1">
      <c r="A22" s="12"/>
      <c r="B22" s="14" t="s">
        <v>70</v>
      </c>
      <c r="C22" s="706"/>
      <c r="D22" s="706"/>
      <c r="E22" s="707">
        <v>12.138</v>
      </c>
      <c r="F22" s="484"/>
      <c r="G22" s="484"/>
      <c r="H22" s="484"/>
      <c r="I22" s="484"/>
      <c r="J22" s="484">
        <v>16.465</v>
      </c>
      <c r="K22" s="484">
        <v>17.275</v>
      </c>
      <c r="L22" s="708">
        <v>18.558</v>
      </c>
      <c r="M22" s="484">
        <v>11.505</v>
      </c>
      <c r="N22" s="707">
        <v>11.556</v>
      </c>
      <c r="O22" s="707">
        <v>11.501</v>
      </c>
      <c r="P22" s="707">
        <v>11.294</v>
      </c>
      <c r="Q22" s="707">
        <v>11.164</v>
      </c>
      <c r="R22" s="707">
        <v>10.983</v>
      </c>
      <c r="S22" s="707">
        <v>10.74</v>
      </c>
      <c r="T22" s="707">
        <v>10.644</v>
      </c>
      <c r="U22" s="484">
        <v>10.628</v>
      </c>
      <c r="V22" s="732">
        <v>10.624</v>
      </c>
      <c r="W22" s="679">
        <f t="shared" si="1"/>
        <v>-0.03763643206623479</v>
      </c>
      <c r="X22" s="14" t="s">
        <v>70</v>
      </c>
    </row>
    <row r="23" spans="1:24" ht="12.75" customHeight="1">
      <c r="A23" s="12"/>
      <c r="B23" s="174" t="s">
        <v>71</v>
      </c>
      <c r="C23" s="716"/>
      <c r="D23" s="716">
        <v>10.5</v>
      </c>
      <c r="E23" s="483">
        <v>15.2</v>
      </c>
      <c r="F23" s="483"/>
      <c r="G23" s="483"/>
      <c r="H23" s="483"/>
      <c r="I23" s="483"/>
      <c r="J23" s="483">
        <f>17.052+0.532</f>
        <v>17.584</v>
      </c>
      <c r="K23" s="483">
        <f>15.482+0.544</f>
        <v>16.026</v>
      </c>
      <c r="L23" s="483">
        <f>14.888+0.547</f>
        <v>15.435</v>
      </c>
      <c r="M23" s="483">
        <f>15.156+0.523</f>
        <v>15.679</v>
      </c>
      <c r="N23" s="483">
        <f>15.59+0.5</f>
        <v>16.09</v>
      </c>
      <c r="O23" s="483">
        <f>15.069+0.474</f>
        <v>15.543000000000001</v>
      </c>
      <c r="P23" s="483">
        <f>15.171+0.47</f>
        <v>15.641</v>
      </c>
      <c r="Q23" s="483">
        <f>15.376+0.466</f>
        <v>15.841999999999999</v>
      </c>
      <c r="R23" s="483">
        <f>15.543+0.463</f>
        <v>16.006</v>
      </c>
      <c r="S23" s="483">
        <f>14.377+0.476</f>
        <v>14.853000000000002</v>
      </c>
      <c r="T23" s="483">
        <f>14.839+0.472</f>
        <v>15.311</v>
      </c>
      <c r="U23" s="483">
        <f>15.134+0.485</f>
        <v>15.619</v>
      </c>
      <c r="V23" s="731">
        <f>13.997+0.491</f>
        <v>14.488</v>
      </c>
      <c r="W23" s="680">
        <f t="shared" si="1"/>
        <v>-7.2411806133555245</v>
      </c>
      <c r="X23" s="174" t="s">
        <v>71</v>
      </c>
    </row>
    <row r="24" spans="1:24" ht="12.75" customHeight="1">
      <c r="A24" s="12"/>
      <c r="B24" s="14" t="s">
        <v>89</v>
      </c>
      <c r="C24" s="706">
        <v>0.56</v>
      </c>
      <c r="D24" s="706">
        <v>0.647</v>
      </c>
      <c r="E24" s="707">
        <v>0.76</v>
      </c>
      <c r="F24" s="707">
        <v>0.777</v>
      </c>
      <c r="G24" s="707">
        <v>0.814</v>
      </c>
      <c r="H24" s="707">
        <v>0.85</v>
      </c>
      <c r="I24" s="707">
        <v>0.846</v>
      </c>
      <c r="J24" s="707">
        <v>0.871</v>
      </c>
      <c r="K24" s="484">
        <v>0.914</v>
      </c>
      <c r="L24" s="484">
        <v>0.944</v>
      </c>
      <c r="M24" s="484">
        <v>0.945</v>
      </c>
      <c r="N24" s="484">
        <v>0.984</v>
      </c>
      <c r="O24" s="484">
        <v>1.051</v>
      </c>
      <c r="P24" s="484">
        <v>1.123</v>
      </c>
      <c r="Q24" s="484">
        <v>1.176</v>
      </c>
      <c r="R24" s="484">
        <v>1.227</v>
      </c>
      <c r="S24" s="484">
        <v>1.27</v>
      </c>
      <c r="T24" s="484">
        <v>1.34</v>
      </c>
      <c r="U24" s="484">
        <v>1.38</v>
      </c>
      <c r="V24" s="732">
        <v>1.456</v>
      </c>
      <c r="W24" s="679">
        <f t="shared" si="1"/>
        <v>5.507246376811592</v>
      </c>
      <c r="X24" s="14" t="s">
        <v>89</v>
      </c>
    </row>
    <row r="25" spans="1:24" ht="12.75" customHeight="1">
      <c r="A25" s="12"/>
      <c r="B25" s="174" t="s">
        <v>69</v>
      </c>
      <c r="C25" s="716"/>
      <c r="D25" s="716">
        <v>22.2</v>
      </c>
      <c r="E25" s="717">
        <v>26.438</v>
      </c>
      <c r="F25" s="717">
        <v>24.497</v>
      </c>
      <c r="G25" s="717">
        <v>23.187</v>
      </c>
      <c r="H25" s="717">
        <v>22.186</v>
      </c>
      <c r="I25" s="717">
        <v>21.785</v>
      </c>
      <c r="J25" s="717">
        <v>20.464</v>
      </c>
      <c r="K25" s="717">
        <v>19.381</v>
      </c>
      <c r="L25" s="717">
        <v>18.89</v>
      </c>
      <c r="M25" s="717">
        <v>18.795</v>
      </c>
      <c r="N25" s="717">
        <v>17.733</v>
      </c>
      <c r="O25" s="717">
        <v>17.855</v>
      </c>
      <c r="P25" s="717">
        <v>17.817</v>
      </c>
      <c r="Q25" s="717">
        <v>17.873</v>
      </c>
      <c r="R25" s="483">
        <v>17.877</v>
      </c>
      <c r="S25" s="483">
        <v>17.428</v>
      </c>
      <c r="T25" s="483">
        <v>17.45</v>
      </c>
      <c r="U25" s="483">
        <v>17.721</v>
      </c>
      <c r="V25" s="731">
        <v>17.899</v>
      </c>
      <c r="W25" s="680">
        <f t="shared" si="1"/>
        <v>1.0044579876982151</v>
      </c>
      <c r="X25" s="174" t="s">
        <v>69</v>
      </c>
    </row>
    <row r="26" spans="1:24" ht="12.75" customHeight="1">
      <c r="A26" s="12"/>
      <c r="B26" s="14" t="s">
        <v>72</v>
      </c>
      <c r="C26" s="706"/>
      <c r="D26" s="706"/>
      <c r="E26" s="707">
        <v>0.978</v>
      </c>
      <c r="F26" s="484"/>
      <c r="G26" s="484"/>
      <c r="H26" s="707">
        <v>0.936</v>
      </c>
      <c r="I26" s="707">
        <v>0.964</v>
      </c>
      <c r="J26" s="707">
        <v>1.014</v>
      </c>
      <c r="K26" s="707">
        <v>0.967</v>
      </c>
      <c r="L26" s="707">
        <v>1.077</v>
      </c>
      <c r="M26" s="707">
        <f>0.162+0.375+0.57</f>
        <v>1.107</v>
      </c>
      <c r="N26" s="707">
        <f>0.157+0.39+0.572</f>
        <v>1.119</v>
      </c>
      <c r="O26" s="707">
        <f>0.156+0.397+0.573</f>
        <v>1.126</v>
      </c>
      <c r="P26" s="707">
        <f>0.156+0.398+0.571</f>
        <v>1.125</v>
      </c>
      <c r="Q26" s="484">
        <v>1.133</v>
      </c>
      <c r="R26" s="484">
        <v>1.15</v>
      </c>
      <c r="S26" s="484">
        <v>1.158</v>
      </c>
      <c r="T26" s="484">
        <f>0.144+0.422+0.577</f>
        <v>1.1429999999999998</v>
      </c>
      <c r="U26" s="484">
        <f>0.144+0.426+0.578</f>
        <v>1.148</v>
      </c>
      <c r="V26" s="732">
        <f>0.15+0.433+0.582</f>
        <v>1.165</v>
      </c>
      <c r="W26" s="679">
        <f t="shared" si="1"/>
        <v>1.4808362369338024</v>
      </c>
      <c r="X26" s="14" t="s">
        <v>72</v>
      </c>
    </row>
    <row r="27" spans="1:24" ht="12.75" customHeight="1">
      <c r="A27" s="12"/>
      <c r="B27" s="175" t="s">
        <v>80</v>
      </c>
      <c r="C27" s="716">
        <v>9.5</v>
      </c>
      <c r="D27" s="716">
        <v>11.2</v>
      </c>
      <c r="E27" s="717">
        <v>12.1</v>
      </c>
      <c r="F27" s="717">
        <v>12.427</v>
      </c>
      <c r="G27" s="717">
        <v>12.341</v>
      </c>
      <c r="H27" s="717">
        <v>12.525</v>
      </c>
      <c r="I27" s="717">
        <v>12</v>
      </c>
      <c r="J27" s="717">
        <v>11.636</v>
      </c>
      <c r="K27" s="717">
        <v>11.334</v>
      </c>
      <c r="L27" s="717">
        <v>10.801</v>
      </c>
      <c r="M27" s="717">
        <v>11.006</v>
      </c>
      <c r="N27" s="717">
        <v>11.21</v>
      </c>
      <c r="O27" s="717">
        <v>11.374</v>
      </c>
      <c r="P27" s="717">
        <v>11.326</v>
      </c>
      <c r="Q27" s="717">
        <v>11.382</v>
      </c>
      <c r="R27" s="483">
        <v>11.344</v>
      </c>
      <c r="S27" s="483">
        <v>11.231</v>
      </c>
      <c r="T27" s="483">
        <v>10.995</v>
      </c>
      <c r="U27" s="483">
        <v>10.845</v>
      </c>
      <c r="V27" s="731">
        <v>11.091</v>
      </c>
      <c r="W27" s="680">
        <f t="shared" si="1"/>
        <v>2.268326417704003</v>
      </c>
      <c r="X27" s="175" t="s">
        <v>80</v>
      </c>
    </row>
    <row r="28" spans="1:24" ht="12.75" customHeight="1">
      <c r="A28" s="12"/>
      <c r="B28" s="14" t="s">
        <v>90</v>
      </c>
      <c r="C28" s="706">
        <v>6.804</v>
      </c>
      <c r="D28" s="709">
        <v>8.89</v>
      </c>
      <c r="E28" s="484">
        <v>9.402</v>
      </c>
      <c r="F28" s="484">
        <v>9.269</v>
      </c>
      <c r="G28" s="484">
        <v>9.375</v>
      </c>
      <c r="H28" s="484">
        <v>9.483</v>
      </c>
      <c r="I28" s="484">
        <v>9.598</v>
      </c>
      <c r="J28" s="484">
        <v>9.752</v>
      </c>
      <c r="K28" s="484">
        <v>9.74</v>
      </c>
      <c r="L28" s="484">
        <v>9.7</v>
      </c>
      <c r="M28" s="484">
        <v>9.675</v>
      </c>
      <c r="N28" s="484">
        <v>9.834</v>
      </c>
      <c r="O28" s="484">
        <v>9.918</v>
      </c>
      <c r="P28" s="708">
        <v>9.902</v>
      </c>
      <c r="Q28" s="484">
        <v>9.179</v>
      </c>
      <c r="R28" s="484">
        <v>9.231</v>
      </c>
      <c r="S28" s="484">
        <v>9.408</v>
      </c>
      <c r="T28" s="484">
        <v>9.301</v>
      </c>
      <c r="U28" s="484">
        <v>9.297</v>
      </c>
      <c r="V28" s="732">
        <v>9.299</v>
      </c>
      <c r="W28" s="679">
        <f t="shared" si="1"/>
        <v>0.02151231580078683</v>
      </c>
      <c r="X28" s="14" t="s">
        <v>90</v>
      </c>
    </row>
    <row r="29" spans="1:24" ht="12.75" customHeight="1">
      <c r="A29" s="12"/>
      <c r="B29" s="174" t="s">
        <v>73</v>
      </c>
      <c r="C29" s="716"/>
      <c r="D29" s="716">
        <v>66.4</v>
      </c>
      <c r="E29" s="717">
        <v>92.403</v>
      </c>
      <c r="F29" s="717">
        <v>86.951</v>
      </c>
      <c r="G29" s="717">
        <v>86.578</v>
      </c>
      <c r="H29" s="717">
        <v>86.154</v>
      </c>
      <c r="I29" s="717">
        <v>86.852</v>
      </c>
      <c r="J29" s="717">
        <v>85.413</v>
      </c>
      <c r="K29" s="717">
        <v>85.596</v>
      </c>
      <c r="L29" s="717">
        <v>81.788</v>
      </c>
      <c r="M29" s="717">
        <v>80.827</v>
      </c>
      <c r="N29" s="717">
        <v>78.958</v>
      </c>
      <c r="O29" s="717">
        <v>82.59</v>
      </c>
      <c r="P29" s="717">
        <v>82.5</v>
      </c>
      <c r="Q29" s="717">
        <v>83.389</v>
      </c>
      <c r="R29" s="483">
        <v>82.769</v>
      </c>
      <c r="S29" s="483">
        <v>82.676</v>
      </c>
      <c r="T29" s="483">
        <v>79.567</v>
      </c>
      <c r="U29" s="483">
        <v>83.496</v>
      </c>
      <c r="V29" s="731">
        <v>87.586</v>
      </c>
      <c r="W29" s="680">
        <f t="shared" si="1"/>
        <v>4.898438248538861</v>
      </c>
      <c r="X29" s="174" t="s">
        <v>73</v>
      </c>
    </row>
    <row r="30" spans="1:24" ht="12.75" customHeight="1">
      <c r="A30" s="12"/>
      <c r="B30" s="14" t="s">
        <v>91</v>
      </c>
      <c r="C30" s="706">
        <v>5.873</v>
      </c>
      <c r="D30" s="706">
        <v>8.489</v>
      </c>
      <c r="E30" s="707">
        <v>12.099</v>
      </c>
      <c r="F30" s="707">
        <v>12.348</v>
      </c>
      <c r="G30" s="707">
        <v>12.961</v>
      </c>
      <c r="H30" s="707">
        <v>13.554</v>
      </c>
      <c r="I30" s="707">
        <v>14.353</v>
      </c>
      <c r="J30" s="707">
        <v>15.02</v>
      </c>
      <c r="K30" s="707">
        <v>15.681</v>
      </c>
      <c r="L30" s="707">
        <v>16.431</v>
      </c>
      <c r="M30" s="707">
        <v>17.513</v>
      </c>
      <c r="N30" s="707">
        <v>18.544</v>
      </c>
      <c r="O30" s="707">
        <v>19.78</v>
      </c>
      <c r="P30" s="707">
        <v>20.76</v>
      </c>
      <c r="Q30" s="707">
        <v>21.387</v>
      </c>
      <c r="R30" s="707">
        <v>21.653</v>
      </c>
      <c r="S30" s="485">
        <v>21.8</v>
      </c>
      <c r="T30" s="484">
        <v>14.674</v>
      </c>
      <c r="U30" s="656">
        <v>15</v>
      </c>
      <c r="V30" s="732">
        <v>15.1</v>
      </c>
      <c r="W30" s="679">
        <f t="shared" si="1"/>
        <v>0.6666666666666599</v>
      </c>
      <c r="X30" s="14" t="s">
        <v>91</v>
      </c>
    </row>
    <row r="31" spans="1:24" ht="12.75" customHeight="1">
      <c r="A31" s="12"/>
      <c r="B31" s="174" t="s">
        <v>74</v>
      </c>
      <c r="C31" s="716"/>
      <c r="D31" s="716">
        <v>25</v>
      </c>
      <c r="E31" s="483">
        <f>24.297+3.975</f>
        <v>28.272000000000002</v>
      </c>
      <c r="F31" s="483">
        <f>25.199+5.956</f>
        <v>31.155</v>
      </c>
      <c r="G31" s="483">
        <f>26.847+8.232</f>
        <v>35.079</v>
      </c>
      <c r="H31" s="483">
        <f>28.085+9.646</f>
        <v>37.731</v>
      </c>
      <c r="I31" s="483">
        <f>28.862+11.155</f>
        <v>40.016999999999996</v>
      </c>
      <c r="J31" s="483">
        <f>30.365+11.682</f>
        <v>42.047</v>
      </c>
      <c r="K31" s="483">
        <f>27.372+12.143</f>
        <v>39.515</v>
      </c>
      <c r="L31" s="483">
        <f>27.426+12.532</f>
        <v>39.958</v>
      </c>
      <c r="M31" s="483">
        <f>27.399+12.986</f>
        <v>40.385000000000005</v>
      </c>
      <c r="N31" s="483">
        <f>27.317+13.305</f>
        <v>40.622</v>
      </c>
      <c r="O31" s="483">
        <f>27.181+13.535</f>
        <v>40.716</v>
      </c>
      <c r="P31" s="483">
        <f>26.965+13.826</f>
        <v>40.791</v>
      </c>
      <c r="Q31" s="483">
        <f>26.672+14.108</f>
        <v>40.78</v>
      </c>
      <c r="R31" s="483">
        <f>25.829+16.118</f>
        <v>41.947</v>
      </c>
      <c r="S31" s="483">
        <f>25.421+17.771</f>
        <v>43.192</v>
      </c>
      <c r="T31" s="483">
        <f>21.976+17.297</f>
        <v>39.272999999999996</v>
      </c>
      <c r="U31" s="723">
        <f>22.663+17.755</f>
        <v>40.418</v>
      </c>
      <c r="V31" s="483">
        <f>17.151+17.051</f>
        <v>34.202</v>
      </c>
      <c r="W31" s="680">
        <f t="shared" si="1"/>
        <v>-15.379286456529274</v>
      </c>
      <c r="X31" s="174" t="s">
        <v>74</v>
      </c>
    </row>
    <row r="32" spans="1:24" ht="12.75" customHeight="1">
      <c r="A32" s="12"/>
      <c r="B32" s="14" t="s">
        <v>76</v>
      </c>
      <c r="C32" s="706">
        <v>1.664</v>
      </c>
      <c r="D32" s="706">
        <v>2.505</v>
      </c>
      <c r="E32" s="484">
        <v>3.077</v>
      </c>
      <c r="F32" s="484">
        <v>2.855</v>
      </c>
      <c r="G32" s="484">
        <v>2.67</v>
      </c>
      <c r="H32" s="484">
        <v>2.597</v>
      </c>
      <c r="I32" s="484">
        <v>2.512</v>
      </c>
      <c r="J32" s="484">
        <v>2.473</v>
      </c>
      <c r="K32" s="484">
        <v>2.407</v>
      </c>
      <c r="L32" s="484">
        <v>2.369</v>
      </c>
      <c r="M32" s="484">
        <v>2.325</v>
      </c>
      <c r="N32" s="484">
        <v>2.315</v>
      </c>
      <c r="O32" s="484">
        <v>2.255</v>
      </c>
      <c r="P32" s="484">
        <v>2.213</v>
      </c>
      <c r="Q32" s="484">
        <v>2.196</v>
      </c>
      <c r="R32" s="484">
        <v>2.19</v>
      </c>
      <c r="S32" s="484">
        <v>2.269</v>
      </c>
      <c r="T32" s="484">
        <v>2.255</v>
      </c>
      <c r="U32" s="484">
        <v>2.277</v>
      </c>
      <c r="V32" s="732">
        <v>2.33</v>
      </c>
      <c r="W32" s="679">
        <f t="shared" si="1"/>
        <v>2.327624066754508</v>
      </c>
      <c r="X32" s="14" t="s">
        <v>76</v>
      </c>
    </row>
    <row r="33" spans="1:24" ht="12.75" customHeight="1">
      <c r="A33" s="12"/>
      <c r="B33" s="174" t="s">
        <v>75</v>
      </c>
      <c r="C33" s="716"/>
      <c r="D33" s="716">
        <v>10</v>
      </c>
      <c r="E33" s="483">
        <v>14.301</v>
      </c>
      <c r="F33" s="483">
        <v>13.77</v>
      </c>
      <c r="G33" s="483">
        <v>13.338</v>
      </c>
      <c r="H33" s="483">
        <v>12.655</v>
      </c>
      <c r="I33" s="483">
        <v>12.066</v>
      </c>
      <c r="J33" s="483">
        <v>11.812</v>
      </c>
      <c r="K33" s="483">
        <v>11.321</v>
      </c>
      <c r="L33" s="483">
        <v>11.235</v>
      </c>
      <c r="M33" s="483">
        <v>11.293</v>
      </c>
      <c r="N33" s="483">
        <v>11.101</v>
      </c>
      <c r="O33" s="483">
        <v>10.92</v>
      </c>
      <c r="P33" s="483">
        <v>10.649</v>
      </c>
      <c r="Q33" s="483">
        <v>10.589</v>
      </c>
      <c r="R33" s="483">
        <v>10.568</v>
      </c>
      <c r="S33" s="483">
        <v>8.921</v>
      </c>
      <c r="T33" s="483">
        <v>9.113</v>
      </c>
      <c r="U33" s="483">
        <v>8.782</v>
      </c>
      <c r="V33" s="731">
        <v>10.48</v>
      </c>
      <c r="W33" s="680">
        <f t="shared" si="1"/>
        <v>19.335003416078344</v>
      </c>
      <c r="X33" s="174" t="s">
        <v>75</v>
      </c>
    </row>
    <row r="34" spans="1:24" ht="12.75" customHeight="1">
      <c r="A34" s="12"/>
      <c r="B34" s="14" t="s">
        <v>92</v>
      </c>
      <c r="C34" s="706">
        <v>8.116</v>
      </c>
      <c r="D34" s="706">
        <v>8.963</v>
      </c>
      <c r="E34" s="484">
        <v>9.327</v>
      </c>
      <c r="F34" s="484">
        <v>8.968</v>
      </c>
      <c r="G34" s="484">
        <v>8.665</v>
      </c>
      <c r="H34" s="484">
        <v>8.255</v>
      </c>
      <c r="I34" s="484">
        <v>8.054</v>
      </c>
      <c r="J34" s="484">
        <v>8.083</v>
      </c>
      <c r="K34" s="484">
        <v>8.233</v>
      </c>
      <c r="L34" s="484">
        <v>8.45</v>
      </c>
      <c r="M34" s="484">
        <v>9.04</v>
      </c>
      <c r="N34" s="484">
        <v>9.487</v>
      </c>
      <c r="O34" s="484">
        <v>9.852</v>
      </c>
      <c r="P34" s="484">
        <v>9.769</v>
      </c>
      <c r="Q34" s="484">
        <v>10.005</v>
      </c>
      <c r="R34" s="484">
        <v>10.358</v>
      </c>
      <c r="S34" s="484">
        <v>10.716</v>
      </c>
      <c r="T34" s="484">
        <v>10.921</v>
      </c>
      <c r="U34" s="484">
        <v>11.189</v>
      </c>
      <c r="V34" s="732">
        <v>11.543</v>
      </c>
      <c r="W34" s="679">
        <f t="shared" si="1"/>
        <v>3.16382161051032</v>
      </c>
      <c r="X34" s="14" t="s">
        <v>92</v>
      </c>
    </row>
    <row r="35" spans="1:24" ht="12.75" customHeight="1">
      <c r="A35" s="12"/>
      <c r="B35" s="174" t="s">
        <v>93</v>
      </c>
      <c r="C35" s="716">
        <v>14.253</v>
      </c>
      <c r="D35" s="716">
        <v>12.796</v>
      </c>
      <c r="E35" s="483">
        <v>14.595</v>
      </c>
      <c r="F35" s="717">
        <v>14.555</v>
      </c>
      <c r="G35" s="717">
        <v>14.252</v>
      </c>
      <c r="H35" s="483">
        <v>14.127</v>
      </c>
      <c r="I35" s="483">
        <v>14.293</v>
      </c>
      <c r="J35" s="717">
        <v>14.577</v>
      </c>
      <c r="K35" s="717">
        <v>14.753</v>
      </c>
      <c r="L35" s="717">
        <v>14.838</v>
      </c>
      <c r="M35" s="717">
        <v>14.924</v>
      </c>
      <c r="N35" s="717">
        <v>14.869</v>
      </c>
      <c r="O35" s="717">
        <v>14.417</v>
      </c>
      <c r="P35" s="717">
        <v>14.246</v>
      </c>
      <c r="Q35" s="717">
        <v>14.013</v>
      </c>
      <c r="R35" s="717">
        <v>13.742</v>
      </c>
      <c r="S35" s="717">
        <v>13.363</v>
      </c>
      <c r="T35" s="717">
        <v>13.477</v>
      </c>
      <c r="U35" s="717">
        <v>13.643</v>
      </c>
      <c r="V35" s="733">
        <v>13.315</v>
      </c>
      <c r="W35" s="680">
        <f t="shared" si="1"/>
        <v>-2.40416330719051</v>
      </c>
      <c r="X35" s="174" t="s">
        <v>93</v>
      </c>
    </row>
    <row r="36" spans="1:24" ht="12.75" customHeight="1">
      <c r="A36" s="12"/>
      <c r="B36" s="15" t="s">
        <v>81</v>
      </c>
      <c r="C36" s="734">
        <v>84.2</v>
      </c>
      <c r="D36" s="734">
        <v>83.3</v>
      </c>
      <c r="E36" s="735">
        <v>75</v>
      </c>
      <c r="F36" s="735">
        <v>75.5</v>
      </c>
      <c r="G36" s="735">
        <v>76</v>
      </c>
      <c r="H36" s="736">
        <v>76.5</v>
      </c>
      <c r="I36" s="737">
        <f>74.5+2</f>
        <v>76.5</v>
      </c>
      <c r="J36" s="737">
        <f>73.8+2.1</f>
        <v>75.89999999999999</v>
      </c>
      <c r="K36" s="486">
        <f>76.6+2.1</f>
        <v>78.69999999999999</v>
      </c>
      <c r="L36" s="486">
        <f>78.6+2.1</f>
        <v>80.69999999999999</v>
      </c>
      <c r="M36" s="486">
        <f>80.1+2.2</f>
        <v>82.3</v>
      </c>
      <c r="N36" s="486">
        <f>83.6+2.2</f>
        <v>85.8</v>
      </c>
      <c r="O36" s="486">
        <f>86.3+2.3</f>
        <v>88.6</v>
      </c>
      <c r="P36" s="486">
        <f>88.5+2.3</f>
        <v>90.8</v>
      </c>
      <c r="Q36" s="486">
        <f>92.3+2.3</f>
        <v>94.6</v>
      </c>
      <c r="R36" s="486">
        <f>96.1+2.4</f>
        <v>98.5</v>
      </c>
      <c r="S36" s="486">
        <f>99.8+2.4</f>
        <v>102.2</v>
      </c>
      <c r="T36" s="486">
        <f>103+2.6</f>
        <v>105.6</v>
      </c>
      <c r="U36" s="486">
        <f>107+2.7</f>
        <v>109.7</v>
      </c>
      <c r="V36" s="738">
        <f>109+2.9</f>
        <v>111.9</v>
      </c>
      <c r="W36" s="681">
        <f t="shared" si="1"/>
        <v>2.0054694621695512</v>
      </c>
      <c r="X36" s="15" t="s">
        <v>81</v>
      </c>
    </row>
    <row r="37" spans="1:24" ht="12.75" customHeight="1">
      <c r="A37" s="12"/>
      <c r="B37" s="177" t="s">
        <v>97</v>
      </c>
      <c r="C37" s="716"/>
      <c r="D37" s="716"/>
      <c r="E37" s="717">
        <v>5.836</v>
      </c>
      <c r="F37" s="717">
        <v>4.876</v>
      </c>
      <c r="G37" s="717">
        <v>4.104</v>
      </c>
      <c r="H37" s="717">
        <v>3.895</v>
      </c>
      <c r="I37" s="483">
        <v>4.026</v>
      </c>
      <c r="J37" s="483">
        <v>3.897</v>
      </c>
      <c r="K37" s="483">
        <v>4.596</v>
      </c>
      <c r="L37" s="483">
        <v>4.771</v>
      </c>
      <c r="M37" s="483">
        <v>4.814</v>
      </c>
      <c r="N37" s="483">
        <v>4.743</v>
      </c>
      <c r="O37" s="483">
        <v>4.66</v>
      </c>
      <c r="P37" s="483">
        <v>4.77</v>
      </c>
      <c r="Q37" s="483">
        <v>4.792</v>
      </c>
      <c r="R37" s="483">
        <v>4.833</v>
      </c>
      <c r="S37" s="483">
        <v>4.869</v>
      </c>
      <c r="T37" s="483">
        <v>4.851</v>
      </c>
      <c r="U37" s="483">
        <v>4.914</v>
      </c>
      <c r="V37" s="483">
        <v>5.043</v>
      </c>
      <c r="W37" s="680">
        <f t="shared" si="1"/>
        <v>2.625152625152638</v>
      </c>
      <c r="X37" s="174" t="s">
        <v>97</v>
      </c>
    </row>
    <row r="38" spans="1:24" ht="12.75" customHeight="1">
      <c r="A38" s="12"/>
      <c r="B38" s="14" t="s">
        <v>1</v>
      </c>
      <c r="C38" s="706"/>
      <c r="D38" s="706"/>
      <c r="E38" s="707">
        <v>2.32</v>
      </c>
      <c r="F38" s="707">
        <v>2.576</v>
      </c>
      <c r="G38" s="707">
        <v>2.828</v>
      </c>
      <c r="H38" s="707">
        <v>2.921</v>
      </c>
      <c r="I38" s="707">
        <v>2.453</v>
      </c>
      <c r="J38" s="707">
        <v>2.541</v>
      </c>
      <c r="K38" s="707">
        <v>2.442</v>
      </c>
      <c r="L38" s="707">
        <v>2.43</v>
      </c>
      <c r="M38" s="707">
        <v>2.478</v>
      </c>
      <c r="N38" s="707">
        <v>2.479</v>
      </c>
      <c r="O38" s="707">
        <v>2.498</v>
      </c>
      <c r="P38" s="707">
        <v>2.62</v>
      </c>
      <c r="Q38" s="707">
        <v>2.497</v>
      </c>
      <c r="R38" s="707">
        <v>2.478</v>
      </c>
      <c r="S38" s="710">
        <v>2.35</v>
      </c>
      <c r="T38" s="707">
        <v>2.269</v>
      </c>
      <c r="U38" s="710">
        <v>2.25</v>
      </c>
      <c r="V38" s="710">
        <v>2.25</v>
      </c>
      <c r="W38" s="793">
        <f t="shared" si="1"/>
        <v>0</v>
      </c>
      <c r="X38" s="14" t="s">
        <v>1</v>
      </c>
    </row>
    <row r="39" spans="1:24" ht="12.75" customHeight="1">
      <c r="A39" s="12"/>
      <c r="B39" s="176" t="s">
        <v>77</v>
      </c>
      <c r="C39" s="718"/>
      <c r="D39" s="718"/>
      <c r="E39" s="719">
        <v>188.099</v>
      </c>
      <c r="F39" s="719">
        <v>202.605</v>
      </c>
      <c r="G39" s="719">
        <v>220.904</v>
      </c>
      <c r="H39" s="719">
        <v>244.154</v>
      </c>
      <c r="I39" s="719">
        <v>253.969</v>
      </c>
      <c r="J39" s="719">
        <v>263.248</v>
      </c>
      <c r="K39" s="719">
        <v>277.672</v>
      </c>
      <c r="L39" s="719">
        <v>298.953</v>
      </c>
      <c r="M39" s="719">
        <v>319.856</v>
      </c>
      <c r="N39" s="719">
        <v>333.869</v>
      </c>
      <c r="O39" s="719">
        <v>354.339</v>
      </c>
      <c r="P39" s="719">
        <v>358.687</v>
      </c>
      <c r="Q39" s="719">
        <v>361.797</v>
      </c>
      <c r="R39" s="719">
        <f>245.394+123.5</f>
        <v>368.894</v>
      </c>
      <c r="S39" s="719">
        <f>318.954+152.712</f>
        <v>471.666</v>
      </c>
      <c r="T39" s="719">
        <f>338.539+163.39</f>
        <v>501.929</v>
      </c>
      <c r="U39" s="719">
        <f>357.523+175.949</f>
        <v>533.472</v>
      </c>
      <c r="V39" s="719">
        <f>372.601+189.128</f>
        <v>561.729</v>
      </c>
      <c r="W39" s="682">
        <f t="shared" si="1"/>
        <v>5.296810329314394</v>
      </c>
      <c r="X39" s="176" t="s">
        <v>77</v>
      </c>
    </row>
    <row r="40" spans="1:24" ht="12.75" customHeight="1">
      <c r="A40" s="12"/>
      <c r="B40" s="14" t="s">
        <v>63</v>
      </c>
      <c r="C40" s="711"/>
      <c r="D40" s="711"/>
      <c r="E40" s="712">
        <v>1.328</v>
      </c>
      <c r="F40" s="712">
        <v>1.389</v>
      </c>
      <c r="G40" s="712">
        <v>1.157</v>
      </c>
      <c r="H40" s="712">
        <v>1.193</v>
      </c>
      <c r="I40" s="712">
        <v>1.249</v>
      </c>
      <c r="J40" s="712">
        <v>1.295</v>
      </c>
      <c r="K40" s="712">
        <v>1.363</v>
      </c>
      <c r="L40" s="712">
        <v>1.483</v>
      </c>
      <c r="M40" s="712">
        <v>1.544</v>
      </c>
      <c r="N40" s="712">
        <v>1.621</v>
      </c>
      <c r="O40" s="712">
        <v>1.673</v>
      </c>
      <c r="P40" s="712">
        <v>1.711</v>
      </c>
      <c r="Q40" s="712">
        <v>1.699</v>
      </c>
      <c r="R40" s="712">
        <v>1.709</v>
      </c>
      <c r="S40" s="712">
        <v>1.762</v>
      </c>
      <c r="T40" s="712">
        <v>1.899</v>
      </c>
      <c r="U40" s="712">
        <v>1.929</v>
      </c>
      <c r="V40" s="712">
        <v>1.943</v>
      </c>
      <c r="W40" s="715">
        <f t="shared" si="1"/>
        <v>0.7257646448937338</v>
      </c>
      <c r="X40" s="13" t="s">
        <v>63</v>
      </c>
    </row>
    <row r="41" spans="1:24" ht="12.75" customHeight="1">
      <c r="A41" s="12"/>
      <c r="B41" s="174" t="s">
        <v>94</v>
      </c>
      <c r="C41" s="720"/>
      <c r="D41" s="720"/>
      <c r="E41" s="487">
        <v>21.222</v>
      </c>
      <c r="F41" s="487">
        <v>23.288</v>
      </c>
      <c r="G41" s="487">
        <v>26.76</v>
      </c>
      <c r="H41" s="487">
        <v>29.134</v>
      </c>
      <c r="I41" s="487">
        <v>30.547</v>
      </c>
      <c r="J41" s="487">
        <v>32.515</v>
      </c>
      <c r="K41" s="487">
        <v>33.959</v>
      </c>
      <c r="L41" s="487">
        <v>35.171</v>
      </c>
      <c r="M41" s="487">
        <v>36.218</v>
      </c>
      <c r="N41" s="487">
        <v>37.039</v>
      </c>
      <c r="O41" s="487">
        <v>36.686</v>
      </c>
      <c r="P41" s="487">
        <v>35.667</v>
      </c>
      <c r="Q41" s="487">
        <v>34.11</v>
      </c>
      <c r="R41" s="487">
        <v>32.374</v>
      </c>
      <c r="S41" s="487">
        <v>30.592</v>
      </c>
      <c r="T41" s="487">
        <v>28.783</v>
      </c>
      <c r="U41" s="487">
        <v>26.954</v>
      </c>
      <c r="V41" s="487">
        <v>25.204</v>
      </c>
      <c r="W41" s="680">
        <f t="shared" si="1"/>
        <v>-6.492542850782812</v>
      </c>
      <c r="X41" s="174" t="s">
        <v>94</v>
      </c>
    </row>
    <row r="42" spans="1:24" ht="12.75" customHeight="1">
      <c r="A42" s="12"/>
      <c r="B42" s="14" t="s">
        <v>64</v>
      </c>
      <c r="C42" s="713"/>
      <c r="D42" s="713"/>
      <c r="E42" s="484">
        <v>31.18</v>
      </c>
      <c r="F42" s="484">
        <v>32.968</v>
      </c>
      <c r="G42" s="484">
        <v>34.136</v>
      </c>
      <c r="H42" s="484">
        <v>34.852</v>
      </c>
      <c r="I42" s="484">
        <v>35.676</v>
      </c>
      <c r="J42" s="484">
        <v>36.517</v>
      </c>
      <c r="K42" s="484">
        <v>37.662</v>
      </c>
      <c r="L42" s="484">
        <v>38.508</v>
      </c>
      <c r="M42" s="484">
        <v>39.012</v>
      </c>
      <c r="N42" s="484">
        <v>39.692</v>
      </c>
      <c r="O42" s="484">
        <v>40.26</v>
      </c>
      <c r="P42" s="484">
        <v>41.342</v>
      </c>
      <c r="Q42" s="484">
        <v>42.401</v>
      </c>
      <c r="R42" s="484">
        <v>43.629</v>
      </c>
      <c r="S42" s="484">
        <v>44.784</v>
      </c>
      <c r="T42" s="484">
        <v>45.785</v>
      </c>
      <c r="U42" s="484">
        <v>46.445</v>
      </c>
      <c r="V42" s="714">
        <v>48.026</v>
      </c>
      <c r="W42" s="679">
        <f t="shared" si="1"/>
        <v>3.4040262676283906</v>
      </c>
      <c r="X42" s="14" t="s">
        <v>64</v>
      </c>
    </row>
    <row r="43" spans="1:24" ht="12.75" customHeight="1">
      <c r="A43" s="12"/>
      <c r="B43" s="174" t="s">
        <v>125</v>
      </c>
      <c r="C43" s="721"/>
      <c r="D43" s="721"/>
      <c r="E43" s="722"/>
      <c r="F43" s="722"/>
      <c r="G43" s="722"/>
      <c r="H43" s="722"/>
      <c r="I43" s="722"/>
      <c r="J43" s="722"/>
      <c r="K43" s="722"/>
      <c r="L43" s="722"/>
      <c r="M43" s="722"/>
      <c r="N43" s="722"/>
      <c r="O43" s="722">
        <f>0.225-0.122</f>
        <v>0.10300000000000001</v>
      </c>
      <c r="P43" s="722">
        <f>0.224-0.111</f>
        <v>0.113</v>
      </c>
      <c r="Q43" s="722">
        <f>0.224-0.121</f>
        <v>0.10300000000000001</v>
      </c>
      <c r="R43" s="722">
        <f>0.226-0.127</f>
        <v>0.099</v>
      </c>
      <c r="S43" s="722">
        <f>0.237-0.135</f>
        <v>0.10199999999999998</v>
      </c>
      <c r="T43" s="722">
        <f>0.247-0.142</f>
        <v>0.10500000000000001</v>
      </c>
      <c r="U43" s="722">
        <f>0.239-0.133</f>
        <v>0.10599999999999998</v>
      </c>
      <c r="V43" s="722">
        <f>0.246-0.145</f>
        <v>0.101</v>
      </c>
      <c r="W43" s="682">
        <f t="shared" si="1"/>
        <v>-4.716981132075448</v>
      </c>
      <c r="X43" s="176" t="s">
        <v>125</v>
      </c>
    </row>
    <row r="44" spans="2:23" ht="15" customHeight="1">
      <c r="B44" s="886" t="s">
        <v>192</v>
      </c>
      <c r="C44" s="887"/>
      <c r="D44" s="887"/>
      <c r="E44" s="887"/>
      <c r="F44" s="887"/>
      <c r="G44" s="887"/>
      <c r="H44" s="887"/>
      <c r="I44" s="887"/>
      <c r="J44" s="887"/>
      <c r="K44" s="887"/>
      <c r="L44" s="887"/>
      <c r="M44" s="887"/>
      <c r="N44" s="887"/>
      <c r="O44" s="887"/>
      <c r="P44" s="887"/>
      <c r="Q44" s="887"/>
      <c r="R44" s="887"/>
      <c r="S44" s="887"/>
      <c r="T44" s="887"/>
      <c r="U44" s="887"/>
      <c r="V44" s="887"/>
      <c r="W44" s="890"/>
    </row>
    <row r="45" spans="2:24" ht="22.5" customHeight="1">
      <c r="B45" s="888" t="s">
        <v>223</v>
      </c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89"/>
      <c r="S45" s="889"/>
      <c r="T45" s="889"/>
      <c r="U45" s="889"/>
      <c r="V45" s="889"/>
      <c r="W45" s="889"/>
      <c r="X45" s="889"/>
    </row>
  </sheetData>
  <mergeCells count="5">
    <mergeCell ref="B45:X45"/>
    <mergeCell ref="B44:W44"/>
    <mergeCell ref="B1:C1"/>
    <mergeCell ref="B2:X2"/>
    <mergeCell ref="B3:X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2">
    <pageSetUpPr fitToPage="1"/>
  </sheetPr>
  <dimension ref="A1:X45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5" width="6.7109375" style="4" customWidth="1"/>
    <col min="6" max="9" width="6.7109375" style="4" hidden="1" customWidth="1"/>
    <col min="10" max="18" width="6.7109375" style="4" customWidth="1"/>
    <col min="19" max="19" width="7.00390625" style="4" customWidth="1"/>
    <col min="20" max="20" width="6.7109375" style="4" customWidth="1"/>
    <col min="21" max="22" width="7.7109375" style="4" customWidth="1"/>
    <col min="23" max="23" width="6.28125" style="4" customWidth="1"/>
    <col min="24" max="24" width="4.00390625" style="4" customWidth="1"/>
    <col min="25" max="16384" width="9.140625" style="4" customWidth="1"/>
  </cols>
  <sheetData>
    <row r="1" spans="2:24" ht="14.25" customHeight="1">
      <c r="B1" s="881"/>
      <c r="C1" s="881"/>
      <c r="D1" s="56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X1" s="24" t="s">
        <v>102</v>
      </c>
    </row>
    <row r="2" spans="2:24" s="189" customFormat="1" ht="30" customHeight="1">
      <c r="B2" s="882" t="s">
        <v>20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</row>
    <row r="3" spans="1:24" s="399" customFormat="1" ht="15" customHeight="1">
      <c r="A3" s="398"/>
      <c r="B3" s="892" t="s">
        <v>226</v>
      </c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</row>
    <row r="4" spans="2:24" ht="12.75" customHeight="1">
      <c r="B4" s="5"/>
      <c r="C4" s="5"/>
      <c r="E4" s="34"/>
      <c r="F4" s="34"/>
      <c r="G4" s="34"/>
      <c r="H4" s="34"/>
      <c r="I4" s="34"/>
      <c r="J4" s="38"/>
      <c r="K4" s="38"/>
      <c r="L4" s="38"/>
      <c r="M4" s="38"/>
      <c r="N4" s="38"/>
      <c r="O4" s="38"/>
      <c r="V4" s="67" t="s">
        <v>6</v>
      </c>
      <c r="X4" s="204"/>
    </row>
    <row r="5" spans="2:24" ht="19.5" customHeight="1">
      <c r="B5" s="5"/>
      <c r="C5" s="685">
        <v>1970</v>
      </c>
      <c r="D5" s="685">
        <v>1980</v>
      </c>
      <c r="E5" s="444">
        <v>1990</v>
      </c>
      <c r="F5" s="444">
        <v>1991</v>
      </c>
      <c r="G5" s="444">
        <v>1992</v>
      </c>
      <c r="H5" s="444">
        <v>1993</v>
      </c>
      <c r="I5" s="444">
        <v>1994</v>
      </c>
      <c r="J5" s="444">
        <v>1995</v>
      </c>
      <c r="K5" s="444">
        <v>1996</v>
      </c>
      <c r="L5" s="444">
        <v>1997</v>
      </c>
      <c r="M5" s="444">
        <v>1998</v>
      </c>
      <c r="N5" s="444">
        <v>1999</v>
      </c>
      <c r="O5" s="444">
        <v>2000</v>
      </c>
      <c r="P5" s="444">
        <v>2001</v>
      </c>
      <c r="Q5" s="444">
        <v>2002</v>
      </c>
      <c r="R5" s="444">
        <v>2003</v>
      </c>
      <c r="S5" s="444">
        <v>2004</v>
      </c>
      <c r="T5" s="444">
        <v>2005</v>
      </c>
      <c r="U5" s="444">
        <v>2006</v>
      </c>
      <c r="V5" s="445">
        <v>2007</v>
      </c>
      <c r="W5" s="446" t="s">
        <v>219</v>
      </c>
      <c r="X5" s="10"/>
    </row>
    <row r="6" spans="2:24" ht="9.75" customHeight="1">
      <c r="B6" s="5"/>
      <c r="C6" s="686"/>
      <c r="D6" s="686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56"/>
      <c r="W6" s="661" t="s">
        <v>176</v>
      </c>
      <c r="X6" s="10"/>
    </row>
    <row r="7" spans="2:24" ht="12.75" customHeight="1">
      <c r="B7" s="177" t="s">
        <v>47</v>
      </c>
      <c r="C7" s="753"/>
      <c r="D7" s="753"/>
      <c r="E7" s="497"/>
      <c r="F7" s="197"/>
      <c r="G7" s="197"/>
      <c r="H7" s="197"/>
      <c r="I7" s="197"/>
      <c r="J7" s="197">
        <f>SUM(J10:J36)</f>
        <v>22811.74799999999</v>
      </c>
      <c r="K7" s="197">
        <f aca="true" t="shared" si="0" ref="K7:U7">SUM(K10:K36)</f>
        <v>23561.196</v>
      </c>
      <c r="L7" s="197">
        <f t="shared" si="0"/>
        <v>24139.083000000006</v>
      </c>
      <c r="M7" s="197">
        <f t="shared" si="0"/>
        <v>24896.489999999998</v>
      </c>
      <c r="N7" s="197">
        <f t="shared" si="0"/>
        <v>26000.389000000003</v>
      </c>
      <c r="O7" s="197">
        <f t="shared" si="0"/>
        <v>27098.807999999994</v>
      </c>
      <c r="P7" s="197">
        <f t="shared" si="0"/>
        <v>28056.789</v>
      </c>
      <c r="Q7" s="197">
        <f t="shared" si="0"/>
        <v>28876.482000000004</v>
      </c>
      <c r="R7" s="197">
        <f t="shared" si="0"/>
        <v>29520.946999999996</v>
      </c>
      <c r="S7" s="498">
        <f t="shared" si="0"/>
        <v>30430.244000000006</v>
      </c>
      <c r="T7" s="197">
        <f t="shared" si="0"/>
        <v>31177.065000000002</v>
      </c>
      <c r="U7" s="291">
        <f t="shared" si="0"/>
        <v>32083.681000000004</v>
      </c>
      <c r="V7" s="291">
        <f>SUM(V10:V36)</f>
        <v>33193.61899999999</v>
      </c>
      <c r="W7" s="745">
        <f aca="true" t="shared" si="1" ref="W7:W43">100*(V7/U7-1)</f>
        <v>3.4595095244837726</v>
      </c>
      <c r="X7" s="177" t="s">
        <v>47</v>
      </c>
    </row>
    <row r="8" spans="2:24" ht="12.75" customHeight="1">
      <c r="B8" s="174" t="s">
        <v>82</v>
      </c>
      <c r="C8" s="754">
        <f>SUM(C10,C13:C13,C14,C16:C20,C24,C27:C28,C30,C34:C36)</f>
        <v>7500.695</v>
      </c>
      <c r="D8" s="754">
        <f aca="true" t="shared" si="2" ref="D8:U8">SUM(D10,D13:D13,D14,D16:D20,D24,D27:D28,D30,D34:D36)</f>
        <v>10703.328</v>
      </c>
      <c r="E8" s="499">
        <f t="shared" si="2"/>
        <v>17536.456</v>
      </c>
      <c r="F8" s="499">
        <f t="shared" si="2"/>
        <v>17999.735</v>
      </c>
      <c r="G8" s="499">
        <f t="shared" si="2"/>
        <v>18586.055</v>
      </c>
      <c r="H8" s="499">
        <f t="shared" si="2"/>
        <v>19185.827</v>
      </c>
      <c r="I8" s="499">
        <f t="shared" si="2"/>
        <v>19425.011</v>
      </c>
      <c r="J8" s="499">
        <f t="shared" si="2"/>
        <v>19849.319999999996</v>
      </c>
      <c r="K8" s="499">
        <f t="shared" si="2"/>
        <v>20458.488999999998</v>
      </c>
      <c r="L8" s="499">
        <f t="shared" si="2"/>
        <v>20897.550000000003</v>
      </c>
      <c r="M8" s="499">
        <f t="shared" si="2"/>
        <v>21483.328999999998</v>
      </c>
      <c r="N8" s="499">
        <f t="shared" si="2"/>
        <v>22414.149</v>
      </c>
      <c r="O8" s="499">
        <f t="shared" si="2"/>
        <v>23256.279</v>
      </c>
      <c r="P8" s="499">
        <f t="shared" si="2"/>
        <v>24044.516</v>
      </c>
      <c r="Q8" s="499">
        <f t="shared" si="2"/>
        <v>24595.962</v>
      </c>
      <c r="R8" s="499">
        <f t="shared" si="2"/>
        <v>25004.664999999997</v>
      </c>
      <c r="S8" s="500">
        <f t="shared" si="2"/>
        <v>25745.471000000005</v>
      </c>
      <c r="T8" s="499">
        <f t="shared" si="2"/>
        <v>26452.861</v>
      </c>
      <c r="U8" s="657">
        <f t="shared" si="2"/>
        <v>27214.129000000004</v>
      </c>
      <c r="V8" s="657">
        <f>SUM(V10,V13:V13,V14,V16:V20,V24,V27:V28,V30,V34:V36)</f>
        <v>28080.451000000005</v>
      </c>
      <c r="W8" s="746">
        <f t="shared" si="1"/>
        <v>3.1833537645096</v>
      </c>
      <c r="X8" s="174" t="s">
        <v>82</v>
      </c>
    </row>
    <row r="9" spans="2:24" ht="12.75" customHeight="1">
      <c r="B9" s="176" t="s">
        <v>175</v>
      </c>
      <c r="C9" s="755"/>
      <c r="D9" s="755"/>
      <c r="E9" s="499"/>
      <c r="F9" s="499"/>
      <c r="G9" s="499"/>
      <c r="H9" s="499"/>
      <c r="I9" s="499"/>
      <c r="J9" s="499">
        <f>SUM(J11,J12,J15,J21,J22,J23,J25,J26,J29,J31,J32,J33)</f>
        <v>2962.4280000000003</v>
      </c>
      <c r="K9" s="499">
        <f>SUM(K11,K12,K15,K21,K22,K23,K25,K26,K29,K31,K32,K33)</f>
        <v>3102.707</v>
      </c>
      <c r="L9" s="499">
        <f>SUM(L11,L12,L15,L21,L22,L23,L25,L26,L29,L31,L32,L33)</f>
        <v>3241.5329999999994</v>
      </c>
      <c r="M9" s="499">
        <f>SUM(M11,M12,M15,M21,M22,M23,M25,M26,M29,M31,M32,M33)</f>
        <v>3413.161</v>
      </c>
      <c r="N9" s="499">
        <f>SUM(N11,N12,N15,N21,N22,N23,N25,N26,N29,N31,N32,N33)</f>
        <v>3586.2399999999993</v>
      </c>
      <c r="O9" s="499">
        <f aca="true" t="shared" si="3" ref="O9:U9">SUM(O11,O12,O15,O21,O22,O23,O25,O26,O29,O31,O32,O33)</f>
        <v>3842.5289999999995</v>
      </c>
      <c r="P9" s="499">
        <f t="shared" si="3"/>
        <v>4012.2729999999992</v>
      </c>
      <c r="Q9" s="499">
        <f t="shared" si="3"/>
        <v>4280.52</v>
      </c>
      <c r="R9" s="499">
        <f t="shared" si="3"/>
        <v>4516.282000000001</v>
      </c>
      <c r="S9" s="499">
        <f t="shared" si="3"/>
        <v>4684.773</v>
      </c>
      <c r="T9" s="499">
        <f t="shared" si="3"/>
        <v>4724.204000000001</v>
      </c>
      <c r="U9" s="657">
        <f t="shared" si="3"/>
        <v>4869.552</v>
      </c>
      <c r="V9" s="657">
        <f>SUM(V11,V12,V15,V21,V22,V23,V25,V26,V29,V31,V32,V33)</f>
        <v>5113.1680000000015</v>
      </c>
      <c r="W9" s="747">
        <f t="shared" si="1"/>
        <v>5.002842150571585</v>
      </c>
      <c r="X9" s="176" t="s">
        <v>175</v>
      </c>
    </row>
    <row r="10" spans="1:24" ht="12.75" customHeight="1">
      <c r="A10" s="12"/>
      <c r="B10" s="13" t="s">
        <v>83</v>
      </c>
      <c r="C10" s="771">
        <v>251.405</v>
      </c>
      <c r="D10" s="771">
        <v>299.084</v>
      </c>
      <c r="E10" s="761">
        <v>380.37899999999996</v>
      </c>
      <c r="F10" s="206">
        <v>401.452</v>
      </c>
      <c r="G10" s="206">
        <v>404.325</v>
      </c>
      <c r="H10" s="206">
        <v>426.915</v>
      </c>
      <c r="I10" s="206">
        <v>442.055</v>
      </c>
      <c r="J10" s="206">
        <v>442.463</v>
      </c>
      <c r="K10" s="206">
        <v>457.16</v>
      </c>
      <c r="L10" s="206">
        <v>476.583</v>
      </c>
      <c r="M10" s="206">
        <v>495.464</v>
      </c>
      <c r="N10" s="206">
        <v>524.088</v>
      </c>
      <c r="O10" s="206">
        <v>548.431</v>
      </c>
      <c r="P10" s="206">
        <v>572.636</v>
      </c>
      <c r="Q10" s="206">
        <v>587.4259999999999</v>
      </c>
      <c r="R10" s="206">
        <v>603.499</v>
      </c>
      <c r="S10" s="206">
        <v>625.518</v>
      </c>
      <c r="T10" s="206">
        <v>652.083</v>
      </c>
      <c r="U10" s="206">
        <f>623.25+47.164</f>
        <v>670.414</v>
      </c>
      <c r="V10" s="762">
        <f>642.687+48.06</f>
        <v>690.7470000000001</v>
      </c>
      <c r="W10" s="748">
        <f t="shared" si="1"/>
        <v>3.0329020575346144</v>
      </c>
      <c r="X10" s="13" t="s">
        <v>83</v>
      </c>
    </row>
    <row r="11" spans="1:24" ht="12.75" customHeight="1">
      <c r="A11" s="12"/>
      <c r="B11" s="174" t="s">
        <v>65</v>
      </c>
      <c r="C11" s="756"/>
      <c r="D11" s="756" t="s">
        <v>121</v>
      </c>
      <c r="E11" s="395">
        <v>161.6</v>
      </c>
      <c r="F11" s="396">
        <v>174.2</v>
      </c>
      <c r="G11" s="396">
        <v>187.4</v>
      </c>
      <c r="H11" s="396">
        <v>203.942</v>
      </c>
      <c r="I11" s="396">
        <v>214.756</v>
      </c>
      <c r="J11" s="396">
        <v>223.17700000000002</v>
      </c>
      <c r="K11" s="396">
        <v>229.84</v>
      </c>
      <c r="L11" s="396">
        <v>232.76600000000002</v>
      </c>
      <c r="M11" s="396">
        <v>242.268</v>
      </c>
      <c r="N11" s="396">
        <v>251.5</v>
      </c>
      <c r="O11" s="396">
        <v>259.39</v>
      </c>
      <c r="P11" s="396">
        <v>269.586</v>
      </c>
      <c r="Q11" s="396">
        <v>279.858</v>
      </c>
      <c r="R11" s="396">
        <v>293.487</v>
      </c>
      <c r="S11" s="396">
        <v>317.681</v>
      </c>
      <c r="T11" s="757">
        <v>333.866</v>
      </c>
      <c r="U11" s="396">
        <v>226.1</v>
      </c>
      <c r="V11" s="763">
        <v>261.3</v>
      </c>
      <c r="W11" s="749">
        <f t="shared" si="1"/>
        <v>15.568332596196388</v>
      </c>
      <c r="X11" s="174" t="s">
        <v>65</v>
      </c>
    </row>
    <row r="12" spans="1:24" ht="12.75" customHeight="1">
      <c r="A12" s="12"/>
      <c r="B12" s="14" t="s">
        <v>67</v>
      </c>
      <c r="C12" s="739"/>
      <c r="D12" s="739"/>
      <c r="E12" s="488"/>
      <c r="F12" s="100"/>
      <c r="G12" s="100"/>
      <c r="H12" s="100">
        <v>183.964</v>
      </c>
      <c r="I12" s="740">
        <f>184.278+15.357</f>
        <v>199.635</v>
      </c>
      <c r="J12" s="740">
        <f>202.929+16.382</f>
        <v>219.311</v>
      </c>
      <c r="K12" s="740">
        <f>225.477+17.482</f>
        <v>242.959</v>
      </c>
      <c r="L12" s="740">
        <f>246.621+18.751</f>
        <v>265.372</v>
      </c>
      <c r="M12" s="740">
        <f>260.276+20.035</f>
        <v>280.31100000000004</v>
      </c>
      <c r="N12" s="740">
        <f>268.259+21.151</f>
        <v>289.41</v>
      </c>
      <c r="O12" s="740">
        <f>275.617+22.669</f>
        <v>298.286</v>
      </c>
      <c r="P12" s="740">
        <f>296.412+24.823</f>
        <v>321.23499999999996</v>
      </c>
      <c r="Q12" s="740">
        <f>323.434+26.061</f>
        <v>349.495</v>
      </c>
      <c r="R12" s="740">
        <f>340.094+25.652</f>
        <v>365.746</v>
      </c>
      <c r="S12" s="740">
        <f>371.437+24.769</f>
        <v>396.206</v>
      </c>
      <c r="T12" s="740">
        <f>415.101+24.06</f>
        <v>439.161</v>
      </c>
      <c r="U12" s="740">
        <f>468.282+22.622</f>
        <v>490.904</v>
      </c>
      <c r="V12" s="764">
        <f>533.916+20.915</f>
        <v>554.831</v>
      </c>
      <c r="W12" s="748">
        <f t="shared" si="1"/>
        <v>13.02230171275851</v>
      </c>
      <c r="X12" s="14" t="s">
        <v>67</v>
      </c>
    </row>
    <row r="13" spans="1:24" ht="12.75" customHeight="1">
      <c r="A13" s="12"/>
      <c r="B13" s="174" t="s">
        <v>78</v>
      </c>
      <c r="C13" s="756">
        <v>245</v>
      </c>
      <c r="D13" s="756">
        <v>249</v>
      </c>
      <c r="E13" s="765">
        <v>286.613</v>
      </c>
      <c r="F13" s="396">
        <f>252.775+38.314+7.223</f>
        <v>298.312</v>
      </c>
      <c r="G13" s="396">
        <v>304.205</v>
      </c>
      <c r="H13" s="396">
        <v>312.274</v>
      </c>
      <c r="I13" s="396">
        <v>322.032</v>
      </c>
      <c r="J13" s="396">
        <v>333.758</v>
      </c>
      <c r="K13" s="396">
        <v>339.897</v>
      </c>
      <c r="L13" s="396">
        <v>345.972</v>
      </c>
      <c r="M13" s="396">
        <v>357.633</v>
      </c>
      <c r="N13" s="396">
        <v>373.258</v>
      </c>
      <c r="O13" s="396">
        <v>384.85</v>
      </c>
      <c r="P13" s="396">
        <v>392.26</v>
      </c>
      <c r="Q13" s="396">
        <v>401.762</v>
      </c>
      <c r="R13" s="396">
        <v>412.813</v>
      </c>
      <c r="S13" s="396">
        <v>436.147</v>
      </c>
      <c r="T13" s="396">
        <f>421.203+34.546+13.774</f>
        <v>469.52299999999997</v>
      </c>
      <c r="U13" s="396">
        <f>459.082+35.154+14.538</f>
        <v>508.774</v>
      </c>
      <c r="V13" s="763">
        <f>485.786+35.442+15.322</f>
        <v>536.55</v>
      </c>
      <c r="W13" s="749">
        <f t="shared" si="1"/>
        <v>5.459398475551014</v>
      </c>
      <c r="X13" s="174" t="s">
        <v>78</v>
      </c>
    </row>
    <row r="14" spans="1:24" ht="12.75" customHeight="1">
      <c r="A14" s="12"/>
      <c r="B14" s="14" t="s">
        <v>84</v>
      </c>
      <c r="C14" s="741">
        <v>1188</v>
      </c>
      <c r="D14" s="741">
        <v>1511</v>
      </c>
      <c r="E14" s="99">
        <v>1653</v>
      </c>
      <c r="F14" s="100">
        <v>1660</v>
      </c>
      <c r="G14" s="742">
        <v>1849</v>
      </c>
      <c r="H14" s="100">
        <f>2068.554+120.429</f>
        <v>2188.983</v>
      </c>
      <c r="I14" s="100">
        <f>2167.898+121.512</f>
        <v>2289.4100000000003</v>
      </c>
      <c r="J14" s="100">
        <f>2251.326+127.386</f>
        <v>2378.712</v>
      </c>
      <c r="K14" s="742">
        <f>2296.799+132.16</f>
        <v>2428.959</v>
      </c>
      <c r="L14" s="100">
        <f>2045.428+136.569</f>
        <v>2181.9970000000003</v>
      </c>
      <c r="M14" s="100">
        <f>2121.753+145.269</f>
        <v>2267.022</v>
      </c>
      <c r="N14" s="100">
        <f>2205.13+156.592</f>
        <v>2361.722</v>
      </c>
      <c r="O14" s="100">
        <f>2247.983+171.124</f>
        <v>2419.107</v>
      </c>
      <c r="P14" s="100">
        <f>2249.802+177.884</f>
        <v>2427.686</v>
      </c>
      <c r="Q14" s="100">
        <f>2219.508+178.114</f>
        <v>2397.622</v>
      </c>
      <c r="R14" s="100">
        <f>2205.856+179.219</f>
        <v>2385.0750000000003</v>
      </c>
      <c r="S14" s="100">
        <f>2199.922+185.364</f>
        <v>2385.286</v>
      </c>
      <c r="T14" s="100">
        <f>2212.781+192.124</f>
        <v>2404.9049999999997</v>
      </c>
      <c r="U14" s="742">
        <f>2270.949+200.272</f>
        <v>2471.221</v>
      </c>
      <c r="V14" s="766">
        <f>2323.064+179.935</f>
        <v>2502.999</v>
      </c>
      <c r="W14" s="748">
        <f t="shared" si="1"/>
        <v>1.2859230315702241</v>
      </c>
      <c r="X14" s="14" t="s">
        <v>84</v>
      </c>
    </row>
    <row r="15" spans="1:24" ht="12.75" customHeight="1">
      <c r="A15" s="12"/>
      <c r="B15" s="174" t="s">
        <v>68</v>
      </c>
      <c r="C15" s="756"/>
      <c r="D15" s="756">
        <v>51.1</v>
      </c>
      <c r="E15" s="395">
        <v>67.7</v>
      </c>
      <c r="F15" s="396">
        <v>77.1</v>
      </c>
      <c r="G15" s="396">
        <v>74.6</v>
      </c>
      <c r="H15" s="396">
        <v>74.1</v>
      </c>
      <c r="I15" s="396">
        <v>53.7</v>
      </c>
      <c r="J15" s="396">
        <v>65.598</v>
      </c>
      <c r="K15" s="396">
        <v>71.304</v>
      </c>
      <c r="L15" s="396">
        <v>76.605</v>
      </c>
      <c r="M15" s="396">
        <v>80.617</v>
      </c>
      <c r="N15" s="396">
        <v>81.03</v>
      </c>
      <c r="O15" s="396">
        <v>82.119</v>
      </c>
      <c r="P15" s="396">
        <v>80.535</v>
      </c>
      <c r="Q15" s="396">
        <v>80.179</v>
      </c>
      <c r="R15" s="396">
        <v>83.43</v>
      </c>
      <c r="S15" s="396">
        <v>85.732</v>
      </c>
      <c r="T15" s="396">
        <v>86.201</v>
      </c>
      <c r="U15" s="757">
        <v>92.86</v>
      </c>
      <c r="V15" s="396">
        <v>80.28</v>
      </c>
      <c r="W15" s="749">
        <f t="shared" si="1"/>
        <v>-13.547275468447118</v>
      </c>
      <c r="X15" s="174" t="s">
        <v>68</v>
      </c>
    </row>
    <row r="16" spans="1:24" ht="12.75" customHeight="1">
      <c r="A16" s="12"/>
      <c r="B16" s="14" t="s">
        <v>87</v>
      </c>
      <c r="C16" s="741">
        <v>49</v>
      </c>
      <c r="D16" s="741">
        <v>65</v>
      </c>
      <c r="E16" s="99">
        <v>143.166</v>
      </c>
      <c r="F16" s="100">
        <v>148.331</v>
      </c>
      <c r="G16" s="100">
        <v>144.798</v>
      </c>
      <c r="H16" s="100">
        <v>135.225</v>
      </c>
      <c r="I16" s="100">
        <v>135.809</v>
      </c>
      <c r="J16" s="100">
        <v>141.785</v>
      </c>
      <c r="K16" s="100">
        <v>146.601</v>
      </c>
      <c r="L16" s="100">
        <v>158.158</v>
      </c>
      <c r="M16" s="100">
        <v>170.866</v>
      </c>
      <c r="N16" s="100">
        <v>188.814</v>
      </c>
      <c r="O16" s="100">
        <v>205.575</v>
      </c>
      <c r="P16" s="100">
        <v>219.51</v>
      </c>
      <c r="Q16" s="100">
        <v>233.069</v>
      </c>
      <c r="R16" s="100">
        <v>251.13</v>
      </c>
      <c r="S16" s="100">
        <v>268.082</v>
      </c>
      <c r="T16" s="100">
        <v>286.548</v>
      </c>
      <c r="U16" s="100">
        <v>318.604</v>
      </c>
      <c r="V16" s="766">
        <v>345.874</v>
      </c>
      <c r="W16" s="748">
        <f t="shared" si="1"/>
        <v>8.559214573577245</v>
      </c>
      <c r="X16" s="14" t="s">
        <v>87</v>
      </c>
    </row>
    <row r="17" spans="1:24" ht="12.75" customHeight="1">
      <c r="A17" s="12"/>
      <c r="B17" s="174" t="s">
        <v>79</v>
      </c>
      <c r="C17" s="756">
        <v>105</v>
      </c>
      <c r="D17" s="756">
        <v>401</v>
      </c>
      <c r="E17" s="395">
        <v>766.429</v>
      </c>
      <c r="F17" s="396">
        <v>792.77</v>
      </c>
      <c r="G17" s="396">
        <v>797.788</v>
      </c>
      <c r="H17" s="396">
        <v>825.697</v>
      </c>
      <c r="I17" s="396">
        <v>849.033</v>
      </c>
      <c r="J17" s="396">
        <v>883.823</v>
      </c>
      <c r="K17" s="396">
        <v>914.827</v>
      </c>
      <c r="L17" s="396">
        <v>951.785</v>
      </c>
      <c r="M17" s="396">
        <v>987.357</v>
      </c>
      <c r="N17" s="396">
        <v>1023.987</v>
      </c>
      <c r="O17" s="396">
        <v>1057.422</v>
      </c>
      <c r="P17" s="396">
        <v>1085.811</v>
      </c>
      <c r="Q17" s="396">
        <v>1109.137</v>
      </c>
      <c r="R17" s="396">
        <v>1131.027</v>
      </c>
      <c r="S17" s="396">
        <v>1159.137</v>
      </c>
      <c r="T17" s="396">
        <v>1186.483</v>
      </c>
      <c r="U17" s="396">
        <v>1219.889</v>
      </c>
      <c r="V17" s="763">
        <v>1255.945</v>
      </c>
      <c r="W17" s="749">
        <f t="shared" si="1"/>
        <v>2.955678754378477</v>
      </c>
      <c r="X17" s="174" t="s">
        <v>79</v>
      </c>
    </row>
    <row r="18" spans="1:24" ht="12.75" customHeight="1">
      <c r="A18" s="12"/>
      <c r="B18" s="14" t="s">
        <v>85</v>
      </c>
      <c r="C18" s="741">
        <v>710</v>
      </c>
      <c r="D18" s="741">
        <f>1338.258+24.166</f>
        <v>1362.424</v>
      </c>
      <c r="E18" s="99">
        <f>2332.928+68.157</f>
        <v>2401.085</v>
      </c>
      <c r="F18" s="100">
        <f>2495.226+73.203</f>
        <v>2568.429</v>
      </c>
      <c r="G18" s="100">
        <f>2649.596+76.595</f>
        <v>2726.191</v>
      </c>
      <c r="H18" s="100">
        <f>2735.144+77.466</f>
        <v>2812.6099999999997</v>
      </c>
      <c r="I18" s="100">
        <f>2825.747+80.003</f>
        <v>2905.75</v>
      </c>
      <c r="J18" s="100">
        <f>2936.765+87.481</f>
        <v>3024.246</v>
      </c>
      <c r="K18" s="100">
        <f>3057.347+94.557</f>
        <v>3151.904</v>
      </c>
      <c r="L18" s="100">
        <f>3205.974+104.121</f>
        <v>3310.0950000000003</v>
      </c>
      <c r="M18" s="100">
        <f>3393.446+116.305</f>
        <v>3509.7509999999997</v>
      </c>
      <c r="N18" s="100">
        <f>3604.972+130.216</f>
        <v>3735.188</v>
      </c>
      <c r="O18" s="100">
        <f>3780.221+142.955</f>
        <v>3923.176</v>
      </c>
      <c r="P18" s="100">
        <f>3949.001+155.957</f>
        <v>4104.9580000000005</v>
      </c>
      <c r="Q18" s="742">
        <f>4091.875+167.014</f>
        <v>4258.889</v>
      </c>
      <c r="R18" s="100">
        <f>4188.91+174.507</f>
        <v>4363.4169999999995</v>
      </c>
      <c r="S18" s="100">
        <f>4418.039+185.379</f>
        <v>4603.418</v>
      </c>
      <c r="T18" s="100">
        <f>4655.413+194.206</f>
        <v>4849.619</v>
      </c>
      <c r="U18" s="100">
        <f>4886.013+201.298</f>
        <v>5087.311</v>
      </c>
      <c r="V18" s="766">
        <f>5140.586+212.697</f>
        <v>5353.283</v>
      </c>
      <c r="W18" s="748">
        <f t="shared" si="1"/>
        <v>5.228145084898506</v>
      </c>
      <c r="X18" s="14" t="s">
        <v>85</v>
      </c>
    </row>
    <row r="19" spans="1:24" ht="12.75" customHeight="1">
      <c r="A19" s="12"/>
      <c r="B19" s="174" t="s">
        <v>86</v>
      </c>
      <c r="C19" s="756">
        <v>1504</v>
      </c>
      <c r="D19" s="756">
        <v>2457</v>
      </c>
      <c r="E19" s="395">
        <v>4670</v>
      </c>
      <c r="F19" s="396">
        <v>4763</v>
      </c>
      <c r="G19" s="396">
        <v>4781</v>
      </c>
      <c r="H19" s="396">
        <v>4814</v>
      </c>
      <c r="I19" s="396">
        <v>4881</v>
      </c>
      <c r="J19" s="396">
        <v>4926</v>
      </c>
      <c r="K19" s="396">
        <v>4976</v>
      </c>
      <c r="L19" s="757">
        <v>5100</v>
      </c>
      <c r="M19" s="396">
        <f>4766.806+184.359</f>
        <v>4951.165</v>
      </c>
      <c r="N19" s="396">
        <f>4847.308+190.916</f>
        <v>5038.224</v>
      </c>
      <c r="O19" s="396">
        <f>4954.018+197.668</f>
        <v>5151.686</v>
      </c>
      <c r="P19" s="396">
        <f>5050.329+201.961</f>
        <v>5252.29</v>
      </c>
      <c r="Q19" s="396">
        <f>5084.042+208.511</f>
        <v>5292.553000000001</v>
      </c>
      <c r="R19" s="396">
        <f>5079.526+218.921</f>
        <v>5298.447</v>
      </c>
      <c r="S19" s="396">
        <f>5085.422+229.42</f>
        <v>5314.842</v>
      </c>
      <c r="T19" s="396">
        <f>5107.013+239.68</f>
        <v>5346.693</v>
      </c>
      <c r="U19" s="396">
        <f>5099.124+245.668</f>
        <v>5344.7919999999995</v>
      </c>
      <c r="V19" s="763">
        <f>5221.075+254.97</f>
        <v>5476.045</v>
      </c>
      <c r="W19" s="749">
        <f t="shared" si="1"/>
        <v>2.455717640649069</v>
      </c>
      <c r="X19" s="174" t="s">
        <v>86</v>
      </c>
    </row>
    <row r="20" spans="1:24" ht="12.75" customHeight="1">
      <c r="A20" s="12"/>
      <c r="B20" s="14" t="s">
        <v>88</v>
      </c>
      <c r="C20" s="741">
        <v>877</v>
      </c>
      <c r="D20" s="741">
        <v>1338</v>
      </c>
      <c r="E20" s="767">
        <f>2140.123+208.869</f>
        <v>2348.992</v>
      </c>
      <c r="F20" s="743">
        <f>2220.859+226.693</f>
        <v>2447.552</v>
      </c>
      <c r="G20" s="743">
        <f>2285.712+246.101</f>
        <v>2531.813</v>
      </c>
      <c r="H20" s="743">
        <f>2314.142+254.866</f>
        <v>2569.008</v>
      </c>
      <c r="I20" s="743">
        <f>2370.759+267.125</f>
        <v>2637.884</v>
      </c>
      <c r="J20" s="743">
        <f>2430.262+278.539</f>
        <v>2708.8010000000004</v>
      </c>
      <c r="K20" s="743">
        <f>2550.344+325.353</f>
        <v>2875.697</v>
      </c>
      <c r="L20" s="743">
        <f>2626.507+341.207</f>
        <v>2967.714</v>
      </c>
      <c r="M20" s="743">
        <f>2730.26+359.81</f>
        <v>3090.07</v>
      </c>
      <c r="N20" s="743">
        <f>2840.08+381.255</f>
        <v>3221.335</v>
      </c>
      <c r="O20" s="743">
        <f>2971.05+406.523</f>
        <v>3377.5730000000003</v>
      </c>
      <c r="P20" s="743">
        <f>3110.317+431.228</f>
        <v>3541.545</v>
      </c>
      <c r="Q20" s="743">
        <f>3297.26+454.34</f>
        <v>3751.6000000000004</v>
      </c>
      <c r="R20" s="743">
        <f>3450.903+483.027</f>
        <v>3933.93</v>
      </c>
      <c r="S20" s="743">
        <f>3502.633+512.979</f>
        <v>4015.612</v>
      </c>
      <c r="T20" s="662">
        <f>3637.74+541.919</f>
        <v>4179.659</v>
      </c>
      <c r="U20" s="662">
        <f>3763.093+568.654</f>
        <v>4331.746999999999</v>
      </c>
      <c r="V20" s="768">
        <f>3842.995+594.643</f>
        <v>4437.638</v>
      </c>
      <c r="W20" s="748">
        <f t="shared" si="1"/>
        <v>2.4445333487851606</v>
      </c>
      <c r="X20" s="14" t="s">
        <v>88</v>
      </c>
    </row>
    <row r="21" spans="1:24" ht="12.75" customHeight="1">
      <c r="A21" s="12"/>
      <c r="B21" s="174" t="s">
        <v>66</v>
      </c>
      <c r="C21" s="756"/>
      <c r="D21" s="756">
        <v>23.6</v>
      </c>
      <c r="E21" s="395">
        <v>74.325</v>
      </c>
      <c r="F21" s="396"/>
      <c r="G21" s="396"/>
      <c r="H21" s="396"/>
      <c r="I21" s="396"/>
      <c r="J21" s="396">
        <v>101.184</v>
      </c>
      <c r="K21" s="396">
        <v>104.04</v>
      </c>
      <c r="L21" s="396">
        <v>105.657</v>
      </c>
      <c r="M21" s="396">
        <v>109.294</v>
      </c>
      <c r="N21" s="396">
        <v>111.135</v>
      </c>
      <c r="O21" s="396">
        <v>114.666</v>
      </c>
      <c r="P21" s="396">
        <v>117.947</v>
      </c>
      <c r="Q21" s="396">
        <v>117.792</v>
      </c>
      <c r="R21" s="396">
        <v>119.646</v>
      </c>
      <c r="S21" s="396">
        <v>117.825</v>
      </c>
      <c r="T21" s="396">
        <v>118.355</v>
      </c>
      <c r="U21" s="396">
        <v>115.723</v>
      </c>
      <c r="V21" s="763">
        <v>117.498</v>
      </c>
      <c r="W21" s="749">
        <f t="shared" si="1"/>
        <v>1.5338351062450961</v>
      </c>
      <c r="X21" s="174" t="s">
        <v>66</v>
      </c>
    </row>
    <row r="22" spans="1:24" ht="12.75" customHeight="1">
      <c r="A22" s="12"/>
      <c r="B22" s="14" t="s">
        <v>70</v>
      </c>
      <c r="C22" s="741"/>
      <c r="D22" s="741"/>
      <c r="E22" s="99"/>
      <c r="F22" s="100"/>
      <c r="G22" s="100"/>
      <c r="H22" s="100"/>
      <c r="I22" s="100">
        <v>66.436</v>
      </c>
      <c r="J22" s="100">
        <v>68.668</v>
      </c>
      <c r="K22" s="100">
        <v>72.909</v>
      </c>
      <c r="L22" s="100">
        <v>76.771</v>
      </c>
      <c r="M22" s="100">
        <v>84.942</v>
      </c>
      <c r="N22" s="100">
        <v>90.22</v>
      </c>
      <c r="O22" s="100">
        <v>97.081</v>
      </c>
      <c r="P22" s="100">
        <v>99.708</v>
      </c>
      <c r="Q22" s="100">
        <v>102.734</v>
      </c>
      <c r="R22" s="100">
        <v>104.626</v>
      </c>
      <c r="S22" s="100">
        <v>107.553</v>
      </c>
      <c r="T22" s="100">
        <v>113.113</v>
      </c>
      <c r="U22" s="100">
        <v>121.12</v>
      </c>
      <c r="V22" s="766">
        <v>129.614</v>
      </c>
      <c r="W22" s="748">
        <f t="shared" si="1"/>
        <v>7.012879788639359</v>
      </c>
      <c r="X22" s="14" t="s">
        <v>70</v>
      </c>
    </row>
    <row r="23" spans="1:24" ht="12.75" customHeight="1">
      <c r="A23" s="12"/>
      <c r="B23" s="174" t="s">
        <v>71</v>
      </c>
      <c r="C23" s="756"/>
      <c r="D23" s="756">
        <v>65.7</v>
      </c>
      <c r="E23" s="395">
        <v>83</v>
      </c>
      <c r="F23" s="396"/>
      <c r="G23" s="396"/>
      <c r="H23" s="396">
        <v>98.771</v>
      </c>
      <c r="I23" s="396">
        <v>101.06</v>
      </c>
      <c r="J23" s="396">
        <f>101.422+7.469</f>
        <v>108.89099999999999</v>
      </c>
      <c r="K23" s="396">
        <f>81.291+7.992</f>
        <v>89.283</v>
      </c>
      <c r="L23" s="396">
        <f>84.731+8.939</f>
        <v>93.66999999999999</v>
      </c>
      <c r="M23" s="396">
        <f>89.866+9.588</f>
        <v>99.454</v>
      </c>
      <c r="N23" s="396">
        <f>86.824+9.752</f>
        <v>96.576</v>
      </c>
      <c r="O23" s="396">
        <f>88.346+10.267</f>
        <v>98.613</v>
      </c>
      <c r="P23" s="396">
        <f>89.373+11.016</f>
        <v>100.38900000000001</v>
      </c>
      <c r="Q23" s="396">
        <f>93.508+12.037</f>
        <v>105.545</v>
      </c>
      <c r="R23" s="396">
        <f>97.454+13.063</f>
        <v>110.517</v>
      </c>
      <c r="S23" s="396">
        <f>101.284+14.393</f>
        <v>115.677</v>
      </c>
      <c r="T23" s="396">
        <f>106.247+16.239</f>
        <v>122.486</v>
      </c>
      <c r="U23" s="396">
        <f>117.427+18.119</f>
        <v>135.546</v>
      </c>
      <c r="V23" s="763">
        <f>126.507+21.076</f>
        <v>147.583</v>
      </c>
      <c r="W23" s="749">
        <f t="shared" si="1"/>
        <v>8.88038009236718</v>
      </c>
      <c r="X23" s="174" t="s">
        <v>71</v>
      </c>
    </row>
    <row r="24" spans="1:24" ht="12.75" customHeight="1">
      <c r="A24" s="12"/>
      <c r="B24" s="14" t="s">
        <v>89</v>
      </c>
      <c r="C24" s="741">
        <v>9</v>
      </c>
      <c r="D24" s="741">
        <v>9</v>
      </c>
      <c r="E24" s="99">
        <v>11.275</v>
      </c>
      <c r="F24" s="100">
        <v>12</v>
      </c>
      <c r="G24" s="100">
        <v>13</v>
      </c>
      <c r="H24" s="100">
        <v>14.641</v>
      </c>
      <c r="I24" s="100">
        <v>15.398</v>
      </c>
      <c r="J24" s="742">
        <v>15.794</v>
      </c>
      <c r="K24" s="100">
        <f>11.899+4.378+2.103</f>
        <v>18.380000000000003</v>
      </c>
      <c r="L24" s="100">
        <f>12.645+4.379+2.354</f>
        <v>19.378</v>
      </c>
      <c r="M24" s="100">
        <f>13.468+4.565+2.763</f>
        <v>20.796</v>
      </c>
      <c r="N24" s="100">
        <f>14.457+4.787+3.319</f>
        <v>22.563</v>
      </c>
      <c r="O24" s="100">
        <f>15.391+5.048+4.228</f>
        <v>24.667</v>
      </c>
      <c r="P24" s="100">
        <f>16.55+5.232+4.522</f>
        <v>26.304000000000002</v>
      </c>
      <c r="Q24" s="100">
        <f>17.459+5.232+4.262</f>
        <v>26.953</v>
      </c>
      <c r="R24" s="100">
        <f>18.07+5.26+4.599</f>
        <v>27.929</v>
      </c>
      <c r="S24" s="100">
        <f>18.803+5.173+4.45</f>
        <v>28.426</v>
      </c>
      <c r="T24" s="100">
        <f>19.712+5.151+4.725</f>
        <v>29.588</v>
      </c>
      <c r="U24" s="100">
        <f>20.576+5.179+4.98</f>
        <v>30.735000000000003</v>
      </c>
      <c r="V24" s="766">
        <f>21.752+5.278+5.49</f>
        <v>32.519999999999996</v>
      </c>
      <c r="W24" s="748">
        <f t="shared" si="1"/>
        <v>5.807711078574895</v>
      </c>
      <c r="X24" s="14" t="s">
        <v>89</v>
      </c>
    </row>
    <row r="25" spans="1:24" ht="12.75" customHeight="1">
      <c r="A25" s="12"/>
      <c r="B25" s="174" t="s">
        <v>69</v>
      </c>
      <c r="C25" s="756"/>
      <c r="D25" s="756">
        <v>197</v>
      </c>
      <c r="E25" s="395">
        <v>262</v>
      </c>
      <c r="F25" s="396"/>
      <c r="G25" s="396"/>
      <c r="H25" s="396"/>
      <c r="I25" s="396"/>
      <c r="J25" s="396">
        <v>292.1</v>
      </c>
      <c r="K25" s="396">
        <v>303.1</v>
      </c>
      <c r="L25" s="396">
        <v>315.2</v>
      </c>
      <c r="M25" s="396">
        <v>337</v>
      </c>
      <c r="N25" s="396">
        <v>345.627</v>
      </c>
      <c r="O25" s="396">
        <v>366.433</v>
      </c>
      <c r="P25" s="396">
        <v>380.44100000000003</v>
      </c>
      <c r="Q25" s="396">
        <f>369.295+26.786</f>
        <v>396.081</v>
      </c>
      <c r="R25" s="396">
        <f>377.111+29.752</f>
        <v>406.863</v>
      </c>
      <c r="S25" s="396">
        <f>378.088+32.398</f>
        <v>410.48600000000005</v>
      </c>
      <c r="T25" s="396">
        <f>391.731+35.917</f>
        <v>427.648</v>
      </c>
      <c r="U25" s="396">
        <f>404.888+39.56</f>
        <v>444.448</v>
      </c>
      <c r="V25" s="763">
        <f>416.045+43.394</f>
        <v>459.439</v>
      </c>
      <c r="W25" s="749">
        <f t="shared" si="1"/>
        <v>3.3729480164158776</v>
      </c>
      <c r="X25" s="174" t="s">
        <v>69</v>
      </c>
    </row>
    <row r="26" spans="1:24" ht="12.75" customHeight="1">
      <c r="A26" s="12"/>
      <c r="B26" s="14" t="s">
        <v>72</v>
      </c>
      <c r="C26" s="741"/>
      <c r="D26" s="741" t="s">
        <v>121</v>
      </c>
      <c r="E26" s="99" t="s">
        <v>121</v>
      </c>
      <c r="F26" s="100"/>
      <c r="G26" s="100"/>
      <c r="H26" s="100">
        <v>34.024</v>
      </c>
      <c r="I26" s="100">
        <v>37.601</v>
      </c>
      <c r="J26" s="100">
        <v>40.835</v>
      </c>
      <c r="K26" s="100">
        <v>38.431</v>
      </c>
      <c r="L26" s="100">
        <v>46.312</v>
      </c>
      <c r="M26" s="100">
        <v>48.403</v>
      </c>
      <c r="N26" s="100">
        <v>50.047</v>
      </c>
      <c r="O26" s="742">
        <v>51.463</v>
      </c>
      <c r="P26" s="100">
        <f>38.861+4.802</f>
        <v>43.663</v>
      </c>
      <c r="Q26" s="100">
        <f>38.149+5.703</f>
        <v>43.852000000000004</v>
      </c>
      <c r="R26" s="100">
        <f>39.675+4.982</f>
        <v>44.657</v>
      </c>
      <c r="S26" s="100">
        <v>44.575</v>
      </c>
      <c r="T26" s="100">
        <v>44.371</v>
      </c>
      <c r="U26" s="100">
        <v>45.505</v>
      </c>
      <c r="V26" s="766">
        <v>46.853</v>
      </c>
      <c r="W26" s="748">
        <f t="shared" si="1"/>
        <v>2.962311833864417</v>
      </c>
      <c r="X26" s="14" t="s">
        <v>72</v>
      </c>
    </row>
    <row r="27" spans="1:24" ht="12.75" customHeight="1">
      <c r="A27" s="12"/>
      <c r="B27" s="175" t="s">
        <v>80</v>
      </c>
      <c r="C27" s="756">
        <v>286</v>
      </c>
      <c r="D27" s="756">
        <v>314</v>
      </c>
      <c r="E27" s="395">
        <v>553</v>
      </c>
      <c r="F27" s="396">
        <v>578</v>
      </c>
      <c r="G27" s="396">
        <v>619</v>
      </c>
      <c r="H27" s="396">
        <v>641</v>
      </c>
      <c r="I27" s="396">
        <v>644</v>
      </c>
      <c r="J27" s="396">
        <v>654</v>
      </c>
      <c r="K27" s="396">
        <v>684</v>
      </c>
      <c r="L27" s="396">
        <v>727</v>
      </c>
      <c r="M27" s="396">
        <v>795</v>
      </c>
      <c r="N27" s="396">
        <v>836.186</v>
      </c>
      <c r="O27" s="396">
        <v>899.2629999999999</v>
      </c>
      <c r="P27" s="396">
        <v>942.691</v>
      </c>
      <c r="Q27" s="396">
        <v>980.283</v>
      </c>
      <c r="R27" s="396">
        <v>1009.6360000000001</v>
      </c>
      <c r="S27" s="396">
        <f>893.577+77.503+64.519</f>
        <v>1035.5990000000002</v>
      </c>
      <c r="T27" s="396">
        <f>862.974+75.924+65.608</f>
        <v>1004.5060000000001</v>
      </c>
      <c r="U27" s="396">
        <f>849.348+75.841+70.544</f>
        <v>995.733</v>
      </c>
      <c r="V27" s="763">
        <f>862.303+75.313+72.786</f>
        <v>1010.402</v>
      </c>
      <c r="W27" s="749">
        <f t="shared" si="1"/>
        <v>1.4731860850248024</v>
      </c>
      <c r="X27" s="175" t="s">
        <v>80</v>
      </c>
    </row>
    <row r="28" spans="1:24" ht="12.75" customHeight="1">
      <c r="A28" s="12"/>
      <c r="B28" s="14" t="s">
        <v>90</v>
      </c>
      <c r="C28" s="741">
        <f>121.048+1.242</f>
        <v>122.29</v>
      </c>
      <c r="D28" s="741">
        <f>183.724+5.526</f>
        <v>189.25</v>
      </c>
      <c r="E28" s="99">
        <f>252.504+9.336</f>
        <v>261.84</v>
      </c>
      <c r="F28" s="100">
        <f>259.308+9.971</f>
        <v>269.279</v>
      </c>
      <c r="G28" s="100">
        <f>269.268+10.677</f>
        <v>279.945</v>
      </c>
      <c r="H28" s="100">
        <f>275.543+11.136</f>
        <v>286.67900000000003</v>
      </c>
      <c r="I28" s="100">
        <f>283.157+11.768</f>
        <v>294.92499999999995</v>
      </c>
      <c r="J28" s="100">
        <f>290.29+12.617</f>
        <v>302.90700000000004</v>
      </c>
      <c r="K28" s="100">
        <f>293.614+13.303</f>
        <v>306.917</v>
      </c>
      <c r="L28" s="100">
        <f>300.726+14.332</f>
        <v>315.058</v>
      </c>
      <c r="M28" s="100">
        <f>309.63+15.705</f>
        <v>325.335</v>
      </c>
      <c r="N28" s="100">
        <f>318.757+17.015</f>
        <v>335.772</v>
      </c>
      <c r="O28" s="100">
        <f>326.784+17.682</f>
        <v>344.466</v>
      </c>
      <c r="P28" s="742">
        <f>331.394+18.276</f>
        <v>349.67</v>
      </c>
      <c r="Q28" s="100">
        <f>319.981+18.813</f>
        <v>338.794</v>
      </c>
      <c r="R28" s="100">
        <f>326.087+19.534</f>
        <v>345.621</v>
      </c>
      <c r="S28" s="100">
        <f>332.976+20.079</f>
        <v>353.055</v>
      </c>
      <c r="T28" s="100">
        <f>338.888+19.161</f>
        <v>358.049</v>
      </c>
      <c r="U28" s="100">
        <f>345.48+18.843</f>
        <v>364.32300000000004</v>
      </c>
      <c r="V28" s="766">
        <f>353.744+18.901</f>
        <v>372.64500000000004</v>
      </c>
      <c r="W28" s="748">
        <f t="shared" si="1"/>
        <v>2.2842367898814997</v>
      </c>
      <c r="X28" s="14" t="s">
        <v>90</v>
      </c>
    </row>
    <row r="29" spans="1:24" ht="12.75" customHeight="1">
      <c r="A29" s="12"/>
      <c r="B29" s="174" t="s">
        <v>73</v>
      </c>
      <c r="C29" s="756"/>
      <c r="D29" s="756" t="s">
        <v>121</v>
      </c>
      <c r="E29" s="395" t="s">
        <v>121</v>
      </c>
      <c r="F29" s="396"/>
      <c r="G29" s="396"/>
      <c r="H29" s="396">
        <v>999.845</v>
      </c>
      <c r="I29" s="396">
        <v>1053.979</v>
      </c>
      <c r="J29" s="396">
        <v>1354.099</v>
      </c>
      <c r="K29" s="396">
        <v>1431.357</v>
      </c>
      <c r="L29" s="396">
        <v>1487.4389999999999</v>
      </c>
      <c r="M29" s="396">
        <v>1562.814</v>
      </c>
      <c r="N29" s="396">
        <v>1682.887</v>
      </c>
      <c r="O29" s="396">
        <v>1879.068</v>
      </c>
      <c r="P29" s="396">
        <v>1979.293</v>
      </c>
      <c r="Q29" s="396">
        <v>2162.614</v>
      </c>
      <c r="R29" s="396">
        <v>2313.4190000000003</v>
      </c>
      <c r="S29" s="396">
        <v>2391.605</v>
      </c>
      <c r="T29" s="396">
        <v>2304.505</v>
      </c>
      <c r="U29" s="396">
        <f>2246.294+146.364</f>
        <v>2392.658</v>
      </c>
      <c r="V29" s="763">
        <f>2345.068+175.48</f>
        <v>2520.5480000000002</v>
      </c>
      <c r="W29" s="749">
        <f t="shared" si="1"/>
        <v>5.345101556511644</v>
      </c>
      <c r="X29" s="174" t="s">
        <v>73</v>
      </c>
    </row>
    <row r="30" spans="1:24" ht="12.75" customHeight="1">
      <c r="A30" s="12"/>
      <c r="B30" s="14" t="s">
        <v>91</v>
      </c>
      <c r="C30" s="741">
        <v>157</v>
      </c>
      <c r="D30" s="741">
        <v>350</v>
      </c>
      <c r="E30" s="99">
        <v>781</v>
      </c>
      <c r="F30" s="100">
        <v>847</v>
      </c>
      <c r="G30" s="100">
        <v>928</v>
      </c>
      <c r="H30" s="742">
        <v>1011</v>
      </c>
      <c r="I30" s="100">
        <v>868.246</v>
      </c>
      <c r="J30" s="100">
        <v>912.29</v>
      </c>
      <c r="K30" s="100">
        <v>969.699</v>
      </c>
      <c r="L30" s="100">
        <v>1076.556</v>
      </c>
      <c r="M30" s="100">
        <v>1105.287</v>
      </c>
      <c r="N30" s="100">
        <v>1232.312</v>
      </c>
      <c r="O30" s="100">
        <v>1313.223</v>
      </c>
      <c r="P30" s="100">
        <v>1401.305</v>
      </c>
      <c r="Q30" s="100">
        <v>1377.335</v>
      </c>
      <c r="R30" s="100">
        <v>1256.858</v>
      </c>
      <c r="S30" s="394">
        <v>1300</v>
      </c>
      <c r="T30" s="394">
        <v>1308</v>
      </c>
      <c r="U30" s="100">
        <f>1184+136</f>
        <v>1320</v>
      </c>
      <c r="V30" s="766">
        <f>1198+135</f>
        <v>1333</v>
      </c>
      <c r="W30" s="748">
        <f t="shared" si="1"/>
        <v>0.9848484848484773</v>
      </c>
      <c r="X30" s="14" t="s">
        <v>91</v>
      </c>
    </row>
    <row r="31" spans="1:24" ht="12.75" customHeight="1">
      <c r="A31" s="12"/>
      <c r="B31" s="174" t="s">
        <v>74</v>
      </c>
      <c r="C31" s="756"/>
      <c r="D31" s="756">
        <v>250</v>
      </c>
      <c r="E31" s="395">
        <v>258.701</v>
      </c>
      <c r="F31" s="396">
        <v>259.566</v>
      </c>
      <c r="G31" s="396">
        <v>275.487</v>
      </c>
      <c r="H31" s="396">
        <v>298.318</v>
      </c>
      <c r="I31" s="396">
        <v>322.417</v>
      </c>
      <c r="J31" s="396">
        <v>343.064</v>
      </c>
      <c r="K31" s="396">
        <v>376.817</v>
      </c>
      <c r="L31" s="396">
        <v>390.181</v>
      </c>
      <c r="M31" s="396">
        <v>405.743</v>
      </c>
      <c r="N31" s="396">
        <v>417.78</v>
      </c>
      <c r="O31" s="396">
        <v>427.152</v>
      </c>
      <c r="P31" s="396">
        <v>437.968</v>
      </c>
      <c r="Q31" s="396">
        <v>447.299</v>
      </c>
      <c r="R31" s="396">
        <v>463.099</v>
      </c>
      <c r="S31" s="396">
        <v>482.425</v>
      </c>
      <c r="T31" s="396">
        <v>493.821</v>
      </c>
      <c r="U31" s="757">
        <v>545.3</v>
      </c>
      <c r="V31" s="396">
        <v>501.957</v>
      </c>
      <c r="W31" s="749">
        <f t="shared" si="1"/>
        <v>-7.948468732807623</v>
      </c>
      <c r="X31" s="174" t="s">
        <v>74</v>
      </c>
    </row>
    <row r="32" spans="1:24" ht="12.75" customHeight="1">
      <c r="A32" s="12"/>
      <c r="B32" s="14" t="s">
        <v>76</v>
      </c>
      <c r="C32" s="741">
        <v>15.946</v>
      </c>
      <c r="D32" s="741">
        <v>28.455</v>
      </c>
      <c r="E32" s="99">
        <v>30.767</v>
      </c>
      <c r="F32" s="742">
        <v>30.772</v>
      </c>
      <c r="G32" s="100">
        <f>27.985+2.414+4.136</f>
        <v>34.535000000000004</v>
      </c>
      <c r="H32" s="100">
        <f>29.861+2.744+4.371</f>
        <v>36.976000000000006</v>
      </c>
      <c r="I32" s="100">
        <f>31.372+2.892+4.588</f>
        <v>38.852000000000004</v>
      </c>
      <c r="J32" s="100">
        <f>34.553+3.333+4.981</f>
        <v>42.867</v>
      </c>
      <c r="K32" s="100">
        <f>36.735+3.616+5.238</f>
        <v>45.589</v>
      </c>
      <c r="L32" s="100">
        <f>38.651+3.759+5.47</f>
        <v>47.88</v>
      </c>
      <c r="M32" s="100">
        <f>40.01+3.898+5.605</f>
        <v>49.513000000000005</v>
      </c>
      <c r="N32" s="100">
        <f>41.904+4.056+5.781</f>
        <v>51.741</v>
      </c>
      <c r="O32" s="100">
        <f>44.027+4.281+5.955</f>
        <v>54.263</v>
      </c>
      <c r="P32" s="100">
        <f>45.552+4.583+5.98</f>
        <v>56.114999999999995</v>
      </c>
      <c r="Q32" s="100">
        <f>47.11+4.768+6.022</f>
        <v>57.9</v>
      </c>
      <c r="R32" s="100">
        <f>48.673+4.969+6.159</f>
        <v>59.801</v>
      </c>
      <c r="S32" s="100">
        <f>51.241+5.577+6.36</f>
        <v>63.178</v>
      </c>
      <c r="T32" s="100">
        <f>53.646+6.213+6.588</f>
        <v>66.447</v>
      </c>
      <c r="U32" s="100">
        <f>57.051+7.168+5.913</f>
        <v>70.132</v>
      </c>
      <c r="V32" s="766">
        <f>62.635+8.677+6.256</f>
        <v>77.568</v>
      </c>
      <c r="W32" s="748">
        <f t="shared" si="1"/>
        <v>10.602863172303657</v>
      </c>
      <c r="X32" s="14" t="s">
        <v>76</v>
      </c>
    </row>
    <row r="33" spans="1:24" ht="12.75" customHeight="1">
      <c r="A33" s="12"/>
      <c r="B33" s="174" t="s">
        <v>75</v>
      </c>
      <c r="C33" s="758"/>
      <c r="D33" s="758"/>
      <c r="E33" s="489">
        <v>91.994</v>
      </c>
      <c r="F33" s="396">
        <v>95.336</v>
      </c>
      <c r="G33" s="396">
        <v>102.295</v>
      </c>
      <c r="H33" s="396">
        <v>101.552</v>
      </c>
      <c r="I33" s="396">
        <v>102.47</v>
      </c>
      <c r="J33" s="396">
        <v>102.634</v>
      </c>
      <c r="K33" s="396">
        <v>97.078</v>
      </c>
      <c r="L33" s="396">
        <v>103.68</v>
      </c>
      <c r="M33" s="396">
        <v>112.802</v>
      </c>
      <c r="N33" s="396">
        <v>118.28699999999999</v>
      </c>
      <c r="O33" s="396">
        <v>113.995</v>
      </c>
      <c r="P33" s="396">
        <v>125.393</v>
      </c>
      <c r="Q33" s="396">
        <v>137.171</v>
      </c>
      <c r="R33" s="396">
        <v>150.99099999999999</v>
      </c>
      <c r="S33" s="396">
        <v>151.83</v>
      </c>
      <c r="T33" s="396">
        <f>160.089+14.141</f>
        <v>174.23</v>
      </c>
      <c r="U33" s="396">
        <f>172.781+16.475</f>
        <v>189.256</v>
      </c>
      <c r="V33" s="763">
        <f>196.141+19.556</f>
        <v>215.697</v>
      </c>
      <c r="W33" s="749">
        <f t="shared" si="1"/>
        <v>13.971023375745029</v>
      </c>
      <c r="X33" s="174" t="s">
        <v>75</v>
      </c>
    </row>
    <row r="34" spans="1:24" ht="12.75" customHeight="1">
      <c r="A34" s="12"/>
      <c r="B34" s="14" t="s">
        <v>92</v>
      </c>
      <c r="C34" s="741">
        <v>103</v>
      </c>
      <c r="D34" s="741">
        <v>149</v>
      </c>
      <c r="E34" s="99">
        <v>264.157</v>
      </c>
      <c r="F34" s="100">
        <v>263.8</v>
      </c>
      <c r="G34" s="100">
        <v>263</v>
      </c>
      <c r="H34" s="100">
        <v>253.109</v>
      </c>
      <c r="I34" s="100">
        <v>246.553</v>
      </c>
      <c r="J34" s="100">
        <v>252.032</v>
      </c>
      <c r="K34" s="100">
        <v>258.697</v>
      </c>
      <c r="L34" s="100">
        <v>266.944</v>
      </c>
      <c r="M34" s="100">
        <v>280.61</v>
      </c>
      <c r="N34" s="100">
        <v>293.707</v>
      </c>
      <c r="O34" s="100">
        <v>304.318</v>
      </c>
      <c r="P34" s="100">
        <v>312.557</v>
      </c>
      <c r="Q34" s="100">
        <v>319.699</v>
      </c>
      <c r="R34" s="100">
        <v>327.122</v>
      </c>
      <c r="S34" s="100">
        <f>272.672+82.492</f>
        <v>355.16400000000004</v>
      </c>
      <c r="T34" s="100">
        <f>276.453+87.191</f>
        <v>363.644</v>
      </c>
      <c r="U34" s="100">
        <f>284.627+91.465</f>
        <v>376.092</v>
      </c>
      <c r="V34" s="766">
        <f>297.531+97.187</f>
        <v>394.718</v>
      </c>
      <c r="W34" s="748">
        <f t="shared" si="1"/>
        <v>4.952511619497368</v>
      </c>
      <c r="X34" s="14" t="s">
        <v>92</v>
      </c>
    </row>
    <row r="35" spans="1:24" ht="12.75" customHeight="1">
      <c r="A35" s="12"/>
      <c r="B35" s="174" t="s">
        <v>93</v>
      </c>
      <c r="C35" s="756">
        <v>145</v>
      </c>
      <c r="D35" s="756">
        <v>181.57</v>
      </c>
      <c r="E35" s="395">
        <v>309.52</v>
      </c>
      <c r="F35" s="396">
        <v>309.81</v>
      </c>
      <c r="G35" s="396">
        <v>304.99</v>
      </c>
      <c r="H35" s="396">
        <v>305.68600000000004</v>
      </c>
      <c r="I35" s="396">
        <v>307.916</v>
      </c>
      <c r="J35" s="396">
        <v>307.709</v>
      </c>
      <c r="K35" s="396">
        <v>311.751</v>
      </c>
      <c r="L35" s="396">
        <v>321.31</v>
      </c>
      <c r="M35" s="396">
        <v>337.973</v>
      </c>
      <c r="N35" s="396">
        <v>354.293</v>
      </c>
      <c r="O35" s="396">
        <v>374.222</v>
      </c>
      <c r="P35" s="396">
        <v>395.693</v>
      </c>
      <c r="Q35" s="396">
        <v>408.94</v>
      </c>
      <c r="R35" s="396">
        <v>421.561</v>
      </c>
      <c r="S35" s="396">
        <v>439.985</v>
      </c>
      <c r="T35" s="396">
        <v>461.161</v>
      </c>
      <c r="U35" s="396">
        <v>479.794</v>
      </c>
      <c r="V35" s="763">
        <v>504.085</v>
      </c>
      <c r="W35" s="749">
        <f t="shared" si="1"/>
        <v>5.062797784048989</v>
      </c>
      <c r="X35" s="174" t="s">
        <v>93</v>
      </c>
    </row>
    <row r="36" spans="1:24" ht="12.75" customHeight="1">
      <c r="A36" s="12"/>
      <c r="B36" s="15" t="s">
        <v>81</v>
      </c>
      <c r="C36" s="772">
        <v>1749</v>
      </c>
      <c r="D36" s="772">
        <v>1828</v>
      </c>
      <c r="E36" s="208">
        <v>2706</v>
      </c>
      <c r="F36" s="207">
        <v>2640</v>
      </c>
      <c r="G36" s="207">
        <v>2639</v>
      </c>
      <c r="H36" s="207">
        <v>2589</v>
      </c>
      <c r="I36" s="207">
        <v>2585</v>
      </c>
      <c r="J36" s="207">
        <v>2565</v>
      </c>
      <c r="K36" s="207">
        <v>2618</v>
      </c>
      <c r="L36" s="769">
        <v>2679</v>
      </c>
      <c r="M36" s="207">
        <f>2278+441+45.2+24.8</f>
        <v>2789</v>
      </c>
      <c r="N36" s="207">
        <f>2342+459+42.1+29.6</f>
        <v>2872.7</v>
      </c>
      <c r="O36" s="207">
        <f>2383+471+42.3+32</f>
        <v>2928.3</v>
      </c>
      <c r="P36" s="207">
        <f>2461+477+61.6+20</f>
        <v>3019.6</v>
      </c>
      <c r="Q36" s="207">
        <f>2542+485+64+20.9</f>
        <v>3111.9</v>
      </c>
      <c r="R36" s="207">
        <f>2653+491+57.4+35.2</f>
        <v>3236.6</v>
      </c>
      <c r="S36" s="207">
        <f>2822+506+59.6+37.6</f>
        <v>3425.2</v>
      </c>
      <c r="T36" s="207">
        <f>2943+508+77.4+24</f>
        <v>3552.4</v>
      </c>
      <c r="U36" s="207">
        <f>3060+525+84.5+25.2</f>
        <v>3694.7</v>
      </c>
      <c r="V36" s="770">
        <f>3187+528+92.6+26.4</f>
        <v>3834</v>
      </c>
      <c r="W36" s="750">
        <f t="shared" si="1"/>
        <v>3.7702655154681075</v>
      </c>
      <c r="X36" s="15" t="s">
        <v>81</v>
      </c>
    </row>
    <row r="37" spans="1:24" ht="12.75" customHeight="1">
      <c r="A37" s="12"/>
      <c r="B37" s="177" t="s">
        <v>97</v>
      </c>
      <c r="C37" s="760"/>
      <c r="D37" s="760"/>
      <c r="E37" s="396"/>
      <c r="F37" s="396"/>
      <c r="G37" s="396"/>
      <c r="H37" s="396">
        <v>51.117000000000004</v>
      </c>
      <c r="I37" s="396">
        <v>64.438</v>
      </c>
      <c r="J37" s="396">
        <v>73.497</v>
      </c>
      <c r="K37" s="396">
        <v>94.921</v>
      </c>
      <c r="L37" s="396">
        <f>101.051+8.683</f>
        <v>109.73400000000001</v>
      </c>
      <c r="M37" s="396">
        <f>106.634+9.134</f>
        <v>115.768</v>
      </c>
      <c r="N37" s="396">
        <f>109.387+9.317</f>
        <v>118.70400000000001</v>
      </c>
      <c r="O37" s="396">
        <f>113.134+9.382</f>
        <v>122.516</v>
      </c>
      <c r="P37" s="396">
        <f>119.899+9.598</f>
        <v>129.497</v>
      </c>
      <c r="Q37" s="396">
        <f>128.955+9.788</f>
        <v>138.74300000000002</v>
      </c>
      <c r="R37" s="396">
        <f>138.29+9.985</f>
        <v>148.27499999999998</v>
      </c>
      <c r="S37" s="396">
        <f>144.635+10.155</f>
        <v>154.79</v>
      </c>
      <c r="T37" s="396">
        <f>152.633+10.244</f>
        <v>162.877</v>
      </c>
      <c r="U37" s="396">
        <f>159.147+10.551</f>
        <v>169.69799999999998</v>
      </c>
      <c r="V37" s="396">
        <f>165.742+10.961</f>
        <v>176.703</v>
      </c>
      <c r="W37" s="749">
        <f t="shared" si="1"/>
        <v>4.127921366191711</v>
      </c>
      <c r="X37" s="174" t="s">
        <v>97</v>
      </c>
    </row>
    <row r="38" spans="1:24" ht="12.75" customHeight="1">
      <c r="A38" s="12"/>
      <c r="B38" s="14" t="s">
        <v>1</v>
      </c>
      <c r="C38" s="741"/>
      <c r="D38" s="741"/>
      <c r="E38" s="100"/>
      <c r="F38" s="100"/>
      <c r="G38" s="100"/>
      <c r="H38" s="100">
        <v>20.104</v>
      </c>
      <c r="I38" s="100">
        <v>20.026</v>
      </c>
      <c r="J38" s="100">
        <v>22.558</v>
      </c>
      <c r="K38" s="100">
        <v>21.937</v>
      </c>
      <c r="L38" s="100">
        <v>23.286</v>
      </c>
      <c r="M38" s="100">
        <v>23.44</v>
      </c>
      <c r="N38" s="100">
        <v>23.47</v>
      </c>
      <c r="O38" s="100">
        <v>24.628</v>
      </c>
      <c r="P38" s="100">
        <v>25.896</v>
      </c>
      <c r="Q38" s="100">
        <v>24.318</v>
      </c>
      <c r="R38" s="100">
        <v>22.994</v>
      </c>
      <c r="S38" s="100">
        <v>20</v>
      </c>
      <c r="T38" s="100">
        <v>18.041</v>
      </c>
      <c r="U38" s="100">
        <v>18.2</v>
      </c>
      <c r="V38" s="394">
        <v>19</v>
      </c>
      <c r="W38" s="792">
        <f t="shared" si="1"/>
        <v>4.395604395604402</v>
      </c>
      <c r="X38" s="14" t="s">
        <v>1</v>
      </c>
    </row>
    <row r="39" spans="1:24" ht="12.75" customHeight="1">
      <c r="A39" s="12"/>
      <c r="B39" s="176" t="s">
        <v>77</v>
      </c>
      <c r="C39" s="759"/>
      <c r="D39" s="759" t="s">
        <v>121</v>
      </c>
      <c r="E39" s="490" t="s">
        <v>121</v>
      </c>
      <c r="F39" s="490"/>
      <c r="G39" s="490">
        <f>308.18+379.41</f>
        <v>687.59</v>
      </c>
      <c r="H39" s="490">
        <f>354.29+406.398</f>
        <v>760.6880000000001</v>
      </c>
      <c r="I39" s="490">
        <f>374.473+419.374</f>
        <v>793.847</v>
      </c>
      <c r="J39" s="490">
        <f>397.743+432.216</f>
        <v>829.9590000000001</v>
      </c>
      <c r="K39" s="490">
        <f>442.788+453.796</f>
        <v>896.5840000000001</v>
      </c>
      <c r="L39" s="490">
        <f>529.838+489.071</f>
        <v>1018.909</v>
      </c>
      <c r="M39" s="490">
        <f>626.004+519.749</f>
        <v>1145.7530000000002</v>
      </c>
      <c r="N39" s="490">
        <f>692.935+531.69</f>
        <v>1224.625</v>
      </c>
      <c r="O39" s="490">
        <f>794.459+557.295</f>
        <v>1351.754</v>
      </c>
      <c r="P39" s="490">
        <f>833.175+562.063</f>
        <v>1395.2379999999998</v>
      </c>
      <c r="Q39" s="490">
        <f>875.381+567.152</f>
        <v>1442.533</v>
      </c>
      <c r="R39" s="490">
        <f>973.457+579.01</f>
        <v>1552.467</v>
      </c>
      <c r="S39" s="490">
        <f>1259.867+647.42</f>
        <v>1907.2869999999998</v>
      </c>
      <c r="T39" s="490">
        <f>1475.057+676.929</f>
        <v>2151.986</v>
      </c>
      <c r="U39" s="490">
        <f>1695.624+709.535</f>
        <v>2405.159</v>
      </c>
      <c r="V39" s="490">
        <f>1890.459+729.202</f>
        <v>2619.661</v>
      </c>
      <c r="W39" s="751">
        <f t="shared" si="1"/>
        <v>8.918412462544056</v>
      </c>
      <c r="X39" s="176" t="s">
        <v>77</v>
      </c>
    </row>
    <row r="40" spans="1:24" ht="12.75" customHeight="1">
      <c r="A40" s="12"/>
      <c r="B40" s="13" t="s">
        <v>63</v>
      </c>
      <c r="C40" s="744"/>
      <c r="D40" s="744" t="s">
        <v>121</v>
      </c>
      <c r="E40" s="206">
        <f>7.707+5.415</f>
        <v>13.122</v>
      </c>
      <c r="F40" s="206">
        <f>7.615+7.008</f>
        <v>14.623000000000001</v>
      </c>
      <c r="G40" s="206">
        <f>6.777+8.068</f>
        <v>14.844999999999999</v>
      </c>
      <c r="H40" s="206">
        <f>6.506+7.945</f>
        <v>14.451</v>
      </c>
      <c r="I40" s="206">
        <f>6.392+7.956</f>
        <v>14.348</v>
      </c>
      <c r="J40" s="206">
        <f>6.445+8.312</f>
        <v>14.757</v>
      </c>
      <c r="K40" s="206">
        <f>6.594+8.666</f>
        <v>15.260000000000002</v>
      </c>
      <c r="L40" s="206">
        <f>6.812+9.216</f>
        <v>16.028</v>
      </c>
      <c r="M40" s="206">
        <f>6.76+9.79</f>
        <v>16.549999999999997</v>
      </c>
      <c r="N40" s="206">
        <f>7.028+10.779</f>
        <v>17.807</v>
      </c>
      <c r="O40" s="206">
        <f>7.466+11.966</f>
        <v>19.432</v>
      </c>
      <c r="P40" s="206">
        <f>7.618+12.372</f>
        <v>19.990000000000002</v>
      </c>
      <c r="Q40" s="206">
        <f>7.664+12.614</f>
        <v>20.278</v>
      </c>
      <c r="R40" s="206">
        <f>8.04+13.195</f>
        <v>21.235</v>
      </c>
      <c r="S40" s="206">
        <v>23.035</v>
      </c>
      <c r="T40" s="206">
        <f>9.508+16.036</f>
        <v>25.544</v>
      </c>
      <c r="U40" s="206">
        <v>28.087</v>
      </c>
      <c r="V40" s="206">
        <v>31.095</v>
      </c>
      <c r="W40" s="752">
        <f t="shared" si="1"/>
        <v>10.709580944921138</v>
      </c>
      <c r="X40" s="13" t="s">
        <v>63</v>
      </c>
    </row>
    <row r="41" spans="1:24" ht="12.75" customHeight="1">
      <c r="A41" s="12"/>
      <c r="B41" s="174" t="s">
        <v>94</v>
      </c>
      <c r="C41" s="756"/>
      <c r="D41" s="756" t="s">
        <v>121</v>
      </c>
      <c r="E41" s="396">
        <v>308.299</v>
      </c>
      <c r="F41" s="396">
        <v>311.063</v>
      </c>
      <c r="G41" s="396">
        <v>314.882</v>
      </c>
      <c r="H41" s="396">
        <v>323.387</v>
      </c>
      <c r="I41" s="396">
        <v>335.779</v>
      </c>
      <c r="J41" s="396">
        <v>349.504</v>
      </c>
      <c r="K41" s="396">
        <v>358.128</v>
      </c>
      <c r="L41" s="396">
        <v>377.01200000000006</v>
      </c>
      <c r="M41" s="396">
        <v>390.829</v>
      </c>
      <c r="N41" s="396">
        <v>403.039</v>
      </c>
      <c r="O41" s="396">
        <v>414.34</v>
      </c>
      <c r="P41" s="396">
        <v>426.977</v>
      </c>
      <c r="Q41" s="396">
        <v>431.028</v>
      </c>
      <c r="R41" s="396">
        <v>438.28200000000004</v>
      </c>
      <c r="S41" s="396">
        <v>449.801</v>
      </c>
      <c r="T41" s="396">
        <f>302.956+82.778+79.705</f>
        <v>465.439</v>
      </c>
      <c r="U41" s="396">
        <f>331.052+73.904+83.609</f>
        <v>488.565</v>
      </c>
      <c r="V41" s="396">
        <f>361.911+84.742+67.02</f>
        <v>513.673</v>
      </c>
      <c r="W41" s="749">
        <f t="shared" si="1"/>
        <v>5.1391319476425945</v>
      </c>
      <c r="X41" s="174" t="s">
        <v>94</v>
      </c>
    </row>
    <row r="42" spans="1:24" ht="12.75" customHeight="1">
      <c r="A42" s="12"/>
      <c r="B42" s="14" t="s">
        <v>64</v>
      </c>
      <c r="C42" s="741">
        <v>106.997</v>
      </c>
      <c r="D42" s="741">
        <v>169.402</v>
      </c>
      <c r="E42" s="100">
        <v>252.136</v>
      </c>
      <c r="F42" s="100">
        <v>257.646</v>
      </c>
      <c r="G42" s="100">
        <v>256.611</v>
      </c>
      <c r="H42" s="100">
        <v>253.461</v>
      </c>
      <c r="I42" s="100">
        <v>256.285</v>
      </c>
      <c r="J42" s="100">
        <v>262.352</v>
      </c>
      <c r="K42" s="100">
        <v>263.02</v>
      </c>
      <c r="L42" s="100">
        <v>264.2</v>
      </c>
      <c r="M42" s="100">
        <v>267.38</v>
      </c>
      <c r="N42" s="100">
        <v>273.954</v>
      </c>
      <c r="O42" s="100">
        <v>278.518</v>
      </c>
      <c r="P42" s="100">
        <v>285.246</v>
      </c>
      <c r="Q42" s="100">
        <v>290.142</v>
      </c>
      <c r="R42" s="100">
        <v>292.329</v>
      </c>
      <c r="S42" s="100">
        <v>298.193</v>
      </c>
      <c r="T42" s="100">
        <v>307.161</v>
      </c>
      <c r="U42" s="100">
        <v>314.04</v>
      </c>
      <c r="V42" s="100">
        <v>324.153</v>
      </c>
      <c r="W42" s="748">
        <f t="shared" si="1"/>
        <v>3.220290408865112</v>
      </c>
      <c r="X42" s="14" t="s">
        <v>64</v>
      </c>
    </row>
    <row r="43" spans="1:24" ht="12.75" customHeight="1">
      <c r="A43" s="12"/>
      <c r="B43" s="176" t="s">
        <v>125</v>
      </c>
      <c r="C43" s="759"/>
      <c r="D43" s="759"/>
      <c r="E43" s="490"/>
      <c r="F43" s="490"/>
      <c r="G43" s="490"/>
      <c r="H43" s="490"/>
      <c r="I43" s="490"/>
      <c r="J43" s="490"/>
      <c r="K43" s="490"/>
      <c r="L43" s="490"/>
      <c r="M43" s="490"/>
      <c r="N43" s="490">
        <v>2.884</v>
      </c>
      <c r="O43" s="490">
        <v>2.46</v>
      </c>
      <c r="P43" s="490">
        <v>2.6</v>
      </c>
      <c r="Q43" s="490">
        <v>2.665</v>
      </c>
      <c r="R43" s="490">
        <v>2.56</v>
      </c>
      <c r="S43" s="490">
        <v>2.591</v>
      </c>
      <c r="T43" s="490">
        <v>2.579</v>
      </c>
      <c r="U43" s="490">
        <v>2.525</v>
      </c>
      <c r="V43" s="490">
        <v>2.566</v>
      </c>
      <c r="W43" s="751">
        <f t="shared" si="1"/>
        <v>1.6237623762376252</v>
      </c>
      <c r="X43" s="176" t="s">
        <v>125</v>
      </c>
    </row>
    <row r="44" spans="2:24" ht="15" customHeight="1">
      <c r="B44" s="893" t="s">
        <v>193</v>
      </c>
      <c r="C44" s="893"/>
      <c r="D44" s="893"/>
      <c r="E44" s="893"/>
      <c r="F44" s="893"/>
      <c r="G44" s="893"/>
      <c r="H44" s="893"/>
      <c r="I44" s="893"/>
      <c r="J44" s="893"/>
      <c r="K44" s="893"/>
      <c r="L44" s="893"/>
      <c r="M44" s="893"/>
      <c r="N44" s="893"/>
      <c r="O44" s="893"/>
      <c r="P44" s="893"/>
      <c r="Q44" s="893"/>
      <c r="R44" s="893"/>
      <c r="S44" s="893"/>
      <c r="T44" s="893"/>
      <c r="U44" s="894"/>
      <c r="V44" s="894"/>
      <c r="W44" s="894"/>
      <c r="X44" s="75"/>
    </row>
    <row r="45" spans="2:24" ht="35.25" customHeight="1">
      <c r="B45" s="888" t="s">
        <v>220</v>
      </c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89"/>
      <c r="S45" s="889"/>
      <c r="T45" s="889"/>
      <c r="U45" s="889"/>
      <c r="V45" s="889"/>
      <c r="W45" s="889"/>
      <c r="X45" s="889"/>
    </row>
  </sheetData>
  <mergeCells count="5">
    <mergeCell ref="B45:X45"/>
    <mergeCell ref="B1:C1"/>
    <mergeCell ref="B2:X2"/>
    <mergeCell ref="B3:X3"/>
    <mergeCell ref="B44:W4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011">
    <pageSetUpPr fitToPage="1"/>
  </sheetPr>
  <dimension ref="A1:Q4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7" width="7.28125" style="1" customWidth="1"/>
    <col min="8" max="13" width="7.28125" style="0" customWidth="1"/>
    <col min="14" max="15" width="7.7109375" style="0" customWidth="1"/>
    <col min="16" max="16" width="6.28125" style="0" customWidth="1"/>
    <col min="17" max="17" width="4.00390625" style="0" customWidth="1"/>
  </cols>
  <sheetData>
    <row r="1" spans="2:17" ht="14.25" customHeight="1">
      <c r="B1" s="56"/>
      <c r="C1" s="387"/>
      <c r="D1" s="387"/>
      <c r="E1" s="387"/>
      <c r="F1" s="387"/>
      <c r="G1" s="387"/>
      <c r="H1" s="42"/>
      <c r="I1" s="42"/>
      <c r="Q1" s="24" t="s">
        <v>103</v>
      </c>
    </row>
    <row r="2" spans="2:17" s="121" customFormat="1" ht="30" customHeight="1">
      <c r="B2" s="895" t="s">
        <v>21</v>
      </c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</row>
    <row r="3" spans="2:17" ht="15" customHeight="1">
      <c r="B3" s="896" t="s">
        <v>226</v>
      </c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</row>
    <row r="4" spans="2:17" ht="12.75" customHeight="1">
      <c r="B4" s="5"/>
      <c r="C4" s="5"/>
      <c r="D4" s="5"/>
      <c r="E4" s="5"/>
      <c r="F4" s="5"/>
      <c r="G4" s="5"/>
      <c r="H4" s="38"/>
      <c r="O4" s="67" t="s">
        <v>6</v>
      </c>
      <c r="Q4" s="204"/>
    </row>
    <row r="5" spans="2:17" ht="19.5" customHeight="1">
      <c r="B5" s="5"/>
      <c r="C5" s="443">
        <v>1995</v>
      </c>
      <c r="D5" s="444">
        <v>1996</v>
      </c>
      <c r="E5" s="444">
        <v>1997</v>
      </c>
      <c r="F5" s="444">
        <v>1998</v>
      </c>
      <c r="G5" s="444">
        <v>1999</v>
      </c>
      <c r="H5" s="444">
        <v>2000</v>
      </c>
      <c r="I5" s="444">
        <v>2001</v>
      </c>
      <c r="J5" s="444">
        <v>2002</v>
      </c>
      <c r="K5" s="444">
        <v>2003</v>
      </c>
      <c r="L5" s="444">
        <v>2004</v>
      </c>
      <c r="M5" s="444">
        <v>2005</v>
      </c>
      <c r="N5" s="444">
        <v>2006</v>
      </c>
      <c r="O5" s="444">
        <v>2007</v>
      </c>
      <c r="P5" s="674" t="s">
        <v>219</v>
      </c>
      <c r="Q5" s="10"/>
    </row>
    <row r="6" spans="2:17" ht="9.75" customHeight="1">
      <c r="B6" s="5"/>
      <c r="C6" s="135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675" t="s">
        <v>176</v>
      </c>
      <c r="Q6" s="10"/>
    </row>
    <row r="7" spans="2:17" ht="12.75" customHeight="1">
      <c r="B7" s="177" t="s">
        <v>47</v>
      </c>
      <c r="C7" s="775"/>
      <c r="D7" s="386"/>
      <c r="E7" s="386"/>
      <c r="F7" s="386"/>
      <c r="G7" s="386"/>
      <c r="H7" s="197"/>
      <c r="I7" s="197"/>
      <c r="J7" s="197">
        <f aca="true" t="shared" si="0" ref="J7:O7">SUM(J10:J36)</f>
        <v>26554.322000000007</v>
      </c>
      <c r="K7" s="197">
        <f t="shared" si="0"/>
        <v>27445.93999999999</v>
      </c>
      <c r="L7" s="197">
        <f t="shared" si="0"/>
        <v>27948.276000000005</v>
      </c>
      <c r="M7" s="197">
        <f t="shared" si="0"/>
        <v>28810.651</v>
      </c>
      <c r="N7" s="291">
        <f t="shared" si="0"/>
        <v>29579.81799999999</v>
      </c>
      <c r="O7" s="291">
        <f t="shared" si="0"/>
        <v>30288.524000000005</v>
      </c>
      <c r="P7" s="745">
        <f aca="true" t="shared" si="1" ref="P7:P37">100*(O7/N7-1)</f>
        <v>2.395910617164776</v>
      </c>
      <c r="Q7" s="283" t="s">
        <v>47</v>
      </c>
    </row>
    <row r="8" spans="1:17" ht="12.75" customHeight="1">
      <c r="A8" s="4"/>
      <c r="B8" s="174" t="s">
        <v>82</v>
      </c>
      <c r="C8" s="776"/>
      <c r="D8" s="198">
        <f>SUM(D10,D13,D14,D16:D20,D24,D27,D28,D30,D34:D36)</f>
        <v>16777.559</v>
      </c>
      <c r="E8" s="198">
        <f>SUM(E10,E13,E14,E16:E20,E24,E27,E28,E30,E34:E36)</f>
        <v>16590.356</v>
      </c>
      <c r="F8" s="198">
        <f>SUM(F10,F13,F14,F16:F20,F24,F27,F28,F30,F34:F36)</f>
        <v>17728.485999999997</v>
      </c>
      <c r="G8" s="198">
        <f>SUM(G10,G13,G14,G16:G20,G24,G27,G28,G30,G34:G36)</f>
        <v>18768.130999999994</v>
      </c>
      <c r="H8" s="198">
        <f aca="true" t="shared" si="2" ref="H8:N8">SUM(H10,H13,H14,H16:H20,H24,H27,H28,H30,H34:H36)</f>
        <v>20272.456999999995</v>
      </c>
      <c r="I8" s="198">
        <f t="shared" si="2"/>
        <v>23026.213</v>
      </c>
      <c r="J8" s="198">
        <f t="shared" si="2"/>
        <v>23858.145000000004</v>
      </c>
      <c r="K8" s="198">
        <f t="shared" si="2"/>
        <v>24776.67</v>
      </c>
      <c r="L8" s="198">
        <f t="shared" si="2"/>
        <v>25661.246000000003</v>
      </c>
      <c r="M8" s="198">
        <f t="shared" si="2"/>
        <v>26572.248</v>
      </c>
      <c r="N8" s="293">
        <f t="shared" si="2"/>
        <v>27333.684999999994</v>
      </c>
      <c r="O8" s="293">
        <f>SUM(O10,O13,O14,O16:O20,O24,O27,O28,O30,O34:O36)</f>
        <v>28043.334</v>
      </c>
      <c r="P8" s="746">
        <f t="shared" si="1"/>
        <v>2.596243426380318</v>
      </c>
      <c r="Q8" s="284" t="s">
        <v>82</v>
      </c>
    </row>
    <row r="9" spans="1:17" ht="12.75" customHeight="1">
      <c r="A9" s="4"/>
      <c r="B9" s="176" t="s">
        <v>175</v>
      </c>
      <c r="C9" s="777"/>
      <c r="D9" s="778"/>
      <c r="E9" s="778"/>
      <c r="F9" s="778"/>
      <c r="G9" s="778"/>
      <c r="H9" s="778"/>
      <c r="I9" s="778"/>
      <c r="J9" s="778">
        <f aca="true" t="shared" si="3" ref="J9:O9">SUM(J11,J12,J15,J21,J22,J23,J25,J26,J29,J31,J32,J33)</f>
        <v>2696.1770000000006</v>
      </c>
      <c r="K9" s="778">
        <f t="shared" si="3"/>
        <v>2669.2699999999995</v>
      </c>
      <c r="L9" s="778">
        <f t="shared" si="3"/>
        <v>2287.0299999999997</v>
      </c>
      <c r="M9" s="778">
        <f t="shared" si="3"/>
        <v>2238.4029999999993</v>
      </c>
      <c r="N9" s="794">
        <f t="shared" si="3"/>
        <v>2246.1330000000003</v>
      </c>
      <c r="O9" s="795">
        <f t="shared" si="3"/>
        <v>2245.1899999999996</v>
      </c>
      <c r="P9" s="747"/>
      <c r="Q9" s="285" t="s">
        <v>175</v>
      </c>
    </row>
    <row r="10" spans="1:17" ht="12.75" customHeight="1">
      <c r="A10" s="12"/>
      <c r="B10" s="13" t="s">
        <v>83</v>
      </c>
      <c r="C10" s="782"/>
      <c r="D10" s="774">
        <v>212.432</v>
      </c>
      <c r="E10" s="774">
        <v>225.317</v>
      </c>
      <c r="F10" s="774">
        <v>241.11</v>
      </c>
      <c r="G10" s="774">
        <v>260.567</v>
      </c>
      <c r="H10" s="774">
        <v>277.838</v>
      </c>
      <c r="I10" s="774">
        <v>293.63</v>
      </c>
      <c r="J10" s="774">
        <v>305.51</v>
      </c>
      <c r="K10" s="774">
        <v>319.48</v>
      </c>
      <c r="L10" s="774">
        <v>322.762</v>
      </c>
      <c r="M10" s="774">
        <v>346.293</v>
      </c>
      <c r="N10" s="774">
        <v>359.764</v>
      </c>
      <c r="O10" s="783">
        <v>374.743</v>
      </c>
      <c r="P10" s="748">
        <f t="shared" si="1"/>
        <v>4.163562780044683</v>
      </c>
      <c r="Q10" s="286" t="s">
        <v>83</v>
      </c>
    </row>
    <row r="11" spans="1:17" ht="12.75" customHeight="1">
      <c r="A11" s="12"/>
      <c r="B11" s="174" t="s">
        <v>65</v>
      </c>
      <c r="C11" s="784">
        <v>519.3</v>
      </c>
      <c r="D11" s="779">
        <v>521.7</v>
      </c>
      <c r="E11" s="779">
        <v>525</v>
      </c>
      <c r="F11" s="779">
        <v>515.7</v>
      </c>
      <c r="G11" s="779">
        <v>519.2</v>
      </c>
      <c r="H11" s="779">
        <v>520.5</v>
      </c>
      <c r="I11" s="779">
        <v>524.1</v>
      </c>
      <c r="J11" s="779">
        <v>528.3</v>
      </c>
      <c r="K11" s="780">
        <v>533.7</v>
      </c>
      <c r="L11" s="779">
        <v>137.7</v>
      </c>
      <c r="M11" s="780">
        <v>146.5</v>
      </c>
      <c r="N11" s="779">
        <v>76.2</v>
      </c>
      <c r="O11" s="785">
        <v>90</v>
      </c>
      <c r="P11" s="749">
        <f t="shared" si="1"/>
        <v>18.11023622047243</v>
      </c>
      <c r="Q11" s="284" t="s">
        <v>65</v>
      </c>
    </row>
    <row r="12" spans="1:17" ht="12.75" customHeight="1">
      <c r="A12" s="12"/>
      <c r="B12" s="14" t="s">
        <v>67</v>
      </c>
      <c r="C12" s="767">
        <v>915.229</v>
      </c>
      <c r="D12" s="100">
        <v>918.159</v>
      </c>
      <c r="E12" s="100">
        <v>929.627</v>
      </c>
      <c r="F12" s="773">
        <v>927.08</v>
      </c>
      <c r="G12" s="743">
        <v>799.647</v>
      </c>
      <c r="H12" s="743">
        <v>748.14</v>
      </c>
      <c r="I12" s="743">
        <v>755.482</v>
      </c>
      <c r="J12" s="743">
        <v>760.219</v>
      </c>
      <c r="K12" s="743">
        <v>751.634</v>
      </c>
      <c r="L12" s="743">
        <v>756.559</v>
      </c>
      <c r="M12" s="743">
        <v>794</v>
      </c>
      <c r="N12" s="743">
        <v>822.703</v>
      </c>
      <c r="O12" s="786">
        <v>860.131</v>
      </c>
      <c r="P12" s="748">
        <f t="shared" si="1"/>
        <v>4.549393888195374</v>
      </c>
      <c r="Q12" s="287" t="s">
        <v>67</v>
      </c>
    </row>
    <row r="13" spans="1:17" ht="12.75" customHeight="1">
      <c r="A13" s="12"/>
      <c r="B13" s="174" t="s">
        <v>78</v>
      </c>
      <c r="C13" s="784">
        <v>58.014</v>
      </c>
      <c r="D13" s="779">
        <v>73.85</v>
      </c>
      <c r="E13" s="779">
        <v>93.875</v>
      </c>
      <c r="F13" s="779">
        <v>112.12</v>
      </c>
      <c r="G13" s="779">
        <v>126.938</v>
      </c>
      <c r="H13" s="779">
        <v>138.31</v>
      </c>
      <c r="I13" s="779">
        <v>146.365</v>
      </c>
      <c r="J13" s="779">
        <v>151.322</v>
      </c>
      <c r="K13" s="779">
        <v>155.74</v>
      </c>
      <c r="L13" s="779">
        <v>162.128</v>
      </c>
      <c r="M13" s="779">
        <f>105.264+66.653</f>
        <v>171.917</v>
      </c>
      <c r="N13" s="779">
        <f>118.752+65.284</f>
        <v>184.036</v>
      </c>
      <c r="O13" s="785">
        <f>133.914+63.263</f>
        <v>197.177</v>
      </c>
      <c r="P13" s="749">
        <f t="shared" si="1"/>
        <v>7.140450781368868</v>
      </c>
      <c r="Q13" s="284" t="s">
        <v>78</v>
      </c>
    </row>
    <row r="14" spans="1:17" ht="12.75" customHeight="1">
      <c r="A14" s="12"/>
      <c r="B14" s="14" t="s">
        <v>84</v>
      </c>
      <c r="C14" s="767">
        <v>3995.4849999999997</v>
      </c>
      <c r="D14" s="773">
        <v>4137.446</v>
      </c>
      <c r="E14" s="743">
        <v>3730.756</v>
      </c>
      <c r="F14" s="743">
        <v>4174.346</v>
      </c>
      <c r="G14" s="743">
        <v>4389.201</v>
      </c>
      <c r="H14" s="743">
        <v>4438.082</v>
      </c>
      <c r="I14" s="743">
        <v>4667.149</v>
      </c>
      <c r="J14" s="743">
        <v>4677.885</v>
      </c>
      <c r="K14" s="743">
        <v>4863.807</v>
      </c>
      <c r="L14" s="743">
        <v>5077.982</v>
      </c>
      <c r="M14" s="743">
        <v>5202.901</v>
      </c>
      <c r="N14" s="743">
        <v>5405.9</v>
      </c>
      <c r="O14" s="786">
        <v>5549.967</v>
      </c>
      <c r="P14" s="748">
        <f t="shared" si="1"/>
        <v>2.6649956528977503</v>
      </c>
      <c r="Q14" s="287" t="s">
        <v>84</v>
      </c>
    </row>
    <row r="15" spans="1:17" ht="12.75" customHeight="1">
      <c r="A15" s="12"/>
      <c r="B15" s="174" t="s">
        <v>68</v>
      </c>
      <c r="C15" s="784">
        <v>3.3</v>
      </c>
      <c r="D15" s="779">
        <v>4.7</v>
      </c>
      <c r="E15" s="779">
        <v>5.3</v>
      </c>
      <c r="F15" s="779">
        <v>6.1</v>
      </c>
      <c r="G15" s="779">
        <v>6.7</v>
      </c>
      <c r="H15" s="779">
        <v>6.7</v>
      </c>
      <c r="I15" s="779">
        <v>6.8</v>
      </c>
      <c r="J15" s="779">
        <v>7.3</v>
      </c>
      <c r="K15" s="779">
        <v>8.1</v>
      </c>
      <c r="L15" s="779">
        <v>9.1</v>
      </c>
      <c r="M15" s="779">
        <v>10.234</v>
      </c>
      <c r="N15" s="779">
        <v>12.594</v>
      </c>
      <c r="O15" s="785">
        <v>14.78</v>
      </c>
      <c r="P15" s="749">
        <f t="shared" si="1"/>
        <v>17.35747181197396</v>
      </c>
      <c r="Q15" s="284" t="s">
        <v>68</v>
      </c>
    </row>
    <row r="16" spans="1:17" ht="12.75" customHeight="1">
      <c r="A16" s="12"/>
      <c r="B16" s="14" t="s">
        <v>87</v>
      </c>
      <c r="C16" s="767">
        <v>23.452</v>
      </c>
      <c r="D16" s="743">
        <v>23.847</v>
      </c>
      <c r="E16" s="743">
        <v>24.424</v>
      </c>
      <c r="F16" s="743">
        <v>24.398</v>
      </c>
      <c r="G16" s="743">
        <v>26.677</v>
      </c>
      <c r="H16" s="743">
        <v>30.638</v>
      </c>
      <c r="I16" s="743">
        <v>32.913</v>
      </c>
      <c r="J16" s="743">
        <v>33.147</v>
      </c>
      <c r="K16" s="743">
        <v>35.094</v>
      </c>
      <c r="L16" s="743">
        <v>34.854</v>
      </c>
      <c r="M16" s="743">
        <v>34.3</v>
      </c>
      <c r="N16" s="743">
        <v>34.927</v>
      </c>
      <c r="O16" s="786">
        <v>37.178</v>
      </c>
      <c r="P16" s="748">
        <f t="shared" si="1"/>
        <v>6.444870730380492</v>
      </c>
      <c r="Q16" s="287" t="s">
        <v>87</v>
      </c>
    </row>
    <row r="17" spans="1:17" ht="12.75" customHeight="1">
      <c r="A17" s="12"/>
      <c r="B17" s="174" t="s">
        <v>79</v>
      </c>
      <c r="C17" s="784"/>
      <c r="D17" s="779"/>
      <c r="E17" s="779"/>
      <c r="F17" s="779"/>
      <c r="G17" s="779"/>
      <c r="H17" s="779">
        <v>781.361</v>
      </c>
      <c r="I17" s="779">
        <v>853.366</v>
      </c>
      <c r="J17" s="779">
        <v>910.555</v>
      </c>
      <c r="K17" s="779">
        <v>969.895</v>
      </c>
      <c r="L17" s="779">
        <v>1042.605</v>
      </c>
      <c r="M17" s="779">
        <v>1124.172</v>
      </c>
      <c r="N17" s="779">
        <v>1205.816</v>
      </c>
      <c r="O17" s="785">
        <v>1298.688</v>
      </c>
      <c r="P17" s="749">
        <f t="shared" si="1"/>
        <v>7.702004285894382</v>
      </c>
      <c r="Q17" s="284" t="s">
        <v>79</v>
      </c>
    </row>
    <row r="18" spans="1:17" ht="12.75" customHeight="1">
      <c r="A18" s="12"/>
      <c r="B18" s="14" t="s">
        <v>85</v>
      </c>
      <c r="C18" s="767">
        <v>1301.18</v>
      </c>
      <c r="D18" s="743">
        <v>1308.208</v>
      </c>
      <c r="E18" s="743">
        <v>1326.333</v>
      </c>
      <c r="F18" s="743">
        <v>1361.155</v>
      </c>
      <c r="G18" s="743">
        <v>1403.771</v>
      </c>
      <c r="H18" s="773">
        <v>1445.644</v>
      </c>
      <c r="I18" s="743">
        <f>1483.442+1806.758</f>
        <v>3290.2</v>
      </c>
      <c r="J18" s="743">
        <f>1517.208+2044.242</f>
        <v>3561.45</v>
      </c>
      <c r="K18" s="743">
        <f>1513.526+2143.593</f>
        <v>3657.1189999999997</v>
      </c>
      <c r="L18" s="743">
        <f>1612.082+2242.046</f>
        <v>3854.1279999999997</v>
      </c>
      <c r="M18" s="743">
        <f>1805.827+2311.773</f>
        <v>4117.6</v>
      </c>
      <c r="N18" s="743">
        <f>2050.531+2343.124</f>
        <v>4393.655</v>
      </c>
      <c r="O18" s="786">
        <f>2311.346+2430.414</f>
        <v>4741.76</v>
      </c>
      <c r="P18" s="748">
        <f t="shared" si="1"/>
        <v>7.922902458203951</v>
      </c>
      <c r="Q18" s="287" t="s">
        <v>85</v>
      </c>
    </row>
    <row r="19" spans="1:17" ht="12.75" customHeight="1">
      <c r="A19" s="12"/>
      <c r="B19" s="174" t="s">
        <v>86</v>
      </c>
      <c r="C19" s="784">
        <f>1562+727</f>
        <v>2289</v>
      </c>
      <c r="D19" s="779">
        <f>1540+738</f>
        <v>2278</v>
      </c>
      <c r="E19" s="779">
        <f>1518+780</f>
        <v>2298</v>
      </c>
      <c r="F19" s="779">
        <f>1482+839</f>
        <v>2321</v>
      </c>
      <c r="G19" s="779">
        <f>1461+912</f>
        <v>2373</v>
      </c>
      <c r="H19" s="779">
        <f>1442+968</f>
        <v>2410</v>
      </c>
      <c r="I19" s="779">
        <f>1421+1019</f>
        <v>2440</v>
      </c>
      <c r="J19" s="779">
        <f>1387+1054</f>
        <v>2441</v>
      </c>
      <c r="K19" s="779">
        <f>1357+1091</f>
        <v>2448</v>
      </c>
      <c r="L19" s="779">
        <f>1331+1131</f>
        <v>2462</v>
      </c>
      <c r="M19" s="779">
        <f>1303+1177</f>
        <v>2480</v>
      </c>
      <c r="N19" s="779">
        <f>1262+1248</f>
        <v>2510</v>
      </c>
      <c r="O19" s="787">
        <v>2535</v>
      </c>
      <c r="P19" s="749">
        <f t="shared" si="1"/>
        <v>0.9960159362549792</v>
      </c>
      <c r="Q19" s="284" t="s">
        <v>86</v>
      </c>
    </row>
    <row r="20" spans="1:17" ht="12.75" customHeight="1">
      <c r="A20" s="12"/>
      <c r="B20" s="14" t="s">
        <v>88</v>
      </c>
      <c r="C20" s="767">
        <f>2530.75+3697.545</f>
        <v>6228.295</v>
      </c>
      <c r="D20" s="743">
        <f>2572.926+3818.309</f>
        <v>6391.235000000001</v>
      </c>
      <c r="E20" s="743">
        <f>2597.857+3831.657</f>
        <v>6429.514</v>
      </c>
      <c r="F20" s="743">
        <f>2723.002+4100.321</f>
        <v>6823.323</v>
      </c>
      <c r="G20" s="743">
        <f>2975.651+4431.146</f>
        <v>7406.797</v>
      </c>
      <c r="H20" s="743">
        <f>3375.782+4451.124</f>
        <v>7826.906</v>
      </c>
      <c r="I20" s="743">
        <f>3732.306+4495.813</f>
        <v>8228.119</v>
      </c>
      <c r="J20" s="743">
        <f>4037.48+4540.906</f>
        <v>8578.386</v>
      </c>
      <c r="K20" s="743">
        <f>4375.947+4586.452</f>
        <v>8962.399000000001</v>
      </c>
      <c r="L20" s="743">
        <f>4632.399+4574.644</f>
        <v>9207.043000000001</v>
      </c>
      <c r="M20" s="743">
        <f>4360+4938.359</f>
        <v>9298.359</v>
      </c>
      <c r="N20" s="743">
        <f>4050+5288.818</f>
        <v>9338.818</v>
      </c>
      <c r="O20" s="786">
        <f>3690+5590.259</f>
        <v>9280.259</v>
      </c>
      <c r="P20" s="748">
        <f t="shared" si="1"/>
        <v>-0.6270493760559326</v>
      </c>
      <c r="Q20" s="287" t="s">
        <v>88</v>
      </c>
    </row>
    <row r="21" spans="1:17" ht="12.75" customHeight="1">
      <c r="A21" s="12"/>
      <c r="B21" s="174" t="s">
        <v>66</v>
      </c>
      <c r="C21" s="784">
        <v>50.393</v>
      </c>
      <c r="D21" s="779"/>
      <c r="E21" s="779"/>
      <c r="F21" s="779">
        <v>44.337</v>
      </c>
      <c r="G21" s="779">
        <v>44.756</v>
      </c>
      <c r="H21" s="779">
        <v>43.315</v>
      </c>
      <c r="I21" s="779">
        <v>41.985</v>
      </c>
      <c r="J21" s="779">
        <v>40.276</v>
      </c>
      <c r="K21" s="779">
        <v>41.516</v>
      </c>
      <c r="L21" s="779">
        <v>41.396</v>
      </c>
      <c r="M21" s="779">
        <v>40.381</v>
      </c>
      <c r="N21" s="779">
        <v>40.359</v>
      </c>
      <c r="O21" s="785">
        <v>41.211</v>
      </c>
      <c r="P21" s="749">
        <f t="shared" si="1"/>
        <v>2.1110532966624573</v>
      </c>
      <c r="Q21" s="284" t="s">
        <v>66</v>
      </c>
    </row>
    <row r="22" spans="1:17" ht="12.75" customHeight="1">
      <c r="A22" s="12"/>
      <c r="B22" s="14" t="s">
        <v>70</v>
      </c>
      <c r="C22" s="767">
        <v>15.792</v>
      </c>
      <c r="D22" s="743">
        <v>18.444</v>
      </c>
      <c r="E22" s="743">
        <v>19.267</v>
      </c>
      <c r="F22" s="743">
        <v>19.409</v>
      </c>
      <c r="G22" s="743">
        <v>20.057</v>
      </c>
      <c r="H22" s="743">
        <v>20.732</v>
      </c>
      <c r="I22" s="743">
        <v>21.37</v>
      </c>
      <c r="J22" s="743">
        <v>22.16</v>
      </c>
      <c r="K22" s="773">
        <v>22.88</v>
      </c>
      <c r="L22" s="743">
        <f>23.982+5.943</f>
        <v>29.924999999999997</v>
      </c>
      <c r="M22" s="743">
        <f>25.193+7.284</f>
        <v>32.477000000000004</v>
      </c>
      <c r="N22" s="743">
        <f>27.21+9.664</f>
        <v>36.874</v>
      </c>
      <c r="O22" s="786">
        <f>30.87+13.542</f>
        <v>44.412</v>
      </c>
      <c r="P22" s="748">
        <f t="shared" si="1"/>
        <v>20.4425882735803</v>
      </c>
      <c r="Q22" s="287" t="s">
        <v>70</v>
      </c>
    </row>
    <row r="23" spans="1:17" ht="12.75" customHeight="1">
      <c r="A23" s="12"/>
      <c r="B23" s="174" t="s">
        <v>71</v>
      </c>
      <c r="C23" s="784">
        <v>20.033</v>
      </c>
      <c r="D23" s="779">
        <v>19.402</v>
      </c>
      <c r="E23" s="779">
        <v>19.128</v>
      </c>
      <c r="F23" s="779">
        <v>19.266</v>
      </c>
      <c r="G23" s="779">
        <v>19.515</v>
      </c>
      <c r="H23" s="779">
        <v>19.842</v>
      </c>
      <c r="I23" s="779">
        <v>20.244</v>
      </c>
      <c r="J23" s="779">
        <v>21.017</v>
      </c>
      <c r="K23" s="779">
        <v>21.873</v>
      </c>
      <c r="L23" s="779">
        <v>22.861</v>
      </c>
      <c r="M23" s="779">
        <v>24.027</v>
      </c>
      <c r="N23" s="779">
        <v>25.478</v>
      </c>
      <c r="O23" s="785">
        <v>28.826</v>
      </c>
      <c r="P23" s="749">
        <f t="shared" si="1"/>
        <v>13.140748881387854</v>
      </c>
      <c r="Q23" s="284" t="s">
        <v>71</v>
      </c>
    </row>
    <row r="24" spans="1:17" ht="12.75" customHeight="1">
      <c r="A24" s="12"/>
      <c r="B24" s="14" t="s">
        <v>89</v>
      </c>
      <c r="C24" s="788">
        <f>8.405+20</f>
        <v>28.405</v>
      </c>
      <c r="D24" s="743">
        <f>8.716+20.185</f>
        <v>28.900999999999996</v>
      </c>
      <c r="E24" s="743">
        <f>9.297+20.377</f>
        <v>29.674</v>
      </c>
      <c r="F24" s="743">
        <f>9.947+20.641</f>
        <v>30.587999999999997</v>
      </c>
      <c r="G24" s="743">
        <f>10.819+20.943</f>
        <v>31.762</v>
      </c>
      <c r="H24" s="743">
        <f>11.488+21.286</f>
        <v>32.774</v>
      </c>
      <c r="I24" s="743">
        <f>11.961+21.615</f>
        <v>33.576</v>
      </c>
      <c r="J24" s="743">
        <f>12.671+22.03</f>
        <v>34.701</v>
      </c>
      <c r="K24" s="743">
        <f>13.38+22.579</f>
        <v>35.959</v>
      </c>
      <c r="L24" s="743">
        <f>13.901+23.008</f>
        <v>36.909</v>
      </c>
      <c r="M24" s="743">
        <f>23.471+14.268</f>
        <v>37.739000000000004</v>
      </c>
      <c r="N24" s="743">
        <f>24.029+14.609</f>
        <v>38.638</v>
      </c>
      <c r="O24" s="786">
        <f>24.532+14.947</f>
        <v>39.479</v>
      </c>
      <c r="P24" s="748">
        <f t="shared" si="1"/>
        <v>2.176613696361107</v>
      </c>
      <c r="Q24" s="287" t="s">
        <v>89</v>
      </c>
    </row>
    <row r="25" spans="1:17" ht="12.75" customHeight="1">
      <c r="A25" s="12"/>
      <c r="B25" s="174" t="s">
        <v>69</v>
      </c>
      <c r="C25" s="784"/>
      <c r="D25" s="779"/>
      <c r="E25" s="779"/>
      <c r="F25" s="779"/>
      <c r="G25" s="779">
        <v>87.573</v>
      </c>
      <c r="H25" s="779">
        <v>91.193</v>
      </c>
      <c r="I25" s="779">
        <v>93.088</v>
      </c>
      <c r="J25" s="779">
        <v>97.593</v>
      </c>
      <c r="K25" s="779">
        <v>103.493</v>
      </c>
      <c r="L25" s="779">
        <v>114.038</v>
      </c>
      <c r="M25" s="779">
        <v>122.705</v>
      </c>
      <c r="N25" s="779">
        <v>130.188</v>
      </c>
      <c r="O25" s="785">
        <v>135.865</v>
      </c>
      <c r="P25" s="749">
        <f t="shared" si="1"/>
        <v>4.360616953943541</v>
      </c>
      <c r="Q25" s="284" t="s">
        <v>69</v>
      </c>
    </row>
    <row r="26" spans="1:17" ht="12.75" customHeight="1">
      <c r="A26" s="12"/>
      <c r="B26" s="14" t="s">
        <v>72</v>
      </c>
      <c r="C26" s="767">
        <v>17.411</v>
      </c>
      <c r="D26" s="743">
        <v>11.663</v>
      </c>
      <c r="E26" s="743">
        <v>13.881</v>
      </c>
      <c r="F26" s="743">
        <v>14.847</v>
      </c>
      <c r="G26" s="743">
        <v>11.87</v>
      </c>
      <c r="H26" s="743">
        <v>12.402</v>
      </c>
      <c r="I26" s="743">
        <v>12.83</v>
      </c>
      <c r="J26" s="743">
        <v>13.324</v>
      </c>
      <c r="K26" s="743">
        <v>13.667</v>
      </c>
      <c r="L26" s="743">
        <f>12.639+0.143</f>
        <v>12.782</v>
      </c>
      <c r="M26" s="743">
        <f>11.905+0.088</f>
        <v>11.992999999999999</v>
      </c>
      <c r="N26" s="743">
        <f>12.192+0.094</f>
        <v>12.286</v>
      </c>
      <c r="O26" s="786">
        <v>12.791</v>
      </c>
      <c r="P26" s="748">
        <f t="shared" si="1"/>
        <v>4.110369526290092</v>
      </c>
      <c r="Q26" s="287" t="s">
        <v>72</v>
      </c>
    </row>
    <row r="27" spans="1:17" ht="12.75" customHeight="1">
      <c r="A27" s="12"/>
      <c r="B27" s="175" t="s">
        <v>80</v>
      </c>
      <c r="C27" s="784">
        <v>307.993</v>
      </c>
      <c r="D27" s="779">
        <v>335</v>
      </c>
      <c r="E27" s="779">
        <v>373</v>
      </c>
      <c r="F27" s="779">
        <v>451.425</v>
      </c>
      <c r="G27" s="779">
        <v>413.989</v>
      </c>
      <c r="H27" s="779">
        <v>437.798</v>
      </c>
      <c r="I27" s="779">
        <v>460.822</v>
      </c>
      <c r="J27" s="779">
        <v>494.45</v>
      </c>
      <c r="K27" s="779">
        <v>516.567</v>
      </c>
      <c r="L27" s="779">
        <v>536.934</v>
      </c>
      <c r="M27" s="779">
        <v>552.949</v>
      </c>
      <c r="N27" s="779">
        <v>567.911</v>
      </c>
      <c r="O27" s="785">
        <v>585.204</v>
      </c>
      <c r="P27" s="749">
        <f t="shared" si="1"/>
        <v>3.04501937803634</v>
      </c>
      <c r="Q27" s="288" t="s">
        <v>80</v>
      </c>
    </row>
    <row r="28" spans="1:17" ht="12.75" customHeight="1">
      <c r="A28" s="12"/>
      <c r="B28" s="14" t="s">
        <v>90</v>
      </c>
      <c r="C28" s="767">
        <f>371.505+174.907</f>
        <v>546.412</v>
      </c>
      <c r="D28" s="743">
        <f>366.506+193.685</f>
        <v>560.191</v>
      </c>
      <c r="E28" s="743">
        <f>362.953+212.767</f>
        <v>575.72</v>
      </c>
      <c r="F28" s="743">
        <f>362.964+237.767</f>
        <v>600.731</v>
      </c>
      <c r="G28" s="743">
        <f>359.63+263.297</f>
        <v>622.927</v>
      </c>
      <c r="H28" s="743">
        <f>352.984+279.728</f>
        <v>632.712</v>
      </c>
      <c r="I28" s="773">
        <f>346.591+294.843</f>
        <v>641.434</v>
      </c>
      <c r="J28" s="743">
        <f>304.255+292.569</f>
        <v>596.8240000000001</v>
      </c>
      <c r="K28" s="743">
        <f>301.387+305.481</f>
        <v>606.8679999999999</v>
      </c>
      <c r="L28" s="743">
        <f>296.522+315.638</f>
        <v>612.16</v>
      </c>
      <c r="M28" s="743">
        <f>301.425+326.286</f>
        <v>627.711</v>
      </c>
      <c r="N28" s="743">
        <f>306.592+338.721</f>
        <v>645.313</v>
      </c>
      <c r="O28" s="786">
        <f>312.658+354.919</f>
        <v>667.577</v>
      </c>
      <c r="P28" s="748">
        <f t="shared" si="1"/>
        <v>3.45010870693756</v>
      </c>
      <c r="Q28" s="287" t="s">
        <v>90</v>
      </c>
    </row>
    <row r="29" spans="1:17" ht="12.75" customHeight="1">
      <c r="A29" s="12"/>
      <c r="B29" s="174" t="s">
        <v>73</v>
      </c>
      <c r="C29" s="784">
        <v>929</v>
      </c>
      <c r="D29" s="779"/>
      <c r="E29" s="779"/>
      <c r="F29" s="779">
        <v>820</v>
      </c>
      <c r="G29" s="779">
        <v>804</v>
      </c>
      <c r="H29" s="779">
        <v>803</v>
      </c>
      <c r="I29" s="779">
        <v>803</v>
      </c>
      <c r="J29" s="779">
        <v>869</v>
      </c>
      <c r="K29" s="779">
        <v>845.456</v>
      </c>
      <c r="L29" s="779">
        <v>835.79</v>
      </c>
      <c r="M29" s="779">
        <v>753.648</v>
      </c>
      <c r="N29" s="779">
        <v>784.176</v>
      </c>
      <c r="O29" s="785">
        <v>825.305</v>
      </c>
      <c r="P29" s="749">
        <f t="shared" si="1"/>
        <v>5.244868498908395</v>
      </c>
      <c r="Q29" s="284" t="s">
        <v>73</v>
      </c>
    </row>
    <row r="30" spans="1:17" ht="12.75" customHeight="1">
      <c r="A30" s="12"/>
      <c r="B30" s="14" t="s">
        <v>91</v>
      </c>
      <c r="C30" s="767">
        <v>216.296</v>
      </c>
      <c r="D30" s="743">
        <v>240.946</v>
      </c>
      <c r="E30" s="743">
        <v>271.708</v>
      </c>
      <c r="F30" s="743">
        <v>301.045</v>
      </c>
      <c r="G30" s="743">
        <v>323.854</v>
      </c>
      <c r="H30" s="743">
        <v>345.903</v>
      </c>
      <c r="I30" s="743">
        <v>368.063</v>
      </c>
      <c r="J30" s="743">
        <v>386.969</v>
      </c>
      <c r="K30" s="743">
        <v>402.759</v>
      </c>
      <c r="L30" s="773">
        <v>418.704</v>
      </c>
      <c r="M30" s="743">
        <v>588.42</v>
      </c>
      <c r="N30" s="743">
        <f>401+157.72</f>
        <v>558.72</v>
      </c>
      <c r="O30" s="786">
        <f>377+159.645</f>
        <v>536.645</v>
      </c>
      <c r="P30" s="748">
        <f t="shared" si="1"/>
        <v>-3.950995131729673</v>
      </c>
      <c r="Q30" s="287" t="s">
        <v>91</v>
      </c>
    </row>
    <row r="31" spans="1:17" ht="12.75" customHeight="1">
      <c r="A31" s="12"/>
      <c r="B31" s="174" t="s">
        <v>74</v>
      </c>
      <c r="C31" s="784">
        <f>205.032+122.692</f>
        <v>327.724</v>
      </c>
      <c r="D31" s="779">
        <f>160.073+94.923</f>
        <v>254.996</v>
      </c>
      <c r="E31" s="779">
        <f>153.768+96.742</f>
        <v>250.51</v>
      </c>
      <c r="F31" s="779">
        <f>146.725+98.994</f>
        <v>245.719</v>
      </c>
      <c r="G31" s="779">
        <f>141.49+101.093</f>
        <v>242.58300000000003</v>
      </c>
      <c r="H31" s="779">
        <f>137.103+102.105</f>
        <v>239.20800000000003</v>
      </c>
      <c r="I31" s="779">
        <f>134.152+103.749</f>
        <v>237.90099999999998</v>
      </c>
      <c r="J31" s="779">
        <f>132.955+105.525</f>
        <v>238.48000000000002</v>
      </c>
      <c r="K31" s="779">
        <f>132.88+102.97</f>
        <v>235.85</v>
      </c>
      <c r="L31" s="779">
        <f>130.193+104.509</f>
        <v>234.702</v>
      </c>
      <c r="M31" s="779">
        <f>103.556+93.845</f>
        <v>197.401</v>
      </c>
      <c r="N31" s="780">
        <f>101.474+92.507</f>
        <v>193.981</v>
      </c>
      <c r="O31" s="779">
        <f>29.403+27.076</f>
        <v>56.479</v>
      </c>
      <c r="P31" s="749"/>
      <c r="Q31" s="284" t="s">
        <v>74</v>
      </c>
    </row>
    <row r="32" spans="1:17" ht="12.75" customHeight="1">
      <c r="A32" s="12"/>
      <c r="B32" s="14" t="s">
        <v>76</v>
      </c>
      <c r="C32" s="767">
        <v>8.546</v>
      </c>
      <c r="D32" s="743">
        <v>8.173</v>
      </c>
      <c r="E32" s="743">
        <v>8.283</v>
      </c>
      <c r="F32" s="743">
        <v>9.14</v>
      </c>
      <c r="G32" s="743">
        <v>9.906</v>
      </c>
      <c r="H32" s="743">
        <v>11.217</v>
      </c>
      <c r="I32" s="773">
        <v>11.622</v>
      </c>
      <c r="J32" s="743">
        <f>11.93+38.678</f>
        <v>50.608</v>
      </c>
      <c r="K32" s="743">
        <f>12.048+30.344</f>
        <v>42.392</v>
      </c>
      <c r="L32" s="743">
        <f>11.574+28.626</f>
        <v>40.2</v>
      </c>
      <c r="M32" s="743">
        <f>14.473+34.198</f>
        <v>48.671</v>
      </c>
      <c r="N32" s="743">
        <f>18.801+34.392</f>
        <v>53.193</v>
      </c>
      <c r="O32" s="786">
        <f>34.162+37.331</f>
        <v>71.493</v>
      </c>
      <c r="P32" s="748">
        <f t="shared" si="1"/>
        <v>34.4030229541481</v>
      </c>
      <c r="Q32" s="287" t="s">
        <v>76</v>
      </c>
    </row>
    <row r="33" spans="1:17" ht="12.75" customHeight="1">
      <c r="A33" s="12"/>
      <c r="B33" s="174" t="s">
        <v>75</v>
      </c>
      <c r="C33" s="784">
        <v>81.847</v>
      </c>
      <c r="D33" s="779">
        <v>79.479</v>
      </c>
      <c r="E33" s="779">
        <v>81.062</v>
      </c>
      <c r="F33" s="780">
        <v>100.891</v>
      </c>
      <c r="G33" s="779">
        <v>44.215</v>
      </c>
      <c r="H33" s="779">
        <v>45.647</v>
      </c>
      <c r="I33" s="779">
        <v>46.676</v>
      </c>
      <c r="J33" s="779">
        <v>47.9</v>
      </c>
      <c r="K33" s="779">
        <v>48.709</v>
      </c>
      <c r="L33" s="779">
        <v>51.977</v>
      </c>
      <c r="M33" s="779">
        <v>56.366</v>
      </c>
      <c r="N33" s="779">
        <v>58.101</v>
      </c>
      <c r="O33" s="785">
        <v>63.897</v>
      </c>
      <c r="P33" s="749">
        <f t="shared" si="1"/>
        <v>9.97573191511334</v>
      </c>
      <c r="Q33" s="284" t="s">
        <v>75</v>
      </c>
    </row>
    <row r="34" spans="1:17" ht="12.75" customHeight="1">
      <c r="A34" s="12"/>
      <c r="B34" s="14" t="s">
        <v>92</v>
      </c>
      <c r="C34" s="767">
        <f>65.095+94.43</f>
        <v>159.525</v>
      </c>
      <c r="D34" s="743">
        <f>66.468+96.32</f>
        <v>162.788</v>
      </c>
      <c r="E34" s="743">
        <f>68.552+98.062</f>
        <v>166.614</v>
      </c>
      <c r="F34" s="743">
        <f>72.704+100.621</f>
        <v>173.325</v>
      </c>
      <c r="G34" s="743">
        <f>80.178+103.01</f>
        <v>183.188</v>
      </c>
      <c r="H34" s="743">
        <f>90.877+102.545</f>
        <v>193.422</v>
      </c>
      <c r="I34" s="743">
        <f>102.811+103.424</f>
        <v>206.235</v>
      </c>
      <c r="J34" s="743">
        <f>116.021+107.556</f>
        <v>223.577</v>
      </c>
      <c r="K34" s="743">
        <f>129.67+115.712</f>
        <v>245.382</v>
      </c>
      <c r="L34" s="743">
        <f>142.703+129.017</f>
        <v>271.72</v>
      </c>
      <c r="M34" s="743">
        <f>156.487+145.318</f>
        <v>301.805</v>
      </c>
      <c r="N34" s="743">
        <f>172.283+166.16</f>
        <v>338.443</v>
      </c>
      <c r="O34" s="786">
        <f>188.144+188.388</f>
        <v>376.53200000000004</v>
      </c>
      <c r="P34" s="748">
        <f t="shared" si="1"/>
        <v>11.2541846042022</v>
      </c>
      <c r="Q34" s="287" t="s">
        <v>92</v>
      </c>
    </row>
    <row r="35" spans="1:17" ht="12.75" customHeight="1">
      <c r="A35" s="12"/>
      <c r="B35" s="174" t="s">
        <v>93</v>
      </c>
      <c r="C35" s="784">
        <f>117.387+146.793</f>
        <v>264.18</v>
      </c>
      <c r="D35" s="779">
        <f>121.95+150.765</f>
        <v>272.715</v>
      </c>
      <c r="E35" s="779">
        <f>130.041+149.38</f>
        <v>279.421</v>
      </c>
      <c r="F35" s="779">
        <f>137.466+148.454</f>
        <v>285.92</v>
      </c>
      <c r="G35" s="779">
        <f>149.97+150.49</f>
        <v>300.46000000000004</v>
      </c>
      <c r="H35" s="779">
        <f>167.346+142.723</f>
        <v>310.069</v>
      </c>
      <c r="I35" s="779">
        <f>190.607+145.734</f>
        <v>336.341</v>
      </c>
      <c r="J35" s="779">
        <f>220.75+151.619</f>
        <v>372.369</v>
      </c>
      <c r="K35" s="779">
        <f>247.129+148.472</f>
        <v>395.601</v>
      </c>
      <c r="L35" s="779">
        <f>205.567+155.754+41.996</f>
        <v>403.317</v>
      </c>
      <c r="M35" s="779">
        <f>225.038+169.574+58.47</f>
        <v>453.082</v>
      </c>
      <c r="N35" s="779">
        <f>245.039+177.306+75.399</f>
        <v>497.744</v>
      </c>
      <c r="O35" s="785">
        <f>259.017+184.231+84.877</f>
        <v>528.125</v>
      </c>
      <c r="P35" s="749">
        <f t="shared" si="1"/>
        <v>6.103740075219388</v>
      </c>
      <c r="Q35" s="284" t="s">
        <v>93</v>
      </c>
    </row>
    <row r="36" spans="1:17" ht="12.75" customHeight="1">
      <c r="A36" s="12"/>
      <c r="B36" s="15" t="s">
        <v>81</v>
      </c>
      <c r="C36" s="789">
        <v>714</v>
      </c>
      <c r="D36" s="790">
        <v>752</v>
      </c>
      <c r="E36" s="790">
        <v>766</v>
      </c>
      <c r="F36" s="790">
        <v>828</v>
      </c>
      <c r="G36" s="790">
        <v>905</v>
      </c>
      <c r="H36" s="790">
        <v>971</v>
      </c>
      <c r="I36" s="790">
        <v>1028</v>
      </c>
      <c r="J36" s="790">
        <v>1090</v>
      </c>
      <c r="K36" s="790">
        <v>1162</v>
      </c>
      <c r="L36" s="790">
        <v>1218</v>
      </c>
      <c r="M36" s="790">
        <v>1235</v>
      </c>
      <c r="N36" s="790">
        <f>1224+30</f>
        <v>1254</v>
      </c>
      <c r="O36" s="791">
        <f>1263+32</f>
        <v>1295</v>
      </c>
      <c r="P36" s="750">
        <f t="shared" si="1"/>
        <v>3.2695374800638</v>
      </c>
      <c r="Q36" s="289" t="s">
        <v>81</v>
      </c>
    </row>
    <row r="37" spans="1:17" ht="12.75" customHeight="1">
      <c r="A37" s="12"/>
      <c r="B37" s="174" t="s">
        <v>97</v>
      </c>
      <c r="C37" s="779">
        <v>9.933</v>
      </c>
      <c r="D37" s="779">
        <v>14.128</v>
      </c>
      <c r="E37" s="779">
        <v>17.401</v>
      </c>
      <c r="F37" s="779">
        <v>18.957</v>
      </c>
      <c r="G37" s="779">
        <v>20.499</v>
      </c>
      <c r="H37" s="779">
        <v>21.868</v>
      </c>
      <c r="I37" s="780">
        <v>24.305</v>
      </c>
      <c r="J37" s="779">
        <v>85.217</v>
      </c>
      <c r="K37" s="779">
        <v>99.137</v>
      </c>
      <c r="L37" s="779">
        <v>112.907</v>
      </c>
      <c r="M37" s="779">
        <v>128.382</v>
      </c>
      <c r="N37" s="779">
        <f>56.401+106.343</f>
        <v>162.744</v>
      </c>
      <c r="O37" s="785">
        <f>63.357+120.457</f>
        <v>183.814</v>
      </c>
      <c r="P37" s="749">
        <f t="shared" si="1"/>
        <v>12.946713857346491</v>
      </c>
      <c r="Q37" s="284" t="s">
        <v>97</v>
      </c>
    </row>
    <row r="38" spans="1:17" ht="12.75" customHeight="1">
      <c r="A38" s="12"/>
      <c r="B38" s="14" t="s">
        <v>1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8"/>
      <c r="Q38" s="287" t="s">
        <v>1</v>
      </c>
    </row>
    <row r="39" spans="1:17" ht="12.75" customHeight="1">
      <c r="A39" s="12"/>
      <c r="B39" s="176" t="s">
        <v>77</v>
      </c>
      <c r="C39" s="779">
        <v>819.922</v>
      </c>
      <c r="D39" s="779">
        <v>854.15</v>
      </c>
      <c r="E39" s="779">
        <v>905.121</v>
      </c>
      <c r="F39" s="779">
        <v>940.935</v>
      </c>
      <c r="G39" s="779">
        <v>975.746</v>
      </c>
      <c r="H39" s="779">
        <v>1011.284</v>
      </c>
      <c r="I39" s="779">
        <v>1031.221</v>
      </c>
      <c r="J39" s="779">
        <v>1046.907</v>
      </c>
      <c r="K39" s="779">
        <v>1073.415</v>
      </c>
      <c r="L39" s="779">
        <v>1218.677</v>
      </c>
      <c r="M39" s="779">
        <v>1441.066</v>
      </c>
      <c r="N39" s="779">
        <v>1822.831</v>
      </c>
      <c r="O39" s="779">
        <v>2003.492</v>
      </c>
      <c r="P39" s="751">
        <f>100*(O39/N39-1)</f>
        <v>9.911012046646128</v>
      </c>
      <c r="Q39" s="285" t="s">
        <v>77</v>
      </c>
    </row>
    <row r="40" spans="1:17" ht="12.75" customHeight="1">
      <c r="A40" s="12"/>
      <c r="B40" s="13" t="s">
        <v>63</v>
      </c>
      <c r="C40" s="774">
        <v>1.881</v>
      </c>
      <c r="D40" s="774">
        <v>1.95</v>
      </c>
      <c r="E40" s="774">
        <v>2.047</v>
      </c>
      <c r="F40" s="774">
        <v>1.906</v>
      </c>
      <c r="G40" s="774">
        <v>2.084</v>
      </c>
      <c r="H40" s="774">
        <v>2.278</v>
      </c>
      <c r="I40" s="774">
        <v>2.444</v>
      </c>
      <c r="J40" s="774">
        <v>2.557</v>
      </c>
      <c r="K40" s="774">
        <v>2.747</v>
      </c>
      <c r="L40" s="774">
        <v>3.105</v>
      </c>
      <c r="M40" s="774">
        <v>4.183</v>
      </c>
      <c r="N40" s="774">
        <v>5.699</v>
      </c>
      <c r="O40" s="774">
        <v>8.074</v>
      </c>
      <c r="P40" s="752">
        <f>100*(O40/N40-1)</f>
        <v>41.67397789085805</v>
      </c>
      <c r="Q40" s="13" t="s">
        <v>63</v>
      </c>
    </row>
    <row r="41" spans="1:17" ht="12.75" customHeight="1">
      <c r="A41" s="12"/>
      <c r="B41" s="174" t="s">
        <v>94</v>
      </c>
      <c r="C41" s="779">
        <v>158.624</v>
      </c>
      <c r="D41" s="779">
        <v>164.775</v>
      </c>
      <c r="E41" s="779">
        <v>174.603</v>
      </c>
      <c r="F41" s="779">
        <v>184.34699999999998</v>
      </c>
      <c r="G41" s="779">
        <v>193.00099999999998</v>
      </c>
      <c r="H41" s="779">
        <v>201.564</v>
      </c>
      <c r="I41" s="779">
        <v>211.42700000000002</v>
      </c>
      <c r="J41" s="779">
        <v>225.173</v>
      </c>
      <c r="K41" s="779">
        <v>239.596</v>
      </c>
      <c r="L41" s="779">
        <v>248.57099999999997</v>
      </c>
      <c r="M41" s="779">
        <f>148.161+13.63+95.708</f>
        <v>257.499</v>
      </c>
      <c r="N41" s="779">
        <f>116.875+151.67</f>
        <v>268.54499999999996</v>
      </c>
      <c r="O41" s="779">
        <f>156.287+16.589+109.618</f>
        <v>282.494</v>
      </c>
      <c r="P41" s="749">
        <f>100*(O41/N41-1)</f>
        <v>5.194287735761249</v>
      </c>
      <c r="Q41" s="174" t="s">
        <v>94</v>
      </c>
    </row>
    <row r="42" spans="1:17" ht="12.75" customHeight="1">
      <c r="A42" s="12"/>
      <c r="B42" s="14" t="s">
        <v>64</v>
      </c>
      <c r="C42" s="743">
        <v>370.699</v>
      </c>
      <c r="D42" s="743">
        <v>381.984</v>
      </c>
      <c r="E42" s="743">
        <v>410.749</v>
      </c>
      <c r="F42" s="743">
        <v>435.042</v>
      </c>
      <c r="G42" s="743">
        <v>464.357</v>
      </c>
      <c r="H42" s="743">
        <v>493.781</v>
      </c>
      <c r="I42" s="743">
        <v>521.39</v>
      </c>
      <c r="J42" s="743">
        <v>545.132</v>
      </c>
      <c r="K42" s="743">
        <v>567.358</v>
      </c>
      <c r="L42" s="743">
        <v>583.01</v>
      </c>
      <c r="M42" s="743">
        <v>591.865</v>
      </c>
      <c r="N42" s="743">
        <v>608.66</v>
      </c>
      <c r="O42" s="743">
        <v>619.166</v>
      </c>
      <c r="P42" s="748">
        <f>100*(O42/N42-1)</f>
        <v>1.7260868136562468</v>
      </c>
      <c r="Q42" s="14" t="s">
        <v>64</v>
      </c>
    </row>
    <row r="43" spans="1:17" ht="12.75" customHeight="1">
      <c r="A43" s="12"/>
      <c r="B43" s="176" t="s">
        <v>125</v>
      </c>
      <c r="C43" s="781"/>
      <c r="D43" s="781"/>
      <c r="E43" s="781"/>
      <c r="F43" s="781"/>
      <c r="G43" s="781">
        <v>2.443</v>
      </c>
      <c r="H43" s="781">
        <v>2.594</v>
      </c>
      <c r="I43" s="781">
        <v>2.754</v>
      </c>
      <c r="J43" s="781">
        <v>2.878</v>
      </c>
      <c r="K43" s="781">
        <v>2.98</v>
      </c>
      <c r="L43" s="781">
        <v>3.003</v>
      </c>
      <c r="M43" s="781">
        <v>3.11</v>
      </c>
      <c r="N43" s="781">
        <v>3.17</v>
      </c>
      <c r="O43" s="781">
        <v>3.256</v>
      </c>
      <c r="P43" s="751">
        <f>100*(O43/N43-1)</f>
        <v>2.712933753943214</v>
      </c>
      <c r="Q43" s="176" t="s">
        <v>125</v>
      </c>
    </row>
    <row r="44" spans="2:17" ht="12.75">
      <c r="B44" s="6" t="s">
        <v>222</v>
      </c>
      <c r="C44" s="19"/>
      <c r="D44" s="19"/>
      <c r="E44" s="19"/>
      <c r="F44" s="19"/>
      <c r="G44" s="19"/>
      <c r="H44" s="796"/>
      <c r="I44" s="796"/>
      <c r="J44" s="796"/>
      <c r="K44" s="796"/>
      <c r="L44" s="796"/>
      <c r="M44" s="796"/>
      <c r="N44" s="796"/>
      <c r="O44" s="796"/>
      <c r="P44" s="796"/>
      <c r="Q44" s="796"/>
    </row>
    <row r="45" spans="2:17" ht="37.5" customHeight="1">
      <c r="B45" s="886" t="s">
        <v>221</v>
      </c>
      <c r="C45" s="897"/>
      <c r="D45" s="897"/>
      <c r="E45" s="897"/>
      <c r="F45" s="897"/>
      <c r="G45" s="897"/>
      <c r="H45" s="897"/>
      <c r="I45" s="897"/>
      <c r="J45" s="897"/>
      <c r="K45" s="897"/>
      <c r="L45" s="897"/>
      <c r="M45" s="897"/>
      <c r="N45" s="897"/>
      <c r="O45" s="897"/>
      <c r="P45" s="897"/>
      <c r="Q45" s="897"/>
    </row>
    <row r="46" spans="3:17" ht="12.75" customHeight="1">
      <c r="C46"/>
      <c r="D46"/>
      <c r="E46"/>
      <c r="F46"/>
      <c r="G46"/>
      <c r="K46" s="121"/>
      <c r="L46" s="121"/>
      <c r="M46" s="121"/>
      <c r="N46" s="121"/>
      <c r="O46" s="121"/>
      <c r="P46" s="121"/>
      <c r="Q46" s="121"/>
    </row>
  </sheetData>
  <mergeCells count="3">
    <mergeCell ref="B2:Q2"/>
    <mergeCell ref="B3:Q3"/>
    <mergeCell ref="B45:Q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4" width="8.7109375" style="0" hidden="1" customWidth="1"/>
    <col min="5" max="13" width="8.7109375" style="0" customWidth="1"/>
    <col min="14" max="14" width="4.00390625" style="0" customWidth="1"/>
    <col min="16" max="16" width="7.57421875" style="0" customWidth="1"/>
  </cols>
  <sheetData>
    <row r="1" spans="2:14" ht="14.25" customHeight="1">
      <c r="B1" s="56"/>
      <c r="C1" s="42"/>
      <c r="D1" s="42"/>
      <c r="E1" s="42"/>
      <c r="F1" s="42"/>
      <c r="G1" s="42"/>
      <c r="J1" s="20"/>
      <c r="N1" s="20" t="s">
        <v>104</v>
      </c>
    </row>
    <row r="2" spans="2:14" s="121" customFormat="1" ht="30" customHeight="1">
      <c r="B2" s="898" t="s">
        <v>17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</row>
    <row r="3" spans="2:14" ht="15" customHeight="1">
      <c r="B3" s="899" t="s">
        <v>157</v>
      </c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</row>
    <row r="4" spans="2:14" ht="12.75">
      <c r="B4" s="5"/>
      <c r="C4" s="38"/>
      <c r="D4" s="38"/>
      <c r="E4" s="38"/>
      <c r="J4" s="11"/>
      <c r="L4" s="11"/>
      <c r="M4" s="11" t="s">
        <v>6</v>
      </c>
      <c r="N4" s="11"/>
    </row>
    <row r="5" spans="2:16" ht="24.75" customHeight="1">
      <c r="B5" s="5"/>
      <c r="C5" s="178">
        <v>1998</v>
      </c>
      <c r="D5" s="179">
        <v>1999</v>
      </c>
      <c r="E5" s="178">
        <v>2000</v>
      </c>
      <c r="F5" s="179">
        <v>2001</v>
      </c>
      <c r="G5" s="179">
        <v>2002</v>
      </c>
      <c r="H5" s="179">
        <v>2003</v>
      </c>
      <c r="I5" s="179">
        <v>2004</v>
      </c>
      <c r="J5" s="179">
        <v>2005</v>
      </c>
      <c r="K5" s="179">
        <v>2006</v>
      </c>
      <c r="L5" s="179">
        <v>2007</v>
      </c>
      <c r="M5" s="180">
        <v>2008</v>
      </c>
      <c r="N5" s="10"/>
      <c r="P5" s="940" t="s">
        <v>256</v>
      </c>
    </row>
    <row r="6" spans="2:16" ht="12.75" customHeight="1">
      <c r="B6" s="177" t="s">
        <v>47</v>
      </c>
      <c r="C6" s="290"/>
      <c r="D6" s="291"/>
      <c r="E6" s="643"/>
      <c r="F6" s="643"/>
      <c r="G6" s="643"/>
      <c r="H6" s="643">
        <f aca="true" t="shared" si="0" ref="H6:M6">SUM(H9:H35)</f>
        <v>14853.315999999999</v>
      </c>
      <c r="I6" s="643">
        <f t="shared" si="0"/>
        <v>15148.716000000004</v>
      </c>
      <c r="J6" s="643">
        <f t="shared" si="0"/>
        <v>15092.174000000003</v>
      </c>
      <c r="K6" s="643">
        <f t="shared" si="0"/>
        <v>15450.336999999996</v>
      </c>
      <c r="L6" s="643">
        <f t="shared" si="0"/>
        <v>15604.879000000003</v>
      </c>
      <c r="M6" s="459">
        <f t="shared" si="0"/>
        <v>14335.095</v>
      </c>
      <c r="N6" s="283" t="s">
        <v>47</v>
      </c>
      <c r="P6" s="95">
        <f>100*(M6/L6-1)</f>
        <v>-8.137096096675933</v>
      </c>
    </row>
    <row r="7" spans="2:16" ht="12.75" customHeight="1">
      <c r="B7" s="174" t="s">
        <v>82</v>
      </c>
      <c r="C7" s="292">
        <f>C9+C12+C13+C16+C17+C18+C15+C19+C23+C26+C27+C29+C33+C34+C35</f>
        <v>13940.822999999999</v>
      </c>
      <c r="D7" s="293">
        <f aca="true" t="shared" si="1" ref="D7:J7">D9+D12+D13+D16+D17+D18+D15+D19+D23+D26+D27+D29+D33+D34+D35</f>
        <v>14632.826</v>
      </c>
      <c r="E7" s="644">
        <f t="shared" si="1"/>
        <v>14319.107</v>
      </c>
      <c r="F7" s="644">
        <f t="shared" si="1"/>
        <v>14401.916999999998</v>
      </c>
      <c r="G7" s="644">
        <f t="shared" si="1"/>
        <v>14008.012999999999</v>
      </c>
      <c r="H7" s="644">
        <f t="shared" si="1"/>
        <v>13842.554</v>
      </c>
      <c r="I7" s="644">
        <f t="shared" si="1"/>
        <v>14127.452000000001</v>
      </c>
      <c r="J7" s="644">
        <f t="shared" si="1"/>
        <v>14111.851</v>
      </c>
      <c r="K7" s="644">
        <f>K9+K12+K13+K16+K17+K18+K15+K19+K23+K26+K27+K29+K33+K34+K35</f>
        <v>14367.267999999998</v>
      </c>
      <c r="L7" s="644">
        <f>L9+L12+L13+L16+L17+L18+L15+L19+L23+L26+L27+L29+L33+L34+L35</f>
        <v>14363.814</v>
      </c>
      <c r="M7" s="460">
        <f>M9+M12+M13+M16+M17+M18+M15+M19+M23+M26+M27+M29+M33+M34+M35</f>
        <v>13151.238000000001</v>
      </c>
      <c r="N7" s="284" t="s">
        <v>82</v>
      </c>
      <c r="P7" s="95">
        <f aca="true" t="shared" si="2" ref="P7:P35">100*(M7/L7-1)</f>
        <v>-8.441880408643543</v>
      </c>
    </row>
    <row r="8" spans="2:16" ht="12.75" customHeight="1">
      <c r="B8" s="176" t="s">
        <v>175</v>
      </c>
      <c r="C8" s="294"/>
      <c r="D8" s="295"/>
      <c r="E8" s="645"/>
      <c r="F8" s="645"/>
      <c r="G8" s="645"/>
      <c r="H8" s="645">
        <f aca="true" t="shared" si="3" ref="H8:M8">SUM(H10,H11,H14,H20,H21,H22,H24,H25,H28,H30,H31,H32)</f>
        <v>1010.762</v>
      </c>
      <c r="I8" s="645">
        <f t="shared" si="3"/>
        <v>1021.2639999999999</v>
      </c>
      <c r="J8" s="645">
        <f t="shared" si="3"/>
        <v>980.323</v>
      </c>
      <c r="K8" s="645">
        <f t="shared" si="3"/>
        <v>1083.069</v>
      </c>
      <c r="L8" s="645">
        <f t="shared" si="3"/>
        <v>1241.0650000000003</v>
      </c>
      <c r="M8" s="461">
        <f t="shared" si="3"/>
        <v>1183.8569999999997</v>
      </c>
      <c r="N8" s="285" t="s">
        <v>175</v>
      </c>
      <c r="P8" s="95">
        <f t="shared" si="2"/>
        <v>-4.6095893446355</v>
      </c>
    </row>
    <row r="9" spans="1:16" ht="12.75" customHeight="1">
      <c r="A9" s="12"/>
      <c r="B9" s="13" t="s">
        <v>83</v>
      </c>
      <c r="C9" s="296">
        <v>452.129</v>
      </c>
      <c r="D9" s="297">
        <v>489.621</v>
      </c>
      <c r="E9" s="646">
        <v>515.204</v>
      </c>
      <c r="F9" s="646">
        <v>488.683</v>
      </c>
      <c r="G9" s="646">
        <v>467.569</v>
      </c>
      <c r="H9" s="646">
        <v>458.796</v>
      </c>
      <c r="I9" s="646">
        <v>484.757</v>
      </c>
      <c r="J9" s="646">
        <v>480.088</v>
      </c>
      <c r="K9" s="646">
        <v>526.141</v>
      </c>
      <c r="L9" s="646">
        <v>524.795</v>
      </c>
      <c r="M9" s="647">
        <v>535.947</v>
      </c>
      <c r="N9" s="286" t="s">
        <v>83</v>
      </c>
      <c r="P9" s="95">
        <f t="shared" si="2"/>
        <v>2.1250202460008305</v>
      </c>
    </row>
    <row r="10" spans="1:16" ht="12.75" customHeight="1">
      <c r="A10" s="12"/>
      <c r="B10" s="174" t="s">
        <v>65</v>
      </c>
      <c r="C10" s="298"/>
      <c r="D10" s="299"/>
      <c r="E10" s="642"/>
      <c r="F10" s="642"/>
      <c r="G10" s="642">
        <v>13.82</v>
      </c>
      <c r="H10" s="642">
        <v>16.64</v>
      </c>
      <c r="I10" s="642">
        <v>24.91</v>
      </c>
      <c r="J10" s="642">
        <v>32.7</v>
      </c>
      <c r="K10" s="642">
        <v>32.481</v>
      </c>
      <c r="L10" s="642">
        <v>41.042</v>
      </c>
      <c r="M10" s="493">
        <v>45.143</v>
      </c>
      <c r="N10" s="284" t="s">
        <v>65</v>
      </c>
      <c r="P10" s="95">
        <f t="shared" si="2"/>
        <v>9.992203109010278</v>
      </c>
    </row>
    <row r="11" spans="1:16" ht="12.75" customHeight="1">
      <c r="A11" s="12"/>
      <c r="B11" s="14" t="s">
        <v>67</v>
      </c>
      <c r="C11" s="300"/>
      <c r="D11" s="301"/>
      <c r="E11" s="648"/>
      <c r="F11" s="648"/>
      <c r="G11" s="648"/>
      <c r="H11" s="648">
        <v>152.981</v>
      </c>
      <c r="I11" s="648">
        <v>143.622</v>
      </c>
      <c r="J11" s="648">
        <v>151.699</v>
      </c>
      <c r="K11" s="648">
        <v>156.686</v>
      </c>
      <c r="L11" s="648">
        <v>174.456</v>
      </c>
      <c r="M11" s="492">
        <v>143.661</v>
      </c>
      <c r="N11" s="287" t="s">
        <v>67</v>
      </c>
      <c r="P11" s="95">
        <f t="shared" si="2"/>
        <v>-17.65201540789654</v>
      </c>
    </row>
    <row r="12" spans="1:16" ht="12.75" customHeight="1">
      <c r="A12" s="12"/>
      <c r="B12" s="174" t="s">
        <v>78</v>
      </c>
      <c r="C12" s="298">
        <v>162.508</v>
      </c>
      <c r="D12" s="299">
        <v>143.727</v>
      </c>
      <c r="E12" s="642">
        <v>112.69</v>
      </c>
      <c r="F12" s="642">
        <v>96.173</v>
      </c>
      <c r="G12" s="642">
        <v>111.585</v>
      </c>
      <c r="H12" s="642">
        <v>96.078</v>
      </c>
      <c r="I12" s="642">
        <v>121.49</v>
      </c>
      <c r="J12" s="642">
        <v>146.885</v>
      </c>
      <c r="K12" s="642">
        <v>154.385</v>
      </c>
      <c r="L12" s="642">
        <v>159.346</v>
      </c>
      <c r="M12" s="493">
        <v>149.967</v>
      </c>
      <c r="N12" s="284" t="s">
        <v>78</v>
      </c>
      <c r="P12" s="95">
        <f t="shared" si="2"/>
        <v>-5.885933754220374</v>
      </c>
    </row>
    <row r="13" spans="1:16" ht="12.75" customHeight="1">
      <c r="A13" s="12"/>
      <c r="B13" s="14" t="s">
        <v>84</v>
      </c>
      <c r="C13" s="300">
        <v>3735.987</v>
      </c>
      <c r="D13" s="301">
        <v>3802.176</v>
      </c>
      <c r="E13" s="648">
        <v>3378.343</v>
      </c>
      <c r="F13" s="648">
        <v>3341.718</v>
      </c>
      <c r="G13" s="648">
        <v>3252.898</v>
      </c>
      <c r="H13" s="648">
        <v>3236.938</v>
      </c>
      <c r="I13" s="648">
        <v>3266.825</v>
      </c>
      <c r="J13" s="648">
        <v>3319.259</v>
      </c>
      <c r="K13" s="648">
        <v>3467.961</v>
      </c>
      <c r="L13" s="648">
        <v>3148.163</v>
      </c>
      <c r="M13" s="492">
        <v>3090.04</v>
      </c>
      <c r="N13" s="287" t="s">
        <v>84</v>
      </c>
      <c r="P13" s="95">
        <f t="shared" si="2"/>
        <v>-1.8462512900380368</v>
      </c>
    </row>
    <row r="14" spans="1:16" ht="12.75" customHeight="1">
      <c r="A14" s="12"/>
      <c r="B14" s="174" t="s">
        <v>68</v>
      </c>
      <c r="C14" s="298"/>
      <c r="D14" s="299"/>
      <c r="E14" s="642"/>
      <c r="F14" s="642"/>
      <c r="G14" s="642"/>
      <c r="H14" s="642">
        <v>15.602</v>
      </c>
      <c r="I14" s="642">
        <v>16.436</v>
      </c>
      <c r="J14" s="642">
        <v>19.64</v>
      </c>
      <c r="K14" s="642">
        <v>25.363</v>
      </c>
      <c r="L14" s="642">
        <v>30.912</v>
      </c>
      <c r="M14" s="493">
        <v>24.335</v>
      </c>
      <c r="N14" s="284" t="s">
        <v>68</v>
      </c>
      <c r="P14" s="95">
        <f t="shared" si="2"/>
        <v>-21.27652691511387</v>
      </c>
    </row>
    <row r="15" spans="1:16" ht="12.75" customHeight="1">
      <c r="A15" s="12"/>
      <c r="B15" s="14" t="s">
        <v>87</v>
      </c>
      <c r="C15" s="300">
        <v>145.702</v>
      </c>
      <c r="D15" s="301">
        <v>174.242</v>
      </c>
      <c r="E15" s="648">
        <v>230.795</v>
      </c>
      <c r="F15" s="648">
        <v>164.73</v>
      </c>
      <c r="G15" s="648">
        <v>156.125</v>
      </c>
      <c r="H15" s="648">
        <v>145.223</v>
      </c>
      <c r="I15" s="648">
        <v>154.136</v>
      </c>
      <c r="J15" s="648">
        <v>171.742</v>
      </c>
      <c r="K15" s="648">
        <v>178.484</v>
      </c>
      <c r="L15" s="648">
        <v>186.325</v>
      </c>
      <c r="M15" s="492">
        <v>151.607</v>
      </c>
      <c r="N15" s="287" t="s">
        <v>87</v>
      </c>
      <c r="P15" s="95">
        <f t="shared" si="2"/>
        <v>-18.633033677713673</v>
      </c>
    </row>
    <row r="16" spans="1:16" ht="12.75" customHeight="1">
      <c r="A16" s="12"/>
      <c r="B16" s="174" t="s">
        <v>79</v>
      </c>
      <c r="C16" s="298">
        <v>180.145</v>
      </c>
      <c r="D16" s="299">
        <v>261.711</v>
      </c>
      <c r="E16" s="642">
        <v>290.222</v>
      </c>
      <c r="F16" s="642">
        <v>280.214</v>
      </c>
      <c r="G16" s="642">
        <v>268.489</v>
      </c>
      <c r="H16" s="642">
        <v>257.293</v>
      </c>
      <c r="I16" s="642">
        <v>289.691</v>
      </c>
      <c r="J16" s="642">
        <v>269.728</v>
      </c>
      <c r="K16" s="642">
        <v>267.669</v>
      </c>
      <c r="L16" s="642">
        <v>279.745</v>
      </c>
      <c r="M16" s="493">
        <v>267.242</v>
      </c>
      <c r="N16" s="284" t="s">
        <v>79</v>
      </c>
      <c r="P16" s="95">
        <f t="shared" si="2"/>
        <v>-4.4694275143434155</v>
      </c>
    </row>
    <row r="17" spans="1:16" ht="12.75" customHeight="1">
      <c r="A17" s="12"/>
      <c r="B17" s="14" t="s">
        <v>85</v>
      </c>
      <c r="C17" s="300">
        <v>1192.53</v>
      </c>
      <c r="D17" s="301">
        <v>1406.246</v>
      </c>
      <c r="E17" s="648">
        <v>1381.256</v>
      </c>
      <c r="F17" s="648">
        <v>1425.573</v>
      </c>
      <c r="G17" s="648">
        <v>1331.877</v>
      </c>
      <c r="H17" s="648">
        <v>1382.109</v>
      </c>
      <c r="I17" s="648">
        <v>1517.286</v>
      </c>
      <c r="J17" s="648">
        <v>1528.877</v>
      </c>
      <c r="K17" s="648">
        <v>1634.608</v>
      </c>
      <c r="L17" s="648">
        <v>1614.835</v>
      </c>
      <c r="M17" s="492">
        <v>1161.176</v>
      </c>
      <c r="N17" s="287" t="s">
        <v>85</v>
      </c>
      <c r="P17" s="95">
        <f t="shared" si="2"/>
        <v>-28.09321076147099</v>
      </c>
    </row>
    <row r="18" spans="1:16" ht="12.75" customHeight="1">
      <c r="A18" s="12"/>
      <c r="B18" s="174" t="s">
        <v>86</v>
      </c>
      <c r="C18" s="298">
        <v>1943.553</v>
      </c>
      <c r="D18" s="299">
        <v>2148.423</v>
      </c>
      <c r="E18" s="642">
        <v>2133.884</v>
      </c>
      <c r="F18" s="642">
        <v>2254.732</v>
      </c>
      <c r="G18" s="642">
        <v>2145.071</v>
      </c>
      <c r="H18" s="642">
        <v>2009.246</v>
      </c>
      <c r="I18" s="642">
        <v>2013.709</v>
      </c>
      <c r="J18" s="642">
        <v>2067.789</v>
      </c>
      <c r="K18" s="642">
        <v>2000.549</v>
      </c>
      <c r="L18" s="642">
        <v>2064.543</v>
      </c>
      <c r="M18" s="493">
        <v>2050.282</v>
      </c>
      <c r="N18" s="284" t="s">
        <v>86</v>
      </c>
      <c r="P18" s="95">
        <f t="shared" si="2"/>
        <v>-0.6907581968503385</v>
      </c>
    </row>
    <row r="19" spans="1:16" ht="12.75" customHeight="1">
      <c r="A19" s="12"/>
      <c r="B19" s="14" t="s">
        <v>88</v>
      </c>
      <c r="C19" s="300">
        <v>2378.516</v>
      </c>
      <c r="D19" s="301">
        <v>2338.464</v>
      </c>
      <c r="E19" s="648">
        <v>2423.084</v>
      </c>
      <c r="F19" s="648">
        <v>2413.455</v>
      </c>
      <c r="G19" s="648">
        <v>2279.612</v>
      </c>
      <c r="H19" s="648">
        <v>2247.019</v>
      </c>
      <c r="I19" s="648">
        <v>2264.688</v>
      </c>
      <c r="J19" s="648">
        <v>2237.444</v>
      </c>
      <c r="K19" s="648">
        <v>2326.049</v>
      </c>
      <c r="L19" s="648">
        <v>2493.102</v>
      </c>
      <c r="M19" s="492">
        <v>2160.131</v>
      </c>
      <c r="N19" s="287" t="s">
        <v>88</v>
      </c>
      <c r="P19" s="95">
        <f t="shared" si="2"/>
        <v>-13.355691022669747</v>
      </c>
    </row>
    <row r="20" spans="1:16" ht="12.75" customHeight="1">
      <c r="A20" s="12"/>
      <c r="B20" s="174" t="s">
        <v>66</v>
      </c>
      <c r="C20" s="298"/>
      <c r="D20" s="299"/>
      <c r="E20" s="642">
        <f>7.103+0.051+1.057</f>
        <v>8.211</v>
      </c>
      <c r="F20" s="642">
        <f>7.562+0.117+2.323</f>
        <v>10.002</v>
      </c>
      <c r="G20" s="642">
        <f>7.942+0.065+1.115</f>
        <v>9.122</v>
      </c>
      <c r="H20" s="642">
        <f>7.797+0.12+1.228</f>
        <v>9.145</v>
      </c>
      <c r="I20" s="642">
        <f>18.22+0.055+1.375</f>
        <v>19.65</v>
      </c>
      <c r="J20" s="642">
        <f>17.687+0.09+1.433</f>
        <v>19.21</v>
      </c>
      <c r="K20" s="642">
        <f>18.639+0.076+1.629</f>
        <v>20.344</v>
      </c>
      <c r="L20" s="642">
        <f>22.878+0.087+2.142</f>
        <v>25.107</v>
      </c>
      <c r="M20" s="649">
        <f>22.241+0.212+2.216</f>
        <v>24.669</v>
      </c>
      <c r="N20" s="284" t="s">
        <v>66</v>
      </c>
      <c r="P20" s="95">
        <f t="shared" si="2"/>
        <v>-1.744533397060577</v>
      </c>
    </row>
    <row r="21" spans="1:16" ht="12.75" customHeight="1">
      <c r="A21" s="12"/>
      <c r="B21" s="14" t="s">
        <v>70</v>
      </c>
      <c r="C21" s="300"/>
      <c r="D21" s="301"/>
      <c r="E21" s="648"/>
      <c r="F21" s="648"/>
      <c r="G21" s="648"/>
      <c r="H21" s="648">
        <v>8.713</v>
      </c>
      <c r="I21" s="648">
        <v>11.217</v>
      </c>
      <c r="J21" s="648">
        <v>16.602</v>
      </c>
      <c r="K21" s="648">
        <v>25.582</v>
      </c>
      <c r="L21" s="648">
        <v>32.771</v>
      </c>
      <c r="M21" s="492">
        <v>19.192</v>
      </c>
      <c r="N21" s="287" t="s">
        <v>70</v>
      </c>
      <c r="P21" s="95">
        <f t="shared" si="2"/>
        <v>-41.436025754478045</v>
      </c>
    </row>
    <row r="22" spans="1:16" ht="12.75" customHeight="1">
      <c r="A22" s="12"/>
      <c r="B22" s="174" t="s">
        <v>71</v>
      </c>
      <c r="C22" s="298"/>
      <c r="D22" s="299"/>
      <c r="E22" s="642"/>
      <c r="F22" s="642"/>
      <c r="G22" s="642"/>
      <c r="H22" s="642">
        <v>7.543</v>
      </c>
      <c r="I22" s="642">
        <v>9.493</v>
      </c>
      <c r="J22" s="642">
        <v>10.467</v>
      </c>
      <c r="K22" s="642">
        <v>14.234</v>
      </c>
      <c r="L22" s="642">
        <v>21.606</v>
      </c>
      <c r="M22" s="493">
        <v>21.514</v>
      </c>
      <c r="N22" s="284" t="s">
        <v>71</v>
      </c>
      <c r="P22" s="95">
        <f t="shared" si="2"/>
        <v>-0.4258076460242677</v>
      </c>
    </row>
    <row r="23" spans="1:16" ht="12.75" customHeight="1">
      <c r="A23" s="12"/>
      <c r="B23" s="14" t="s">
        <v>89</v>
      </c>
      <c r="C23" s="300">
        <v>35.928</v>
      </c>
      <c r="D23" s="301">
        <v>40.476</v>
      </c>
      <c r="E23" s="648">
        <v>41.896</v>
      </c>
      <c r="F23" s="648">
        <v>42.833</v>
      </c>
      <c r="G23" s="648">
        <v>43.403</v>
      </c>
      <c r="H23" s="648">
        <v>43.62</v>
      </c>
      <c r="I23" s="648">
        <v>48.234</v>
      </c>
      <c r="J23" s="648">
        <v>48.517</v>
      </c>
      <c r="K23" s="648">
        <v>50.837</v>
      </c>
      <c r="L23" s="648">
        <v>51.332</v>
      </c>
      <c r="M23" s="492">
        <v>52.359</v>
      </c>
      <c r="N23" s="287" t="s">
        <v>89</v>
      </c>
      <c r="P23" s="95">
        <f t="shared" si="2"/>
        <v>2.0007013169173193</v>
      </c>
    </row>
    <row r="24" spans="1:16" ht="12.75" customHeight="1">
      <c r="A24" s="12"/>
      <c r="B24" s="174" t="s">
        <v>69</v>
      </c>
      <c r="C24" s="298"/>
      <c r="D24" s="299"/>
      <c r="E24" s="642"/>
      <c r="F24" s="642"/>
      <c r="G24" s="642"/>
      <c r="H24" s="642">
        <v>208.426</v>
      </c>
      <c r="I24" s="642">
        <v>207.055</v>
      </c>
      <c r="J24" s="642">
        <v>198.982</v>
      </c>
      <c r="K24" s="642">
        <v>187.676</v>
      </c>
      <c r="L24" s="642">
        <v>171.661</v>
      </c>
      <c r="M24" s="493">
        <v>155.909</v>
      </c>
      <c r="N24" s="284" t="s">
        <v>69</v>
      </c>
      <c r="P24" s="95">
        <f t="shared" si="2"/>
        <v>-9.176225234619405</v>
      </c>
    </row>
    <row r="25" spans="1:16" ht="12.75" customHeight="1">
      <c r="A25" s="12"/>
      <c r="B25" s="14" t="s">
        <v>72</v>
      </c>
      <c r="C25" s="300"/>
      <c r="D25" s="301"/>
      <c r="E25" s="648"/>
      <c r="F25" s="648"/>
      <c r="G25" s="648"/>
      <c r="H25" s="648">
        <f>0.069+6.519+0.634+0.008</f>
        <v>7.23</v>
      </c>
      <c r="I25" s="648">
        <f>0.084+5.398+0.721+0.015</f>
        <v>6.217999999999999</v>
      </c>
      <c r="J25" s="648">
        <f>0.083+5.675+0.778+0.016</f>
        <v>6.552</v>
      </c>
      <c r="K25" s="648">
        <f>5.862+0.803+0.019</f>
        <v>6.684</v>
      </c>
      <c r="L25" s="648">
        <f>5.334+0.808+0.023</f>
        <v>6.164999999999999</v>
      </c>
      <c r="M25" s="492">
        <f>4.548+0.844+0.015</f>
        <v>5.407</v>
      </c>
      <c r="N25" s="287" t="s">
        <v>72</v>
      </c>
      <c r="P25" s="95">
        <f t="shared" si="2"/>
        <v>-12.295214922952136</v>
      </c>
    </row>
    <row r="26" spans="1:16" ht="12.75" customHeight="1">
      <c r="A26" s="12"/>
      <c r="B26" s="175" t="s">
        <v>80</v>
      </c>
      <c r="C26" s="298">
        <v>542.978</v>
      </c>
      <c r="D26" s="299">
        <v>611.487</v>
      </c>
      <c r="E26" s="642">
        <v>597.625</v>
      </c>
      <c r="F26" s="642">
        <v>530.231</v>
      </c>
      <c r="G26" s="642">
        <v>510.702</v>
      </c>
      <c r="H26" s="642">
        <v>488.841</v>
      </c>
      <c r="I26" s="642">
        <v>483.745</v>
      </c>
      <c r="J26" s="642">
        <v>465.152</v>
      </c>
      <c r="K26" s="642">
        <v>483.97</v>
      </c>
      <c r="L26" s="642">
        <v>505.539</v>
      </c>
      <c r="M26" s="493">
        <v>499.98</v>
      </c>
      <c r="N26" s="288" t="s">
        <v>80</v>
      </c>
      <c r="P26" s="95">
        <f t="shared" si="2"/>
        <v>-1.0996184270649634</v>
      </c>
    </row>
    <row r="27" spans="1:16" ht="12.75" customHeight="1">
      <c r="A27" s="12"/>
      <c r="B27" s="14" t="s">
        <v>90</v>
      </c>
      <c r="C27" s="300">
        <v>295.865</v>
      </c>
      <c r="D27" s="301">
        <v>314.182</v>
      </c>
      <c r="E27" s="648">
        <v>309.427</v>
      </c>
      <c r="F27" s="648">
        <v>293.528</v>
      </c>
      <c r="G27" s="648">
        <v>279.493</v>
      </c>
      <c r="H27" s="648">
        <v>300.121</v>
      </c>
      <c r="I27" s="648">
        <v>311.292</v>
      </c>
      <c r="J27" s="648">
        <v>307.915</v>
      </c>
      <c r="K27" s="648">
        <v>308.594</v>
      </c>
      <c r="L27" s="648">
        <v>298.182</v>
      </c>
      <c r="M27" s="492">
        <v>293.697</v>
      </c>
      <c r="N27" s="287" t="s">
        <v>90</v>
      </c>
      <c r="P27" s="95">
        <f t="shared" si="2"/>
        <v>-1.5041149365152884</v>
      </c>
    </row>
    <row r="28" spans="1:16" ht="12.75" customHeight="1">
      <c r="A28" s="12"/>
      <c r="B28" s="174" t="s">
        <v>73</v>
      </c>
      <c r="C28" s="298"/>
      <c r="D28" s="299"/>
      <c r="E28" s="650"/>
      <c r="F28" s="642"/>
      <c r="G28" s="642"/>
      <c r="H28" s="642">
        <v>358.432</v>
      </c>
      <c r="I28" s="642">
        <v>318.111</v>
      </c>
      <c r="J28" s="642">
        <v>235.522</v>
      </c>
      <c r="K28" s="642">
        <v>238.993</v>
      </c>
      <c r="L28" s="642">
        <v>293.305</v>
      </c>
      <c r="M28" s="493">
        <v>319.965</v>
      </c>
      <c r="N28" s="284" t="s">
        <v>73</v>
      </c>
      <c r="P28" s="95">
        <f t="shared" si="2"/>
        <v>9.089514328088487</v>
      </c>
    </row>
    <row r="29" spans="1:16" ht="12.75" customHeight="1">
      <c r="A29" s="12"/>
      <c r="B29" s="14" t="s">
        <v>91</v>
      </c>
      <c r="C29" s="300">
        <v>248.398</v>
      </c>
      <c r="D29" s="301">
        <v>272.883</v>
      </c>
      <c r="E29" s="648">
        <v>257.836</v>
      </c>
      <c r="F29" s="648">
        <v>255.21</v>
      </c>
      <c r="G29" s="648">
        <v>226.092</v>
      </c>
      <c r="H29" s="648">
        <v>189.792</v>
      </c>
      <c r="I29" s="648">
        <v>197.645</v>
      </c>
      <c r="J29" s="648">
        <v>206.488</v>
      </c>
      <c r="K29" s="648">
        <v>194.702</v>
      </c>
      <c r="L29" s="648">
        <v>201.816</v>
      </c>
      <c r="M29" s="492">
        <v>213.386</v>
      </c>
      <c r="N29" s="287" t="s">
        <v>91</v>
      </c>
      <c r="P29" s="95">
        <f t="shared" si="2"/>
        <v>5.732944860665157</v>
      </c>
    </row>
    <row r="30" spans="1:16" ht="12.75" customHeight="1">
      <c r="A30" s="12"/>
      <c r="B30" s="174" t="s">
        <v>74</v>
      </c>
      <c r="C30" s="298"/>
      <c r="D30" s="299"/>
      <c r="E30" s="642"/>
      <c r="F30" s="642"/>
      <c r="G30" s="642">
        <v>88.8</v>
      </c>
      <c r="H30" s="642">
        <v>106.76</v>
      </c>
      <c r="I30" s="642">
        <v>145.12</v>
      </c>
      <c r="J30" s="642">
        <v>172.5</v>
      </c>
      <c r="K30" s="642">
        <v>256.364</v>
      </c>
      <c r="L30" s="642">
        <v>315.621</v>
      </c>
      <c r="M30" s="493">
        <v>285.489</v>
      </c>
      <c r="N30" s="284" t="s">
        <v>74</v>
      </c>
      <c r="P30" s="95">
        <f t="shared" si="2"/>
        <v>-9.546893267558243</v>
      </c>
    </row>
    <row r="31" spans="1:16" ht="12.75" customHeight="1">
      <c r="A31" s="12"/>
      <c r="B31" s="14" t="s">
        <v>76</v>
      </c>
      <c r="C31" s="300"/>
      <c r="D31" s="301"/>
      <c r="E31" s="648"/>
      <c r="F31" s="648"/>
      <c r="G31" s="648"/>
      <c r="H31" s="648">
        <v>59.548</v>
      </c>
      <c r="I31" s="648">
        <v>62.002</v>
      </c>
      <c r="J31" s="648">
        <v>59.324</v>
      </c>
      <c r="K31" s="648">
        <v>59.578</v>
      </c>
      <c r="L31" s="648">
        <v>68.719</v>
      </c>
      <c r="M31" s="492">
        <v>68.533</v>
      </c>
      <c r="N31" s="287" t="s">
        <v>76</v>
      </c>
      <c r="P31" s="95">
        <f t="shared" si="2"/>
        <v>-0.2706675009822468</v>
      </c>
    </row>
    <row r="32" spans="1:16" ht="12.75" customHeight="1">
      <c r="A32" s="12"/>
      <c r="B32" s="174" t="s">
        <v>75</v>
      </c>
      <c r="C32" s="298"/>
      <c r="D32" s="299"/>
      <c r="E32" s="642"/>
      <c r="F32" s="642"/>
      <c r="G32" s="642"/>
      <c r="H32" s="642">
        <v>59.742</v>
      </c>
      <c r="I32" s="642">
        <v>57.43</v>
      </c>
      <c r="J32" s="642">
        <v>57.125</v>
      </c>
      <c r="K32" s="642">
        <v>59.084</v>
      </c>
      <c r="L32" s="642">
        <v>59.7</v>
      </c>
      <c r="M32" s="493">
        <v>70.04</v>
      </c>
      <c r="N32" s="284" t="s">
        <v>75</v>
      </c>
      <c r="P32" s="95">
        <f t="shared" si="2"/>
        <v>17.319932998324973</v>
      </c>
    </row>
    <row r="33" spans="1:16" ht="12.75" customHeight="1">
      <c r="A33" s="12"/>
      <c r="B33" s="14" t="s">
        <v>92</v>
      </c>
      <c r="C33" s="300">
        <v>125.751</v>
      </c>
      <c r="D33" s="301">
        <v>136.324</v>
      </c>
      <c r="E33" s="648">
        <v>134.646</v>
      </c>
      <c r="F33" s="648">
        <v>109.487</v>
      </c>
      <c r="G33" s="648">
        <v>116.877</v>
      </c>
      <c r="H33" s="648">
        <v>147.222</v>
      </c>
      <c r="I33" s="648">
        <v>142.439</v>
      </c>
      <c r="J33" s="648">
        <v>147.949</v>
      </c>
      <c r="K33" s="648">
        <v>145.689</v>
      </c>
      <c r="L33" s="648">
        <v>125.285</v>
      </c>
      <c r="M33" s="492">
        <v>139.647</v>
      </c>
      <c r="N33" s="287" t="s">
        <v>92</v>
      </c>
      <c r="P33" s="95">
        <f t="shared" si="2"/>
        <v>11.46346330366763</v>
      </c>
    </row>
    <row r="34" spans="1:16" ht="12.75" customHeight="1">
      <c r="A34" s="12"/>
      <c r="B34" s="174" t="s">
        <v>93</v>
      </c>
      <c r="C34" s="298">
        <v>253.43</v>
      </c>
      <c r="D34" s="299">
        <v>295.249</v>
      </c>
      <c r="E34" s="642">
        <v>290.529</v>
      </c>
      <c r="F34" s="642">
        <v>246.581</v>
      </c>
      <c r="G34" s="642">
        <v>254.589</v>
      </c>
      <c r="H34" s="642">
        <v>261.206</v>
      </c>
      <c r="I34" s="642">
        <v>264.246</v>
      </c>
      <c r="J34" s="642">
        <v>274.301</v>
      </c>
      <c r="K34" s="642">
        <v>282.766</v>
      </c>
      <c r="L34" s="642">
        <v>306.799</v>
      </c>
      <c r="M34" s="493">
        <v>253.982</v>
      </c>
      <c r="N34" s="284" t="s">
        <v>93</v>
      </c>
      <c r="P34" s="95">
        <f t="shared" si="2"/>
        <v>-17.21550591755514</v>
      </c>
    </row>
    <row r="35" spans="1:16" ht="12.75" customHeight="1">
      <c r="A35" s="12"/>
      <c r="B35" s="15" t="s">
        <v>81</v>
      </c>
      <c r="C35" s="302">
        <v>2247.403</v>
      </c>
      <c r="D35" s="303">
        <v>2197.615</v>
      </c>
      <c r="E35" s="651">
        <v>2221.67</v>
      </c>
      <c r="F35" s="651">
        <v>2458.769</v>
      </c>
      <c r="G35" s="651">
        <v>2563.631</v>
      </c>
      <c r="H35" s="651">
        <v>2579.05</v>
      </c>
      <c r="I35" s="651">
        <v>2567.269</v>
      </c>
      <c r="J35" s="651">
        <v>2439.717</v>
      </c>
      <c r="K35" s="651">
        <v>2344.864</v>
      </c>
      <c r="L35" s="651">
        <v>2404.007</v>
      </c>
      <c r="M35" s="494">
        <v>2131.795</v>
      </c>
      <c r="N35" s="289" t="s">
        <v>81</v>
      </c>
      <c r="P35" s="95">
        <f t="shared" si="2"/>
        <v>-11.32326153792398</v>
      </c>
    </row>
    <row r="36" spans="1:14" ht="12.75" customHeight="1">
      <c r="A36" s="12"/>
      <c r="B36" s="174" t="s">
        <v>97</v>
      </c>
      <c r="C36" s="298">
        <v>85.893</v>
      </c>
      <c r="D36" s="299">
        <v>89.665</v>
      </c>
      <c r="E36" s="642">
        <v>92.36</v>
      </c>
      <c r="F36" s="642">
        <v>108.633</v>
      </c>
      <c r="G36" s="642">
        <v>95.21</v>
      </c>
      <c r="H36" s="642">
        <v>104.52</v>
      </c>
      <c r="I36" s="642">
        <v>99.84</v>
      </c>
      <c r="J36" s="642">
        <v>102.123</v>
      </c>
      <c r="K36" s="642">
        <v>114.447</v>
      </c>
      <c r="L36" s="642">
        <v>105.763</v>
      </c>
      <c r="M36" s="493"/>
      <c r="N36" s="284" t="s">
        <v>97</v>
      </c>
    </row>
    <row r="37" spans="1:14" ht="12.75" customHeight="1">
      <c r="A37" s="12"/>
      <c r="B37" s="14" t="s">
        <v>1</v>
      </c>
      <c r="C37" s="300"/>
      <c r="D37" s="301"/>
      <c r="E37" s="648"/>
      <c r="F37" s="648"/>
      <c r="G37" s="648"/>
      <c r="H37" s="648"/>
      <c r="I37" s="648"/>
      <c r="J37" s="648"/>
      <c r="K37" s="648"/>
      <c r="L37" s="648"/>
      <c r="M37" s="492"/>
      <c r="N37" s="287" t="s">
        <v>1</v>
      </c>
    </row>
    <row r="38" spans="1:14" ht="12.75" customHeight="1">
      <c r="A38" s="12"/>
      <c r="B38" s="176" t="s">
        <v>77</v>
      </c>
      <c r="C38" s="304"/>
      <c r="D38" s="305"/>
      <c r="E38" s="652"/>
      <c r="F38" s="652"/>
      <c r="G38" s="652">
        <v>70.191</v>
      </c>
      <c r="H38" s="652">
        <v>176.217</v>
      </c>
      <c r="I38" s="652">
        <v>432.728</v>
      </c>
      <c r="J38" s="652">
        <v>406.807</v>
      </c>
      <c r="K38" s="652">
        <v>396.542</v>
      </c>
      <c r="L38" s="652">
        <v>353.495</v>
      </c>
      <c r="M38" s="653"/>
      <c r="N38" s="285" t="s">
        <v>77</v>
      </c>
    </row>
    <row r="39" spans="1:16" ht="12.75" customHeight="1">
      <c r="A39" s="12"/>
      <c r="B39" s="14" t="s">
        <v>63</v>
      </c>
      <c r="C39" s="300">
        <v>13.569</v>
      </c>
      <c r="D39" s="301">
        <v>15.377</v>
      </c>
      <c r="E39" s="648">
        <v>13.569</v>
      </c>
      <c r="F39" s="648">
        <v>7.245</v>
      </c>
      <c r="G39" s="648">
        <v>6.943</v>
      </c>
      <c r="H39" s="648">
        <v>9.885</v>
      </c>
      <c r="I39" s="648">
        <v>11.968</v>
      </c>
      <c r="J39" s="648">
        <v>18.06</v>
      </c>
      <c r="K39" s="648">
        <v>17.129</v>
      </c>
      <c r="L39" s="648">
        <v>15.942</v>
      </c>
      <c r="M39" s="492">
        <v>9.033</v>
      </c>
      <c r="N39" s="287" t="s">
        <v>63</v>
      </c>
      <c r="P39" s="95">
        <f>100*(M39/L39-1)</f>
        <v>-43.338351524275495</v>
      </c>
    </row>
    <row r="40" spans="1:16" ht="12.75" customHeight="1">
      <c r="A40" s="12"/>
      <c r="B40" s="174" t="s">
        <v>94</v>
      </c>
      <c r="C40" s="298">
        <v>117.977</v>
      </c>
      <c r="D40" s="299">
        <v>101.278</v>
      </c>
      <c r="E40" s="642">
        <v>97.376</v>
      </c>
      <c r="F40" s="642">
        <v>91.916</v>
      </c>
      <c r="G40" s="642">
        <v>88.721</v>
      </c>
      <c r="H40" s="642">
        <v>89.921</v>
      </c>
      <c r="I40" s="642">
        <v>115.645</v>
      </c>
      <c r="J40" s="642">
        <v>109.907</v>
      </c>
      <c r="K40" s="642">
        <v>109.164</v>
      </c>
      <c r="L40" s="642">
        <v>129.195</v>
      </c>
      <c r="M40" s="493">
        <v>110.617</v>
      </c>
      <c r="N40" s="284" t="s">
        <v>94</v>
      </c>
      <c r="P40" s="95">
        <f>100*(M40/L40-1)</f>
        <v>-14.379813460273228</v>
      </c>
    </row>
    <row r="41" spans="1:16" ht="12.75" customHeight="1">
      <c r="A41" s="12"/>
      <c r="B41" s="15" t="s">
        <v>64</v>
      </c>
      <c r="C41" s="302">
        <v>296.945</v>
      </c>
      <c r="D41" s="303">
        <v>316.876</v>
      </c>
      <c r="E41" s="651">
        <v>316.519</v>
      </c>
      <c r="F41" s="651">
        <v>316.641</v>
      </c>
      <c r="G41" s="651">
        <v>295.065</v>
      </c>
      <c r="H41" s="651">
        <v>270.309</v>
      </c>
      <c r="I41" s="651">
        <v>269.385</v>
      </c>
      <c r="J41" s="651">
        <v>264.941</v>
      </c>
      <c r="K41" s="651">
        <v>269.452</v>
      </c>
      <c r="L41" s="651">
        <v>284.688</v>
      </c>
      <c r="M41" s="494">
        <v>287.48920000000004</v>
      </c>
      <c r="N41" s="289" t="s">
        <v>64</v>
      </c>
      <c r="P41" s="95">
        <f>100*(M41/L41-1)</f>
        <v>0.9839543640757675</v>
      </c>
    </row>
    <row r="42" spans="2:14" ht="15" customHeight="1">
      <c r="B42" s="893" t="s">
        <v>194</v>
      </c>
      <c r="C42" s="893"/>
      <c r="D42" s="893"/>
      <c r="E42" s="893"/>
      <c r="F42" s="893"/>
      <c r="G42" s="893"/>
      <c r="H42" s="893"/>
      <c r="I42" s="893"/>
      <c r="J42" s="893"/>
      <c r="K42" s="893"/>
      <c r="L42" s="893"/>
      <c r="M42" s="893"/>
      <c r="N42" s="893"/>
    </row>
  </sheetData>
  <mergeCells count="3">
    <mergeCell ref="B2:N2"/>
    <mergeCell ref="B3:N3"/>
    <mergeCell ref="B42:N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0"/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8.7109375" style="0" hidden="1" customWidth="1"/>
    <col min="4" max="6" width="8.7109375" style="0" customWidth="1"/>
    <col min="7" max="7" width="8.7109375" style="0" hidden="1" customWidth="1"/>
    <col min="8" max="10" width="8.7109375" style="0" customWidth="1"/>
    <col min="11" max="11" width="8.7109375" style="0" hidden="1" customWidth="1"/>
    <col min="12" max="14" width="8.7109375" style="0" customWidth="1"/>
    <col min="15" max="15" width="4.00390625" style="0" customWidth="1"/>
  </cols>
  <sheetData>
    <row r="1" spans="2:15" ht="14.25" customHeight="1">
      <c r="B1" s="56"/>
      <c r="C1" s="42"/>
      <c r="D1" s="42"/>
      <c r="E1" s="42"/>
      <c r="F1" s="42"/>
      <c r="G1" s="42"/>
      <c r="O1" s="57" t="s">
        <v>105</v>
      </c>
    </row>
    <row r="2" spans="2:15" s="121" customFormat="1" ht="30" customHeight="1">
      <c r="B2" s="898" t="s">
        <v>158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</row>
    <row r="3" spans="2:16" ht="18" customHeight="1">
      <c r="B3" s="863" t="s">
        <v>157</v>
      </c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17"/>
    </row>
    <row r="4" spans="2:16" ht="18" customHeight="1">
      <c r="B4" s="617"/>
      <c r="C4" s="864" t="s">
        <v>7</v>
      </c>
      <c r="D4" s="865"/>
      <c r="E4" s="865"/>
      <c r="F4" s="866"/>
      <c r="G4" s="864" t="s">
        <v>8</v>
      </c>
      <c r="H4" s="865"/>
      <c r="I4" s="865"/>
      <c r="J4" s="866"/>
      <c r="K4" s="864" t="s">
        <v>9</v>
      </c>
      <c r="L4" s="865"/>
      <c r="M4" s="865"/>
      <c r="N4" s="866"/>
      <c r="O4" s="48"/>
      <c r="P4" s="48"/>
    </row>
    <row r="5" spans="2:16" ht="12" customHeight="1">
      <c r="B5" s="617"/>
      <c r="C5" s="867" t="s">
        <v>10</v>
      </c>
      <c r="D5" s="868"/>
      <c r="E5" s="868"/>
      <c r="F5" s="869"/>
      <c r="G5" s="867" t="s">
        <v>11</v>
      </c>
      <c r="H5" s="868"/>
      <c r="I5" s="868"/>
      <c r="J5" s="869"/>
      <c r="K5" s="867" t="s">
        <v>12</v>
      </c>
      <c r="L5" s="868"/>
      <c r="M5" s="868"/>
      <c r="N5" s="869"/>
      <c r="O5" s="48"/>
      <c r="P5" s="48"/>
    </row>
    <row r="6" spans="2:16" ht="15" customHeight="1">
      <c r="B6" s="618"/>
      <c r="C6" s="135">
        <v>2004</v>
      </c>
      <c r="D6" s="136">
        <v>2005</v>
      </c>
      <c r="E6" s="136">
        <v>2006</v>
      </c>
      <c r="F6" s="137">
        <v>2007</v>
      </c>
      <c r="G6" s="135">
        <v>2004</v>
      </c>
      <c r="H6" s="136">
        <v>2005</v>
      </c>
      <c r="I6" s="136">
        <v>2006</v>
      </c>
      <c r="J6" s="137">
        <v>2007</v>
      </c>
      <c r="K6" s="135">
        <v>2004</v>
      </c>
      <c r="L6" s="136">
        <v>2005</v>
      </c>
      <c r="M6" s="136">
        <v>2006</v>
      </c>
      <c r="N6" s="456">
        <v>2007</v>
      </c>
      <c r="O6" s="10"/>
      <c r="P6" s="10"/>
    </row>
    <row r="7" spans="2:16" ht="12.75" customHeight="1">
      <c r="B7" s="177" t="s">
        <v>47</v>
      </c>
      <c r="C7" s="449"/>
      <c r="D7" s="199"/>
      <c r="E7" s="199">
        <f>SUM(E10:E36)</f>
        <v>2025425</v>
      </c>
      <c r="F7" s="200"/>
      <c r="G7" s="449"/>
      <c r="H7" s="199"/>
      <c r="I7" s="199"/>
      <c r="J7" s="200"/>
      <c r="K7" s="449"/>
      <c r="L7" s="199"/>
      <c r="M7" s="199"/>
      <c r="N7" s="200"/>
      <c r="O7" s="283" t="s">
        <v>47</v>
      </c>
      <c r="P7" s="10"/>
    </row>
    <row r="8" spans="1:16" ht="12.75" customHeight="1">
      <c r="A8" s="12"/>
      <c r="B8" s="174" t="s">
        <v>82</v>
      </c>
      <c r="C8" s="203">
        <f>SUM(C10,C13,C14,C16:C20,C24,C27:C28,C30,C34:C36)</f>
        <v>1855210</v>
      </c>
      <c r="D8" s="183">
        <f aca="true" t="shared" si="0" ref="D8:N8">SUM(D10,D13,D14,D16:D20,D24,D27:D28,D30,D34:D36)</f>
        <v>1925026</v>
      </c>
      <c r="E8" s="183">
        <f t="shared" si="0"/>
        <v>1868368</v>
      </c>
      <c r="F8" s="184">
        <f t="shared" si="0"/>
        <v>1971409</v>
      </c>
      <c r="G8" s="203">
        <f t="shared" si="0"/>
        <v>101198</v>
      </c>
      <c r="H8" s="183">
        <f t="shared" si="0"/>
        <v>116221</v>
      </c>
      <c r="I8" s="183">
        <f t="shared" si="0"/>
        <v>101209</v>
      </c>
      <c r="J8" s="184">
        <f t="shared" si="0"/>
        <v>99035</v>
      </c>
      <c r="K8" s="203">
        <f t="shared" si="0"/>
        <v>227873</v>
      </c>
      <c r="L8" s="183">
        <f t="shared" si="0"/>
        <v>265364</v>
      </c>
      <c r="M8" s="183">
        <f t="shared" si="0"/>
        <v>253387</v>
      </c>
      <c r="N8" s="184">
        <f t="shared" si="0"/>
        <v>258378</v>
      </c>
      <c r="O8" s="284" t="s">
        <v>82</v>
      </c>
      <c r="P8" s="36"/>
    </row>
    <row r="9" spans="1:16" ht="12.75" customHeight="1">
      <c r="A9" s="12"/>
      <c r="B9" s="176" t="s">
        <v>175</v>
      </c>
      <c r="C9" s="185"/>
      <c r="D9" s="186"/>
      <c r="E9" s="186">
        <f>SUM(E11,E12,E15,E21,E22,E23,E25,E26,E29,E31,E32,E33)</f>
        <v>157057</v>
      </c>
      <c r="F9" s="187"/>
      <c r="G9" s="185"/>
      <c r="H9" s="186"/>
      <c r="I9" s="186"/>
      <c r="J9" s="187"/>
      <c r="K9" s="185"/>
      <c r="L9" s="186"/>
      <c r="M9" s="186"/>
      <c r="N9" s="187"/>
      <c r="O9" s="285" t="s">
        <v>175</v>
      </c>
      <c r="P9" s="36"/>
    </row>
    <row r="10" spans="1:16" ht="12.75" customHeight="1">
      <c r="A10" s="12"/>
      <c r="B10" s="14" t="s">
        <v>83</v>
      </c>
      <c r="C10" s="227">
        <v>58539</v>
      </c>
      <c r="D10" s="82">
        <v>62068</v>
      </c>
      <c r="E10" s="512">
        <v>60156</v>
      </c>
      <c r="F10" s="101">
        <v>68007</v>
      </c>
      <c r="G10" s="227">
        <v>2584</v>
      </c>
      <c r="H10" s="82">
        <v>3344</v>
      </c>
      <c r="I10" s="93">
        <v>3007</v>
      </c>
      <c r="J10" s="94">
        <v>3206</v>
      </c>
      <c r="K10" s="227">
        <v>7794</v>
      </c>
      <c r="L10" s="82">
        <v>9671</v>
      </c>
      <c r="M10" s="512">
        <v>7772</v>
      </c>
      <c r="N10" s="101">
        <v>9356</v>
      </c>
      <c r="O10" s="287" t="s">
        <v>83</v>
      </c>
      <c r="P10" s="77"/>
    </row>
    <row r="11" spans="1:16" ht="12.75" customHeight="1">
      <c r="A11" s="12"/>
      <c r="B11" s="174" t="s">
        <v>65</v>
      </c>
      <c r="C11" s="236"/>
      <c r="D11" s="214"/>
      <c r="E11" s="513">
        <v>9959</v>
      </c>
      <c r="F11" s="215">
        <v>10697</v>
      </c>
      <c r="G11" s="236"/>
      <c r="H11" s="214"/>
      <c r="I11" s="222"/>
      <c r="J11" s="216"/>
      <c r="K11" s="236"/>
      <c r="L11" s="214"/>
      <c r="M11" s="513"/>
      <c r="N11" s="215"/>
      <c r="O11" s="284" t="s">
        <v>65</v>
      </c>
      <c r="P11" s="77"/>
    </row>
    <row r="12" spans="1:16" ht="12.75" customHeight="1">
      <c r="A12" s="12"/>
      <c r="B12" s="14" t="s">
        <v>67</v>
      </c>
      <c r="C12" s="227">
        <v>17186</v>
      </c>
      <c r="D12" s="82">
        <v>15965</v>
      </c>
      <c r="E12" s="512">
        <v>16185</v>
      </c>
      <c r="F12" s="101">
        <v>19534</v>
      </c>
      <c r="G12" s="227">
        <v>2273</v>
      </c>
      <c r="H12" s="82">
        <v>2713</v>
      </c>
      <c r="I12" s="93">
        <v>3264</v>
      </c>
      <c r="J12" s="94">
        <v>4007</v>
      </c>
      <c r="K12" s="227">
        <v>4229</v>
      </c>
      <c r="L12" s="82">
        <v>5546</v>
      </c>
      <c r="M12" s="512">
        <v>6530</v>
      </c>
      <c r="N12" s="101">
        <v>8072</v>
      </c>
      <c r="O12" s="287" t="s">
        <v>67</v>
      </c>
      <c r="P12" s="77"/>
    </row>
    <row r="13" spans="1:16" ht="12.75" customHeight="1">
      <c r="A13" s="12"/>
      <c r="B13" s="174" t="s">
        <v>78</v>
      </c>
      <c r="C13" s="236">
        <v>44791</v>
      </c>
      <c r="D13" s="214">
        <v>57880</v>
      </c>
      <c r="E13" s="513">
        <v>62792</v>
      </c>
      <c r="F13" s="215">
        <v>56067</v>
      </c>
      <c r="G13" s="236">
        <v>661</v>
      </c>
      <c r="H13" s="214">
        <v>982</v>
      </c>
      <c r="I13" s="222">
        <v>785</v>
      </c>
      <c r="J13" s="216">
        <v>855</v>
      </c>
      <c r="K13" s="236">
        <v>4000</v>
      </c>
      <c r="L13" s="214">
        <v>5430</v>
      </c>
      <c r="M13" s="513">
        <v>5205</v>
      </c>
      <c r="N13" s="215">
        <v>6036</v>
      </c>
      <c r="O13" s="284" t="s">
        <v>78</v>
      </c>
      <c r="P13" s="77"/>
    </row>
    <row r="14" spans="1:16" ht="12.75" customHeight="1">
      <c r="A14" s="12"/>
      <c r="B14" s="14" t="s">
        <v>84</v>
      </c>
      <c r="C14" s="227">
        <v>185541</v>
      </c>
      <c r="D14" s="82">
        <v>193736</v>
      </c>
      <c r="E14" s="512">
        <v>197513</v>
      </c>
      <c r="F14" s="101">
        <v>221769</v>
      </c>
      <c r="G14" s="227">
        <v>38735</v>
      </c>
      <c r="H14" s="82">
        <v>42018</v>
      </c>
      <c r="I14" s="93">
        <v>38373</v>
      </c>
      <c r="J14" s="94">
        <v>38452</v>
      </c>
      <c r="K14" s="227">
        <v>53728</v>
      </c>
      <c r="L14" s="82">
        <v>59873</v>
      </c>
      <c r="M14" s="512">
        <v>62837</v>
      </c>
      <c r="N14" s="101">
        <v>68424</v>
      </c>
      <c r="O14" s="287" t="s">
        <v>84</v>
      </c>
      <c r="P14" s="77"/>
    </row>
    <row r="15" spans="1:16" ht="12.75" customHeight="1">
      <c r="A15" s="12"/>
      <c r="B15" s="174" t="s">
        <v>68</v>
      </c>
      <c r="C15" s="236">
        <v>2365</v>
      </c>
      <c r="D15" s="214">
        <v>2896</v>
      </c>
      <c r="E15" s="513">
        <v>3696</v>
      </c>
      <c r="F15" s="215">
        <v>4610</v>
      </c>
      <c r="G15" s="236">
        <v>89</v>
      </c>
      <c r="H15" s="214">
        <v>163</v>
      </c>
      <c r="I15" s="222">
        <v>147</v>
      </c>
      <c r="J15" s="216">
        <v>121</v>
      </c>
      <c r="K15" s="236">
        <v>549</v>
      </c>
      <c r="L15" s="214">
        <v>812</v>
      </c>
      <c r="M15" s="513">
        <v>1387</v>
      </c>
      <c r="N15" s="215">
        <v>1597</v>
      </c>
      <c r="O15" s="284" t="s">
        <v>68</v>
      </c>
      <c r="P15" s="77"/>
    </row>
    <row r="16" spans="1:16" ht="12.75" customHeight="1">
      <c r="A16" s="12"/>
      <c r="B16" s="14" t="s">
        <v>87</v>
      </c>
      <c r="C16" s="227">
        <v>29313</v>
      </c>
      <c r="D16" s="82">
        <v>36431</v>
      </c>
      <c r="E16" s="512">
        <v>39502</v>
      </c>
      <c r="F16" s="101">
        <v>42727</v>
      </c>
      <c r="G16" s="227">
        <v>1588</v>
      </c>
      <c r="H16" s="82">
        <v>1838</v>
      </c>
      <c r="I16" s="93">
        <v>3077</v>
      </c>
      <c r="J16" s="94">
        <v>2634</v>
      </c>
      <c r="K16" s="227">
        <v>2686</v>
      </c>
      <c r="L16" s="82">
        <v>3696</v>
      </c>
      <c r="M16" s="512">
        <v>3712</v>
      </c>
      <c r="N16" s="101">
        <v>3504</v>
      </c>
      <c r="O16" s="287" t="s">
        <v>87</v>
      </c>
      <c r="P16" s="77"/>
    </row>
    <row r="17" spans="1:16" ht="12.75" customHeight="1">
      <c r="A17" s="12"/>
      <c r="B17" s="174" t="s">
        <v>79</v>
      </c>
      <c r="C17" s="236">
        <v>22543</v>
      </c>
      <c r="D17" s="214">
        <v>23071</v>
      </c>
      <c r="E17" s="513">
        <v>23730</v>
      </c>
      <c r="F17" s="215">
        <v>24007</v>
      </c>
      <c r="G17" s="236">
        <v>1288</v>
      </c>
      <c r="H17" s="214">
        <v>1114</v>
      </c>
      <c r="I17" s="222">
        <v>1173</v>
      </c>
      <c r="J17" s="216">
        <v>1298</v>
      </c>
      <c r="K17" s="236">
        <v>944</v>
      </c>
      <c r="L17" s="214">
        <v>1353</v>
      </c>
      <c r="M17" s="513">
        <v>1014</v>
      </c>
      <c r="N17" s="215">
        <v>1199</v>
      </c>
      <c r="O17" s="284" t="s">
        <v>79</v>
      </c>
      <c r="P17" s="77"/>
    </row>
    <row r="18" spans="1:16" ht="12.75" customHeight="1">
      <c r="A18" s="12"/>
      <c r="B18" s="14" t="s">
        <v>85</v>
      </c>
      <c r="C18" s="227">
        <v>333414</v>
      </c>
      <c r="D18" s="82">
        <v>386250</v>
      </c>
      <c r="E18" s="512">
        <v>273922</v>
      </c>
      <c r="F18" s="101">
        <v>275563</v>
      </c>
      <c r="G18" s="227">
        <v>8152</v>
      </c>
      <c r="H18" s="82">
        <v>9847</v>
      </c>
      <c r="I18" s="93">
        <v>8577</v>
      </c>
      <c r="J18" s="94">
        <v>9318</v>
      </c>
      <c r="K18" s="227">
        <v>29131</v>
      </c>
      <c r="L18" s="82">
        <v>34514</v>
      </c>
      <c r="M18" s="512">
        <v>32395</v>
      </c>
      <c r="N18" s="101">
        <v>35779</v>
      </c>
      <c r="O18" s="287" t="s">
        <v>85</v>
      </c>
      <c r="P18" s="77"/>
    </row>
    <row r="19" spans="1:16" ht="12.75" customHeight="1">
      <c r="A19" s="12"/>
      <c r="B19" s="174" t="s">
        <v>86</v>
      </c>
      <c r="C19" s="236">
        <v>407515</v>
      </c>
      <c r="D19" s="214">
        <v>419043</v>
      </c>
      <c r="E19" s="513">
        <v>439194</v>
      </c>
      <c r="F19" s="215">
        <v>460513</v>
      </c>
      <c r="G19" s="236">
        <v>9037</v>
      </c>
      <c r="H19" s="214">
        <v>11314</v>
      </c>
      <c r="I19" s="222">
        <v>9740</v>
      </c>
      <c r="J19" s="216">
        <v>8403</v>
      </c>
      <c r="K19" s="236">
        <v>38440</v>
      </c>
      <c r="L19" s="214">
        <v>49765</v>
      </c>
      <c r="M19" s="513">
        <v>43613</v>
      </c>
      <c r="N19" s="215">
        <v>44405</v>
      </c>
      <c r="O19" s="284" t="s">
        <v>86</v>
      </c>
      <c r="P19" s="77"/>
    </row>
    <row r="20" spans="1:16" ht="12.75" customHeight="1">
      <c r="A20" s="12"/>
      <c r="B20" s="14" t="s">
        <v>88</v>
      </c>
      <c r="C20" s="227">
        <v>214009</v>
      </c>
      <c r="D20" s="82">
        <v>207400</v>
      </c>
      <c r="E20" s="512">
        <v>231436</v>
      </c>
      <c r="F20" s="101">
        <v>242626</v>
      </c>
      <c r="G20" s="227">
        <v>10843</v>
      </c>
      <c r="H20" s="82">
        <v>12101</v>
      </c>
      <c r="I20" s="93">
        <v>10188</v>
      </c>
      <c r="J20" s="94">
        <v>10083</v>
      </c>
      <c r="K20" s="227">
        <v>25350</v>
      </c>
      <c r="L20" s="82">
        <v>28666</v>
      </c>
      <c r="M20" s="512">
        <v>25560</v>
      </c>
      <c r="N20" s="101">
        <v>25737</v>
      </c>
      <c r="O20" s="287" t="s">
        <v>88</v>
      </c>
      <c r="P20" s="77"/>
    </row>
    <row r="21" spans="1:16" ht="12.75" customHeight="1">
      <c r="A21" s="12"/>
      <c r="B21" s="174" t="s">
        <v>66</v>
      </c>
      <c r="C21" s="236">
        <v>3479</v>
      </c>
      <c r="D21" s="214">
        <v>3233</v>
      </c>
      <c r="E21" s="513">
        <v>3697</v>
      </c>
      <c r="F21" s="215">
        <v>4578</v>
      </c>
      <c r="G21" s="519" t="s">
        <v>119</v>
      </c>
      <c r="H21" s="239" t="s">
        <v>119</v>
      </c>
      <c r="I21" s="239" t="s">
        <v>119</v>
      </c>
      <c r="J21" s="654" t="s">
        <v>119</v>
      </c>
      <c r="K21" s="238" t="s">
        <v>119</v>
      </c>
      <c r="L21" s="239" t="s">
        <v>119</v>
      </c>
      <c r="M21" s="239" t="s">
        <v>119</v>
      </c>
      <c r="N21" s="654" t="s">
        <v>119</v>
      </c>
      <c r="O21" s="284" t="s">
        <v>66</v>
      </c>
      <c r="P21" s="77"/>
    </row>
    <row r="22" spans="1:16" ht="12.75" customHeight="1">
      <c r="A22" s="12"/>
      <c r="B22" s="14" t="s">
        <v>70</v>
      </c>
      <c r="C22" s="227">
        <v>1404</v>
      </c>
      <c r="D22" s="82">
        <v>1728</v>
      </c>
      <c r="E22" s="512">
        <v>2508</v>
      </c>
      <c r="F22" s="101">
        <v>3458</v>
      </c>
      <c r="G22" s="227">
        <v>104</v>
      </c>
      <c r="H22" s="82">
        <v>286</v>
      </c>
      <c r="I22" s="93">
        <v>221</v>
      </c>
      <c r="J22" s="94">
        <v>271</v>
      </c>
      <c r="K22" s="227">
        <v>782</v>
      </c>
      <c r="L22" s="82">
        <v>1023</v>
      </c>
      <c r="M22" s="512">
        <v>1926</v>
      </c>
      <c r="N22" s="101">
        <v>2990</v>
      </c>
      <c r="O22" s="287" t="s">
        <v>70</v>
      </c>
      <c r="P22" s="77"/>
    </row>
    <row r="23" spans="1:16" ht="12.75" customHeight="1">
      <c r="A23" s="12"/>
      <c r="B23" s="174" t="s">
        <v>71</v>
      </c>
      <c r="C23" s="236">
        <v>2064</v>
      </c>
      <c r="D23" s="214">
        <v>3303</v>
      </c>
      <c r="E23" s="513">
        <v>4107</v>
      </c>
      <c r="F23" s="215">
        <v>4251</v>
      </c>
      <c r="G23" s="236">
        <v>172</v>
      </c>
      <c r="H23" s="214">
        <v>261</v>
      </c>
      <c r="I23" s="222">
        <v>231</v>
      </c>
      <c r="J23" s="216">
        <v>327</v>
      </c>
      <c r="K23" s="236">
        <v>1486</v>
      </c>
      <c r="L23" s="214">
        <v>2104</v>
      </c>
      <c r="M23" s="513">
        <v>2893</v>
      </c>
      <c r="N23" s="215">
        <v>4679</v>
      </c>
      <c r="O23" s="284" t="s">
        <v>71</v>
      </c>
      <c r="P23" s="77"/>
    </row>
    <row r="24" spans="1:16" ht="12.75" customHeight="1">
      <c r="A24" s="12"/>
      <c r="B24" s="14" t="s">
        <v>89</v>
      </c>
      <c r="C24" s="227">
        <v>2670</v>
      </c>
      <c r="D24" s="82">
        <v>3025</v>
      </c>
      <c r="E24" s="512">
        <v>3083</v>
      </c>
      <c r="F24" s="101">
        <v>3492</v>
      </c>
      <c r="G24" s="227">
        <v>159</v>
      </c>
      <c r="H24" s="82">
        <v>219</v>
      </c>
      <c r="I24" s="93">
        <v>159</v>
      </c>
      <c r="J24" s="94">
        <v>175</v>
      </c>
      <c r="K24" s="227">
        <v>879</v>
      </c>
      <c r="L24" s="82">
        <v>1361</v>
      </c>
      <c r="M24" s="512">
        <v>1265</v>
      </c>
      <c r="N24" s="101">
        <v>1472</v>
      </c>
      <c r="O24" s="287" t="s">
        <v>89</v>
      </c>
      <c r="P24" s="77"/>
    </row>
    <row r="25" spans="1:16" ht="12.75" customHeight="1">
      <c r="A25" s="12"/>
      <c r="B25" s="174" t="s">
        <v>69</v>
      </c>
      <c r="C25" s="236">
        <v>29641</v>
      </c>
      <c r="D25" s="214">
        <v>35500</v>
      </c>
      <c r="E25" s="513">
        <v>21604</v>
      </c>
      <c r="F25" s="215">
        <v>21920</v>
      </c>
      <c r="G25" s="519" t="s">
        <v>3</v>
      </c>
      <c r="H25" s="239" t="s">
        <v>3</v>
      </c>
      <c r="I25" s="239" t="s">
        <v>3</v>
      </c>
      <c r="J25" s="654"/>
      <c r="K25" s="236">
        <v>5146</v>
      </c>
      <c r="L25" s="214">
        <v>6171</v>
      </c>
      <c r="M25" s="513"/>
      <c r="N25" s="215"/>
      <c r="O25" s="284" t="s">
        <v>69</v>
      </c>
      <c r="P25" s="77"/>
    </row>
    <row r="26" spans="1:16" ht="12.75" customHeight="1">
      <c r="A26" s="12"/>
      <c r="B26" s="14" t="s">
        <v>72</v>
      </c>
      <c r="C26" s="227">
        <v>459</v>
      </c>
      <c r="D26" s="82">
        <v>755</v>
      </c>
      <c r="E26" s="512">
        <v>625</v>
      </c>
      <c r="F26" s="101">
        <v>940</v>
      </c>
      <c r="G26" s="520" t="s">
        <v>119</v>
      </c>
      <c r="H26" s="229" t="s">
        <v>119</v>
      </c>
      <c r="I26" s="229" t="s">
        <v>119</v>
      </c>
      <c r="J26" s="655" t="s">
        <v>119</v>
      </c>
      <c r="K26" s="520" t="s">
        <v>119</v>
      </c>
      <c r="L26" s="229" t="s">
        <v>119</v>
      </c>
      <c r="M26" s="229" t="s">
        <v>119</v>
      </c>
      <c r="N26" s="655" t="s">
        <v>119</v>
      </c>
      <c r="O26" s="287" t="s">
        <v>72</v>
      </c>
      <c r="P26" s="77"/>
    </row>
    <row r="27" spans="1:16" ht="12.75" customHeight="1">
      <c r="A27" s="12"/>
      <c r="B27" s="175" t="s">
        <v>80</v>
      </c>
      <c r="C27" s="236">
        <v>86126</v>
      </c>
      <c r="D27" s="214">
        <v>65224</v>
      </c>
      <c r="E27" s="513">
        <v>63913</v>
      </c>
      <c r="F27" s="215">
        <v>80830</v>
      </c>
      <c r="G27" s="236">
        <v>2799</v>
      </c>
      <c r="H27" s="214">
        <v>3255</v>
      </c>
      <c r="I27" s="222">
        <v>3309</v>
      </c>
      <c r="J27" s="216">
        <v>2167</v>
      </c>
      <c r="K27" s="236">
        <v>11588</v>
      </c>
      <c r="L27" s="214">
        <v>12290</v>
      </c>
      <c r="M27" s="513">
        <v>16695</v>
      </c>
      <c r="N27" s="215">
        <v>13117</v>
      </c>
      <c r="O27" s="288" t="s">
        <v>80</v>
      </c>
      <c r="P27" s="77"/>
    </row>
    <row r="28" spans="1:16" ht="12.75" customHeight="1">
      <c r="A28" s="12"/>
      <c r="B28" s="14" t="s">
        <v>90</v>
      </c>
      <c r="C28" s="227">
        <v>28888</v>
      </c>
      <c r="D28" s="82">
        <v>28752</v>
      </c>
      <c r="E28" s="512">
        <v>30357</v>
      </c>
      <c r="F28" s="101">
        <v>32322</v>
      </c>
      <c r="G28" s="227">
        <v>1047</v>
      </c>
      <c r="H28" s="82">
        <v>1048</v>
      </c>
      <c r="I28" s="93">
        <v>992</v>
      </c>
      <c r="J28" s="94">
        <v>1144</v>
      </c>
      <c r="K28" s="227">
        <v>8643</v>
      </c>
      <c r="L28" s="82">
        <v>7878</v>
      </c>
      <c r="M28" s="512">
        <v>6617</v>
      </c>
      <c r="N28" s="101">
        <v>7273</v>
      </c>
      <c r="O28" s="287" t="s">
        <v>90</v>
      </c>
      <c r="P28" s="77"/>
    </row>
    <row r="29" spans="1:16" ht="12.75" customHeight="1">
      <c r="A29" s="12"/>
      <c r="B29" s="174" t="s">
        <v>73</v>
      </c>
      <c r="C29" s="236">
        <v>34508</v>
      </c>
      <c r="D29" s="214">
        <v>35270</v>
      </c>
      <c r="E29" s="513">
        <v>38618</v>
      </c>
      <c r="F29" s="215">
        <v>52048</v>
      </c>
      <c r="G29" s="236">
        <v>4092</v>
      </c>
      <c r="H29" s="214">
        <v>4377</v>
      </c>
      <c r="I29" s="222">
        <v>5162</v>
      </c>
      <c r="J29" s="216">
        <v>6330</v>
      </c>
      <c r="K29" s="236">
        <v>8449</v>
      </c>
      <c r="L29" s="214">
        <v>7417</v>
      </c>
      <c r="M29" s="513">
        <v>10734</v>
      </c>
      <c r="N29" s="215">
        <v>18243</v>
      </c>
      <c r="O29" s="284" t="s">
        <v>73</v>
      </c>
      <c r="P29" s="77"/>
    </row>
    <row r="30" spans="1:16" ht="12.75" customHeight="1">
      <c r="A30" s="12"/>
      <c r="B30" s="14" t="s">
        <v>91</v>
      </c>
      <c r="C30" s="227">
        <v>70890</v>
      </c>
      <c r="D30" s="82">
        <v>66632</v>
      </c>
      <c r="E30" s="512">
        <v>64342</v>
      </c>
      <c r="F30" s="101">
        <v>68418</v>
      </c>
      <c r="G30" s="227">
        <v>1288</v>
      </c>
      <c r="H30" s="82">
        <v>1563</v>
      </c>
      <c r="I30" s="93">
        <v>1329</v>
      </c>
      <c r="J30" s="94">
        <v>1398</v>
      </c>
      <c r="K30" s="227">
        <v>3399</v>
      </c>
      <c r="L30" s="82">
        <v>3787</v>
      </c>
      <c r="M30" s="512">
        <v>4082</v>
      </c>
      <c r="N30" s="101">
        <v>4247</v>
      </c>
      <c r="O30" s="287" t="s">
        <v>91</v>
      </c>
      <c r="P30" s="77"/>
    </row>
    <row r="31" spans="1:16" ht="12.75" customHeight="1">
      <c r="A31" s="12"/>
      <c r="B31" s="174" t="s">
        <v>74</v>
      </c>
      <c r="C31" s="236"/>
      <c r="D31" s="214"/>
      <c r="E31" s="513">
        <v>30508</v>
      </c>
      <c r="F31" s="215">
        <v>33229</v>
      </c>
      <c r="G31" s="236"/>
      <c r="H31" s="214"/>
      <c r="I31" s="222">
        <v>3612</v>
      </c>
      <c r="J31" s="216">
        <v>3468</v>
      </c>
      <c r="K31" s="236"/>
      <c r="L31" s="214"/>
      <c r="M31" s="513">
        <v>4170</v>
      </c>
      <c r="N31" s="215">
        <v>11511</v>
      </c>
      <c r="O31" s="284" t="s">
        <v>74</v>
      </c>
      <c r="P31" s="77"/>
    </row>
    <row r="32" spans="1:16" ht="12.75" customHeight="1">
      <c r="A32" s="12"/>
      <c r="B32" s="14" t="s">
        <v>76</v>
      </c>
      <c r="C32" s="227">
        <v>6998</v>
      </c>
      <c r="D32" s="82">
        <v>6881</v>
      </c>
      <c r="E32" s="512">
        <v>6048</v>
      </c>
      <c r="F32" s="101">
        <v>6813</v>
      </c>
      <c r="G32" s="227">
        <v>408</v>
      </c>
      <c r="H32" s="82">
        <v>346</v>
      </c>
      <c r="I32" s="93">
        <v>383</v>
      </c>
      <c r="J32" s="94">
        <v>391</v>
      </c>
      <c r="K32" s="227">
        <v>1066</v>
      </c>
      <c r="L32" s="82">
        <v>1305</v>
      </c>
      <c r="M32" s="512">
        <v>1679</v>
      </c>
      <c r="N32" s="101">
        <v>2326</v>
      </c>
      <c r="O32" s="287" t="s">
        <v>76</v>
      </c>
      <c r="P32" s="77"/>
    </row>
    <row r="33" spans="1:16" ht="12.75" customHeight="1">
      <c r="A33" s="12"/>
      <c r="B33" s="174" t="s">
        <v>75</v>
      </c>
      <c r="C33" s="236">
        <v>10204</v>
      </c>
      <c r="D33" s="214">
        <v>14425</v>
      </c>
      <c r="E33" s="513">
        <v>19502</v>
      </c>
      <c r="F33" s="215">
        <v>23618</v>
      </c>
      <c r="G33" s="236">
        <v>774</v>
      </c>
      <c r="H33" s="214">
        <v>936</v>
      </c>
      <c r="I33" s="222">
        <v>948</v>
      </c>
      <c r="J33" s="216">
        <v>1083</v>
      </c>
      <c r="K33" s="236">
        <v>2075</v>
      </c>
      <c r="L33" s="214">
        <v>2821</v>
      </c>
      <c r="M33" s="513">
        <v>3465</v>
      </c>
      <c r="N33" s="215">
        <v>4360</v>
      </c>
      <c r="O33" s="284" t="s">
        <v>75</v>
      </c>
      <c r="P33" s="77"/>
    </row>
    <row r="34" spans="1:16" ht="12.75" customHeight="1">
      <c r="A34" s="12"/>
      <c r="B34" s="14" t="s">
        <v>92</v>
      </c>
      <c r="C34" s="227">
        <v>17068</v>
      </c>
      <c r="D34" s="82">
        <v>15353</v>
      </c>
      <c r="E34" s="512">
        <v>16472</v>
      </c>
      <c r="F34" s="101">
        <v>17507</v>
      </c>
      <c r="G34" s="227">
        <v>1630</v>
      </c>
      <c r="H34" s="82">
        <v>1490</v>
      </c>
      <c r="I34" s="93">
        <v>1305</v>
      </c>
      <c r="J34" s="94">
        <v>1395</v>
      </c>
      <c r="K34" s="227">
        <v>2889</v>
      </c>
      <c r="L34" s="82">
        <v>3112</v>
      </c>
      <c r="M34" s="512">
        <v>2726</v>
      </c>
      <c r="N34" s="101">
        <v>2779</v>
      </c>
      <c r="O34" s="287" t="s">
        <v>92</v>
      </c>
      <c r="P34" s="77"/>
    </row>
    <row r="35" spans="1:16" ht="12.75" customHeight="1">
      <c r="A35" s="12"/>
      <c r="B35" s="174" t="s">
        <v>93</v>
      </c>
      <c r="C35" s="236">
        <v>31002</v>
      </c>
      <c r="D35" s="214">
        <v>34789</v>
      </c>
      <c r="E35" s="513">
        <v>39618</v>
      </c>
      <c r="F35" s="215">
        <v>44222</v>
      </c>
      <c r="G35" s="236">
        <v>836</v>
      </c>
      <c r="H35" s="214">
        <v>1255</v>
      </c>
      <c r="I35" s="222">
        <v>866</v>
      </c>
      <c r="J35" s="216">
        <v>988</v>
      </c>
      <c r="K35" s="236">
        <v>4400</v>
      </c>
      <c r="L35" s="214">
        <v>5763</v>
      </c>
      <c r="M35" s="513">
        <v>5362</v>
      </c>
      <c r="N35" s="215">
        <v>5722</v>
      </c>
      <c r="O35" s="284" t="s">
        <v>93</v>
      </c>
      <c r="P35" s="77"/>
    </row>
    <row r="36" spans="1:16" ht="12.75" customHeight="1">
      <c r="A36" s="12"/>
      <c r="B36" s="15" t="s">
        <v>81</v>
      </c>
      <c r="C36" s="231">
        <v>322901</v>
      </c>
      <c r="D36" s="86">
        <v>325372</v>
      </c>
      <c r="E36" s="514">
        <v>322338</v>
      </c>
      <c r="F36" s="102">
        <v>333339</v>
      </c>
      <c r="G36" s="231">
        <v>20551</v>
      </c>
      <c r="H36" s="86">
        <v>24833</v>
      </c>
      <c r="I36" s="516">
        <v>18329</v>
      </c>
      <c r="J36" s="104">
        <v>17519</v>
      </c>
      <c r="K36" s="231">
        <v>34002</v>
      </c>
      <c r="L36" s="86">
        <v>38205</v>
      </c>
      <c r="M36" s="514">
        <v>34532</v>
      </c>
      <c r="N36" s="102">
        <v>29328</v>
      </c>
      <c r="O36" s="289" t="s">
        <v>81</v>
      </c>
      <c r="P36" s="77"/>
    </row>
    <row r="37" spans="1:16" ht="12.75" customHeight="1">
      <c r="A37" s="12"/>
      <c r="B37" s="174" t="s">
        <v>63</v>
      </c>
      <c r="C37" s="236">
        <v>1627</v>
      </c>
      <c r="D37" s="220">
        <v>2172</v>
      </c>
      <c r="E37" s="517">
        <v>2490</v>
      </c>
      <c r="F37" s="215">
        <v>2782</v>
      </c>
      <c r="G37" s="236">
        <v>119</v>
      </c>
      <c r="H37" s="214">
        <v>324</v>
      </c>
      <c r="I37" s="222">
        <v>198</v>
      </c>
      <c r="J37" s="216">
        <v>234</v>
      </c>
      <c r="K37" s="236">
        <v>181</v>
      </c>
      <c r="L37" s="214">
        <v>314</v>
      </c>
      <c r="M37" s="513">
        <v>325</v>
      </c>
      <c r="N37" s="215">
        <v>301</v>
      </c>
      <c r="O37" s="284" t="s">
        <v>63</v>
      </c>
      <c r="P37" s="51"/>
    </row>
    <row r="38" spans="1:16" ht="12.75" customHeight="1">
      <c r="A38" s="12"/>
      <c r="B38" s="14" t="s">
        <v>94</v>
      </c>
      <c r="C38" s="227">
        <v>31114</v>
      </c>
      <c r="D38" s="82">
        <v>35185</v>
      </c>
      <c r="E38" s="512">
        <v>42611</v>
      </c>
      <c r="F38" s="101">
        <v>45609</v>
      </c>
      <c r="G38" s="227">
        <v>3340</v>
      </c>
      <c r="H38" s="82">
        <v>3037</v>
      </c>
      <c r="I38" s="93">
        <v>1801</v>
      </c>
      <c r="J38" s="94">
        <v>1670</v>
      </c>
      <c r="K38" s="227">
        <v>3017</v>
      </c>
      <c r="L38" s="82">
        <v>4459</v>
      </c>
      <c r="M38" s="512">
        <v>3988</v>
      </c>
      <c r="N38" s="101">
        <v>4591</v>
      </c>
      <c r="O38" s="287" t="s">
        <v>94</v>
      </c>
      <c r="P38" s="51"/>
    </row>
    <row r="39" spans="1:16" ht="12.75" customHeight="1">
      <c r="A39" s="12"/>
      <c r="B39" s="176" t="s">
        <v>64</v>
      </c>
      <c r="C39" s="518">
        <v>20602</v>
      </c>
      <c r="D39" s="217">
        <v>22254</v>
      </c>
      <c r="E39" s="515">
        <v>23015</v>
      </c>
      <c r="F39" s="218">
        <v>25386</v>
      </c>
      <c r="G39" s="518">
        <v>921</v>
      </c>
      <c r="H39" s="217">
        <v>1058</v>
      </c>
      <c r="I39" s="224">
        <v>1095</v>
      </c>
      <c r="J39" s="219">
        <v>1106</v>
      </c>
      <c r="K39" s="518">
        <v>2708</v>
      </c>
      <c r="L39" s="217">
        <v>3390</v>
      </c>
      <c r="M39" s="515">
        <v>3746</v>
      </c>
      <c r="N39" s="218">
        <v>3290</v>
      </c>
      <c r="O39" s="285" t="s">
        <v>64</v>
      </c>
      <c r="P39" s="51"/>
    </row>
    <row r="40" spans="1:12" ht="12.75" customHeight="1">
      <c r="A40" s="12"/>
      <c r="B40" s="893" t="s">
        <v>194</v>
      </c>
      <c r="C40" s="893"/>
      <c r="D40" s="893"/>
      <c r="E40" s="893"/>
      <c r="F40" s="893"/>
      <c r="G40" s="893"/>
      <c r="H40" s="893"/>
      <c r="I40" s="893"/>
      <c r="J40" s="893"/>
      <c r="K40" s="893"/>
      <c r="L40" s="893"/>
    </row>
    <row r="41" spans="1:12" ht="11.25" customHeight="1">
      <c r="A41" s="12"/>
      <c r="B41" s="900" t="s">
        <v>0</v>
      </c>
      <c r="C41" s="901"/>
      <c r="D41" s="901"/>
      <c r="E41" s="901"/>
      <c r="F41" s="901"/>
      <c r="G41" s="901"/>
      <c r="H41" s="901"/>
      <c r="I41" s="901"/>
      <c r="J41" s="901"/>
      <c r="K41" s="901"/>
      <c r="L41" s="901"/>
    </row>
    <row r="42" spans="1:12" ht="11.25" customHeight="1">
      <c r="A42" s="12"/>
      <c r="B42" s="901" t="s">
        <v>114</v>
      </c>
      <c r="C42" s="901"/>
      <c r="D42" s="901"/>
      <c r="E42" s="901"/>
      <c r="F42" s="901"/>
      <c r="G42" s="901"/>
      <c r="H42" s="901"/>
      <c r="I42" s="901"/>
      <c r="J42" s="901"/>
      <c r="K42" s="901"/>
      <c r="L42" s="901"/>
    </row>
    <row r="43" spans="2:12" ht="11.25" customHeight="1">
      <c r="B43" s="901" t="s">
        <v>156</v>
      </c>
      <c r="C43" s="901"/>
      <c r="D43" s="901"/>
      <c r="E43" s="901"/>
      <c r="F43" s="901"/>
      <c r="G43" s="901"/>
      <c r="H43" s="901"/>
      <c r="I43" s="901"/>
      <c r="J43" s="901"/>
      <c r="K43" s="901"/>
      <c r="L43" s="901"/>
    </row>
  </sheetData>
  <mergeCells count="12">
    <mergeCell ref="B2:O2"/>
    <mergeCell ref="B3:O3"/>
    <mergeCell ref="B41:L41"/>
    <mergeCell ref="B40:L40"/>
    <mergeCell ref="K4:N4"/>
    <mergeCell ref="K5:N5"/>
    <mergeCell ref="C4:F4"/>
    <mergeCell ref="C5:F5"/>
    <mergeCell ref="G4:J4"/>
    <mergeCell ref="G5:J5"/>
    <mergeCell ref="B42:L42"/>
    <mergeCell ref="B43:L43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"/>
  <dimension ref="A1:P4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14" width="6.8515625" style="0" customWidth="1"/>
    <col min="15" max="15" width="4.00390625" style="0" customWidth="1"/>
  </cols>
  <sheetData>
    <row r="1" spans="2:15" ht="14.25" customHeight="1">
      <c r="B1" s="56"/>
      <c r="C1" s="42"/>
      <c r="D1" s="42"/>
      <c r="E1" s="42"/>
      <c r="F1" s="42"/>
      <c r="G1" s="42"/>
      <c r="O1" s="57" t="s">
        <v>106</v>
      </c>
    </row>
    <row r="2" spans="2:15" s="121" customFormat="1" ht="30" customHeight="1">
      <c r="B2" s="898" t="s">
        <v>19</v>
      </c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</row>
    <row r="3" spans="2:15" ht="18" customHeight="1">
      <c r="B3" s="863" t="s">
        <v>157</v>
      </c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</row>
    <row r="4" spans="2:15" ht="18" customHeight="1">
      <c r="B4" s="5"/>
      <c r="C4" s="864" t="s">
        <v>169</v>
      </c>
      <c r="D4" s="865"/>
      <c r="E4" s="865"/>
      <c r="F4" s="866"/>
      <c r="G4" s="864" t="s">
        <v>170</v>
      </c>
      <c r="H4" s="865"/>
      <c r="I4" s="865"/>
      <c r="J4" s="866"/>
      <c r="K4" s="864" t="s">
        <v>171</v>
      </c>
      <c r="L4" s="865"/>
      <c r="M4" s="865"/>
      <c r="N4" s="866"/>
      <c r="O4" s="48"/>
    </row>
    <row r="5" spans="2:15" ht="12" customHeight="1">
      <c r="B5" s="5"/>
      <c r="C5" s="870" t="s">
        <v>172</v>
      </c>
      <c r="D5" s="871"/>
      <c r="E5" s="871"/>
      <c r="F5" s="853"/>
      <c r="G5" s="870" t="s">
        <v>11</v>
      </c>
      <c r="H5" s="871"/>
      <c r="I5" s="871"/>
      <c r="J5" s="853"/>
      <c r="K5" s="870" t="s">
        <v>12</v>
      </c>
      <c r="L5" s="871"/>
      <c r="M5" s="871"/>
      <c r="N5" s="853"/>
      <c r="O5" s="48"/>
    </row>
    <row r="6" spans="2:15" ht="15" customHeight="1">
      <c r="B6" s="5"/>
      <c r="C6" s="135">
        <v>2004</v>
      </c>
      <c r="D6" s="136">
        <v>2005</v>
      </c>
      <c r="E6" s="136">
        <v>2006</v>
      </c>
      <c r="F6" s="137">
        <v>2007</v>
      </c>
      <c r="G6" s="136">
        <v>2004</v>
      </c>
      <c r="H6" s="136">
        <v>2005</v>
      </c>
      <c r="I6" s="136">
        <v>2006</v>
      </c>
      <c r="J6" s="137">
        <v>2007</v>
      </c>
      <c r="K6" s="136">
        <v>2004</v>
      </c>
      <c r="L6" s="136">
        <v>2005</v>
      </c>
      <c r="M6" s="136">
        <v>2006</v>
      </c>
      <c r="N6" s="137">
        <v>2007</v>
      </c>
      <c r="O6" s="10"/>
    </row>
    <row r="7" spans="2:15" ht="12.75" customHeight="1">
      <c r="B7" s="177" t="s">
        <v>47</v>
      </c>
      <c r="C7" s="202"/>
      <c r="D7" s="181"/>
      <c r="E7" s="181"/>
      <c r="F7" s="182"/>
      <c r="G7" s="181"/>
      <c r="H7" s="181"/>
      <c r="I7" s="181"/>
      <c r="J7" s="182"/>
      <c r="K7" s="181"/>
      <c r="L7" s="181"/>
      <c r="M7" s="181"/>
      <c r="N7" s="182"/>
      <c r="O7" s="283" t="s">
        <v>47</v>
      </c>
    </row>
    <row r="8" spans="1:15" ht="12.75" customHeight="1">
      <c r="A8" s="12"/>
      <c r="B8" s="174" t="s">
        <v>82</v>
      </c>
      <c r="C8" s="203">
        <f>SUM(C10,C13,C14,C16:C20,C24,C27:C28,C30,C34:C36)</f>
        <v>12073</v>
      </c>
      <c r="D8" s="183">
        <f aca="true" t="shared" si="0" ref="D8:N8">SUM(D10,D13,D14,D16:D20,D24,D27:D28,D30,D34:D36)</f>
        <v>11463</v>
      </c>
      <c r="E8" s="183">
        <f t="shared" si="0"/>
        <v>11328</v>
      </c>
      <c r="F8" s="184">
        <f t="shared" si="0"/>
        <v>12051</v>
      </c>
      <c r="G8" s="183">
        <f t="shared" si="0"/>
        <v>9302</v>
      </c>
      <c r="H8" s="183">
        <f t="shared" si="0"/>
        <v>11385</v>
      </c>
      <c r="I8" s="183">
        <f t="shared" si="0"/>
        <v>10914</v>
      </c>
      <c r="J8" s="184">
        <f t="shared" si="0"/>
        <v>12302</v>
      </c>
      <c r="K8" s="183">
        <f t="shared" si="0"/>
        <v>21818</v>
      </c>
      <c r="L8" s="183">
        <f t="shared" si="0"/>
        <v>21604</v>
      </c>
      <c r="M8" s="183">
        <f t="shared" si="0"/>
        <v>22119</v>
      </c>
      <c r="N8" s="184">
        <f t="shared" si="0"/>
        <v>22006</v>
      </c>
      <c r="O8" s="284" t="s">
        <v>82</v>
      </c>
    </row>
    <row r="9" spans="1:15" ht="12.75" customHeight="1">
      <c r="A9" s="12"/>
      <c r="B9" s="176" t="s">
        <v>175</v>
      </c>
      <c r="C9" s="185"/>
      <c r="D9" s="186"/>
      <c r="E9" s="186"/>
      <c r="F9" s="187"/>
      <c r="G9" s="186"/>
      <c r="H9" s="186"/>
      <c r="I9" s="186"/>
      <c r="J9" s="187"/>
      <c r="K9" s="186"/>
      <c r="L9" s="186"/>
      <c r="M9" s="186"/>
      <c r="N9" s="187"/>
      <c r="O9" s="285" t="s">
        <v>175</v>
      </c>
    </row>
    <row r="10" spans="1:16" ht="12.75" customHeight="1">
      <c r="A10" s="12"/>
      <c r="B10" s="14" t="s">
        <v>83</v>
      </c>
      <c r="C10" s="90">
        <v>294</v>
      </c>
      <c r="D10" s="91">
        <v>346</v>
      </c>
      <c r="E10" s="512">
        <v>237</v>
      </c>
      <c r="F10" s="101">
        <v>17</v>
      </c>
      <c r="G10" s="91">
        <v>245</v>
      </c>
      <c r="H10" s="91">
        <v>243</v>
      </c>
      <c r="I10" s="512">
        <v>280</v>
      </c>
      <c r="J10" s="101">
        <v>279</v>
      </c>
      <c r="K10" s="91">
        <v>637</v>
      </c>
      <c r="L10" s="91">
        <v>594</v>
      </c>
      <c r="M10" s="512">
        <v>627</v>
      </c>
      <c r="N10" s="101">
        <v>799</v>
      </c>
      <c r="O10" s="287" t="s">
        <v>83</v>
      </c>
      <c r="P10" s="4"/>
    </row>
    <row r="11" spans="1:16" ht="12.75" customHeight="1">
      <c r="A11" s="12"/>
      <c r="B11" s="174" t="s">
        <v>65</v>
      </c>
      <c r="C11" s="190"/>
      <c r="D11" s="191"/>
      <c r="E11" s="513"/>
      <c r="F11" s="215"/>
      <c r="G11" s="191"/>
      <c r="H11" s="191"/>
      <c r="I11" s="513"/>
      <c r="J11" s="215"/>
      <c r="K11" s="191"/>
      <c r="L11" s="191"/>
      <c r="M11" s="513"/>
      <c r="N11" s="215"/>
      <c r="O11" s="284" t="s">
        <v>65</v>
      </c>
      <c r="P11" s="4"/>
    </row>
    <row r="12" spans="1:16" ht="12.75" customHeight="1">
      <c r="A12" s="12"/>
      <c r="B12" s="14" t="s">
        <v>67</v>
      </c>
      <c r="C12" s="90">
        <v>71</v>
      </c>
      <c r="D12" s="91">
        <v>39</v>
      </c>
      <c r="E12" s="512"/>
      <c r="F12" s="101"/>
      <c r="G12" s="91">
        <v>229</v>
      </c>
      <c r="H12" s="91">
        <v>207</v>
      </c>
      <c r="I12" s="512">
        <v>286</v>
      </c>
      <c r="J12" s="101">
        <v>355</v>
      </c>
      <c r="K12" s="91">
        <v>624</v>
      </c>
      <c r="L12" s="91">
        <v>630</v>
      </c>
      <c r="M12" s="512">
        <v>680</v>
      </c>
      <c r="N12" s="101">
        <v>614</v>
      </c>
      <c r="O12" s="287" t="s">
        <v>67</v>
      </c>
      <c r="P12" s="4"/>
    </row>
    <row r="13" spans="1:16" ht="12.75" customHeight="1">
      <c r="A13" s="12"/>
      <c r="B13" s="174" t="s">
        <v>78</v>
      </c>
      <c r="C13" s="190">
        <v>1343</v>
      </c>
      <c r="D13" s="191">
        <v>2022</v>
      </c>
      <c r="E13" s="513">
        <v>2704</v>
      </c>
      <c r="F13" s="215">
        <v>3459</v>
      </c>
      <c r="G13" s="191">
        <v>95</v>
      </c>
      <c r="H13" s="191">
        <v>154</v>
      </c>
      <c r="I13" s="513">
        <v>94</v>
      </c>
      <c r="J13" s="215">
        <v>158</v>
      </c>
      <c r="K13" s="191">
        <v>319</v>
      </c>
      <c r="L13" s="191">
        <v>267</v>
      </c>
      <c r="M13" s="513">
        <v>390</v>
      </c>
      <c r="N13" s="215">
        <v>295</v>
      </c>
      <c r="O13" s="284" t="s">
        <v>78</v>
      </c>
      <c r="P13" s="4"/>
    </row>
    <row r="14" spans="1:16" ht="12.75" customHeight="1">
      <c r="A14" s="12"/>
      <c r="B14" s="14" t="s">
        <v>84</v>
      </c>
      <c r="C14" s="90">
        <v>78</v>
      </c>
      <c r="D14" s="91">
        <v>98</v>
      </c>
      <c r="E14" s="512">
        <v>35</v>
      </c>
      <c r="F14" s="101">
        <v>30</v>
      </c>
      <c r="G14" s="91">
        <v>997</v>
      </c>
      <c r="H14" s="91">
        <v>907</v>
      </c>
      <c r="I14" s="512">
        <v>966</v>
      </c>
      <c r="J14" s="101">
        <v>907</v>
      </c>
      <c r="K14" s="91">
        <v>4322</v>
      </c>
      <c r="L14" s="91">
        <v>4421</v>
      </c>
      <c r="M14" s="512">
        <v>4709</v>
      </c>
      <c r="N14" s="101">
        <v>4534</v>
      </c>
      <c r="O14" s="287" t="s">
        <v>84</v>
      </c>
      <c r="P14" s="4"/>
    </row>
    <row r="15" spans="1:16" ht="12.75" customHeight="1">
      <c r="A15" s="12"/>
      <c r="B15" s="174" t="s">
        <v>68</v>
      </c>
      <c r="C15" s="190">
        <v>14</v>
      </c>
      <c r="D15" s="191">
        <v>26</v>
      </c>
      <c r="E15" s="513">
        <v>21</v>
      </c>
      <c r="F15" s="215">
        <v>36</v>
      </c>
      <c r="G15" s="191">
        <v>42</v>
      </c>
      <c r="H15" s="191">
        <v>53</v>
      </c>
      <c r="I15" s="513">
        <v>103</v>
      </c>
      <c r="J15" s="215">
        <v>103</v>
      </c>
      <c r="K15" s="191">
        <v>1</v>
      </c>
      <c r="L15" s="191">
        <v>17</v>
      </c>
      <c r="M15" s="513">
        <v>37</v>
      </c>
      <c r="N15" s="215">
        <v>101</v>
      </c>
      <c r="O15" s="284" t="s">
        <v>68</v>
      </c>
      <c r="P15" s="4"/>
    </row>
    <row r="16" spans="1:16" ht="12.75" customHeight="1">
      <c r="A16" s="12"/>
      <c r="B16" s="14" t="s">
        <v>87</v>
      </c>
      <c r="C16" s="90">
        <v>475</v>
      </c>
      <c r="D16" s="91">
        <v>554</v>
      </c>
      <c r="E16" s="512">
        <v>485</v>
      </c>
      <c r="F16" s="101">
        <v>658</v>
      </c>
      <c r="G16" s="91">
        <v>70</v>
      </c>
      <c r="H16" s="91">
        <v>106</v>
      </c>
      <c r="I16" s="512">
        <v>136</v>
      </c>
      <c r="J16" s="101">
        <v>94</v>
      </c>
      <c r="K16" s="91">
        <v>284</v>
      </c>
      <c r="L16" s="91">
        <v>205</v>
      </c>
      <c r="M16" s="512">
        <v>327</v>
      </c>
      <c r="N16" s="101">
        <v>311</v>
      </c>
      <c r="O16" s="287" t="s">
        <v>87</v>
      </c>
      <c r="P16" s="4"/>
    </row>
    <row r="17" spans="1:16" ht="12.75" customHeight="1">
      <c r="A17" s="12"/>
      <c r="B17" s="174" t="s">
        <v>79</v>
      </c>
      <c r="C17" s="190">
        <v>85</v>
      </c>
      <c r="D17" s="191">
        <v>45</v>
      </c>
      <c r="E17" s="513">
        <v>44</v>
      </c>
      <c r="F17" s="215">
        <v>50</v>
      </c>
      <c r="G17" s="191">
        <v>101</v>
      </c>
      <c r="H17" s="191">
        <v>91</v>
      </c>
      <c r="I17" s="513">
        <v>122</v>
      </c>
      <c r="J17" s="215">
        <v>132</v>
      </c>
      <c r="K17" s="191">
        <v>1323</v>
      </c>
      <c r="L17" s="191">
        <v>524</v>
      </c>
      <c r="M17" s="513">
        <v>308</v>
      </c>
      <c r="N17" s="215">
        <v>444</v>
      </c>
      <c r="O17" s="284" t="s">
        <v>79</v>
      </c>
      <c r="P17" s="4"/>
    </row>
    <row r="18" spans="1:16" ht="12.75" customHeight="1">
      <c r="A18" s="12"/>
      <c r="B18" s="14" t="s">
        <v>85</v>
      </c>
      <c r="C18" s="90"/>
      <c r="D18" s="91"/>
      <c r="E18" s="512"/>
      <c r="F18" s="101"/>
      <c r="G18" s="91">
        <v>716</v>
      </c>
      <c r="H18" s="91">
        <v>1069</v>
      </c>
      <c r="I18" s="512">
        <v>867</v>
      </c>
      <c r="J18" s="101">
        <v>861</v>
      </c>
      <c r="K18" s="91">
        <v>2645</v>
      </c>
      <c r="L18" s="91">
        <v>2781</v>
      </c>
      <c r="M18" s="512">
        <v>2765</v>
      </c>
      <c r="N18" s="101">
        <v>2942</v>
      </c>
      <c r="O18" s="287" t="s">
        <v>85</v>
      </c>
      <c r="P18" s="4"/>
    </row>
    <row r="19" spans="1:16" ht="12.75" customHeight="1">
      <c r="A19" s="12"/>
      <c r="B19" s="174" t="s">
        <v>86</v>
      </c>
      <c r="C19" s="190">
        <v>107</v>
      </c>
      <c r="D19" s="191">
        <v>75</v>
      </c>
      <c r="E19" s="513">
        <v>79</v>
      </c>
      <c r="F19" s="215">
        <v>39</v>
      </c>
      <c r="G19" s="191">
        <v>1082</v>
      </c>
      <c r="H19" s="191">
        <v>1214</v>
      </c>
      <c r="I19" s="513">
        <v>1221</v>
      </c>
      <c r="J19" s="215">
        <v>1335</v>
      </c>
      <c r="K19" s="191">
        <v>3670</v>
      </c>
      <c r="L19" s="191">
        <v>4153</v>
      </c>
      <c r="M19" s="513">
        <v>4550</v>
      </c>
      <c r="N19" s="215">
        <v>4797</v>
      </c>
      <c r="O19" s="284" t="s">
        <v>86</v>
      </c>
      <c r="P19" s="4"/>
    </row>
    <row r="20" spans="1:16" ht="12.75" customHeight="1">
      <c r="A20" s="12"/>
      <c r="B20" s="14" t="s">
        <v>88</v>
      </c>
      <c r="C20" s="90">
        <v>40</v>
      </c>
      <c r="D20" s="91">
        <v>32</v>
      </c>
      <c r="E20" s="512">
        <v>52</v>
      </c>
      <c r="F20" s="101">
        <v>79</v>
      </c>
      <c r="G20" s="91">
        <v>1586</v>
      </c>
      <c r="H20" s="91">
        <v>1699</v>
      </c>
      <c r="I20" s="512">
        <v>1974</v>
      </c>
      <c r="J20" s="101">
        <v>1624</v>
      </c>
      <c r="K20" s="91">
        <v>3237</v>
      </c>
      <c r="L20" s="91">
        <v>3311</v>
      </c>
      <c r="M20" s="512">
        <v>2796</v>
      </c>
      <c r="N20" s="101">
        <v>2770</v>
      </c>
      <c r="O20" s="287" t="s">
        <v>88</v>
      </c>
      <c r="P20" s="4"/>
    </row>
    <row r="21" spans="1:16" ht="12.75" customHeight="1">
      <c r="A21" s="12"/>
      <c r="B21" s="174" t="s">
        <v>66</v>
      </c>
      <c r="C21" s="190">
        <v>59</v>
      </c>
      <c r="D21" s="191">
        <v>66</v>
      </c>
      <c r="E21" s="513">
        <v>47</v>
      </c>
      <c r="F21" s="215">
        <v>61</v>
      </c>
      <c r="G21" s="238" t="s">
        <v>119</v>
      </c>
      <c r="H21" s="239" t="s">
        <v>119</v>
      </c>
      <c r="I21" s="239" t="s">
        <v>119</v>
      </c>
      <c r="J21" s="654" t="s">
        <v>119</v>
      </c>
      <c r="K21" s="239" t="s">
        <v>119</v>
      </c>
      <c r="L21" s="239" t="s">
        <v>119</v>
      </c>
      <c r="M21" s="239" t="s">
        <v>119</v>
      </c>
      <c r="N21" s="654" t="s">
        <v>119</v>
      </c>
      <c r="O21" s="284" t="s">
        <v>66</v>
      </c>
      <c r="P21" s="4"/>
    </row>
    <row r="22" spans="1:16" ht="12.75" customHeight="1">
      <c r="A22" s="12"/>
      <c r="B22" s="14" t="s">
        <v>70</v>
      </c>
      <c r="C22" s="90">
        <v>2</v>
      </c>
      <c r="D22" s="91">
        <v>13</v>
      </c>
      <c r="E22" s="512">
        <v>116</v>
      </c>
      <c r="F22" s="101">
        <v>154</v>
      </c>
      <c r="G22" s="91">
        <v>151</v>
      </c>
      <c r="H22" s="91">
        <v>127</v>
      </c>
      <c r="I22" s="512">
        <v>38</v>
      </c>
      <c r="J22" s="101">
        <v>29</v>
      </c>
      <c r="K22" s="91">
        <v>89</v>
      </c>
      <c r="L22" s="91">
        <v>24</v>
      </c>
      <c r="M22" s="512">
        <v>52</v>
      </c>
      <c r="N22" s="101">
        <v>17</v>
      </c>
      <c r="O22" s="287" t="s">
        <v>70</v>
      </c>
      <c r="P22" s="4"/>
    </row>
    <row r="23" spans="1:16" ht="12.75" customHeight="1">
      <c r="A23" s="12"/>
      <c r="B23" s="174" t="s">
        <v>71</v>
      </c>
      <c r="C23" s="190">
        <v>219</v>
      </c>
      <c r="D23" s="191">
        <v>334</v>
      </c>
      <c r="E23" s="513">
        <v>189</v>
      </c>
      <c r="F23" s="215">
        <v>61</v>
      </c>
      <c r="G23" s="191">
        <v>53</v>
      </c>
      <c r="H23" s="191">
        <v>18</v>
      </c>
      <c r="I23" s="513">
        <v>30</v>
      </c>
      <c r="J23" s="215">
        <v>141</v>
      </c>
      <c r="K23" s="191">
        <v>67</v>
      </c>
      <c r="L23" s="191">
        <v>80</v>
      </c>
      <c r="M23" s="513">
        <v>60</v>
      </c>
      <c r="N23" s="215">
        <v>25</v>
      </c>
      <c r="O23" s="284" t="s">
        <v>71</v>
      </c>
      <c r="P23" s="4"/>
    </row>
    <row r="24" spans="1:16" ht="12.75" customHeight="1">
      <c r="A24" s="12"/>
      <c r="B24" s="14" t="s">
        <v>89</v>
      </c>
      <c r="C24" s="90"/>
      <c r="D24" s="91"/>
      <c r="E24" s="512"/>
      <c r="F24" s="101"/>
      <c r="G24" s="91">
        <v>16</v>
      </c>
      <c r="H24" s="91">
        <v>22</v>
      </c>
      <c r="I24" s="512">
        <v>14</v>
      </c>
      <c r="J24" s="101">
        <v>20</v>
      </c>
      <c r="K24" s="91">
        <v>110</v>
      </c>
      <c r="L24" s="91">
        <v>136</v>
      </c>
      <c r="M24" s="512">
        <v>154</v>
      </c>
      <c r="N24" s="101">
        <v>156</v>
      </c>
      <c r="O24" s="287" t="s">
        <v>89</v>
      </c>
      <c r="P24" s="4"/>
    </row>
    <row r="25" spans="1:16" ht="12.75" customHeight="1">
      <c r="A25" s="12"/>
      <c r="B25" s="174" t="s">
        <v>69</v>
      </c>
      <c r="C25" s="190"/>
      <c r="D25" s="191"/>
      <c r="E25" s="513"/>
      <c r="F25" s="215"/>
      <c r="G25" s="191"/>
      <c r="H25" s="191"/>
      <c r="I25" s="513"/>
      <c r="J25" s="215"/>
      <c r="K25" s="191"/>
      <c r="L25" s="191"/>
      <c r="M25" s="513"/>
      <c r="N25" s="215"/>
      <c r="O25" s="284" t="s">
        <v>69</v>
      </c>
      <c r="P25" s="4"/>
    </row>
    <row r="26" spans="1:16" ht="12.75" customHeight="1">
      <c r="A26" s="12"/>
      <c r="B26" s="14" t="s">
        <v>72</v>
      </c>
      <c r="C26" s="90">
        <v>21</v>
      </c>
      <c r="D26" s="91">
        <v>23</v>
      </c>
      <c r="E26" s="512">
        <v>10</v>
      </c>
      <c r="F26" s="101">
        <v>13</v>
      </c>
      <c r="G26" s="91">
        <v>0</v>
      </c>
      <c r="H26" s="91">
        <v>0</v>
      </c>
      <c r="I26" s="512">
        <v>0</v>
      </c>
      <c r="J26" s="101">
        <v>0</v>
      </c>
      <c r="K26" s="91">
        <v>11</v>
      </c>
      <c r="L26" s="91">
        <v>2</v>
      </c>
      <c r="M26" s="512">
        <v>1</v>
      </c>
      <c r="N26" s="101">
        <v>1</v>
      </c>
      <c r="O26" s="287" t="s">
        <v>72</v>
      </c>
      <c r="P26" s="4"/>
    </row>
    <row r="27" spans="1:16" ht="12.75" customHeight="1">
      <c r="A27" s="12"/>
      <c r="B27" s="175" t="s">
        <v>80</v>
      </c>
      <c r="C27" s="190">
        <v>7</v>
      </c>
      <c r="D27" s="191">
        <v>1</v>
      </c>
      <c r="E27" s="513">
        <v>4</v>
      </c>
      <c r="F27" s="215"/>
      <c r="G27" s="191">
        <v>242</v>
      </c>
      <c r="H27" s="191">
        <v>531</v>
      </c>
      <c r="I27" s="513">
        <v>47</v>
      </c>
      <c r="J27" s="215">
        <v>459</v>
      </c>
      <c r="K27" s="191">
        <v>691</v>
      </c>
      <c r="L27" s="191">
        <v>612</v>
      </c>
      <c r="M27" s="513">
        <v>745</v>
      </c>
      <c r="N27" s="215">
        <v>699</v>
      </c>
      <c r="O27" s="288" t="s">
        <v>80</v>
      </c>
      <c r="P27" s="4"/>
    </row>
    <row r="28" spans="1:16" ht="12.75" customHeight="1">
      <c r="A28" s="12"/>
      <c r="B28" s="14" t="s">
        <v>90</v>
      </c>
      <c r="C28" s="90">
        <v>19</v>
      </c>
      <c r="D28" s="91">
        <v>28</v>
      </c>
      <c r="E28" s="512">
        <v>22</v>
      </c>
      <c r="F28" s="101">
        <v>13</v>
      </c>
      <c r="G28" s="91">
        <v>145</v>
      </c>
      <c r="H28" s="91">
        <v>124</v>
      </c>
      <c r="I28" s="512">
        <v>91</v>
      </c>
      <c r="J28" s="101">
        <v>100</v>
      </c>
      <c r="K28" s="91">
        <v>765</v>
      </c>
      <c r="L28" s="91">
        <v>506</v>
      </c>
      <c r="M28" s="512">
        <v>714</v>
      </c>
      <c r="N28" s="101">
        <v>657</v>
      </c>
      <c r="O28" s="287" t="s">
        <v>90</v>
      </c>
      <c r="P28" s="4"/>
    </row>
    <row r="29" spans="1:16" ht="12.75" customHeight="1">
      <c r="A29" s="12"/>
      <c r="B29" s="174" t="s">
        <v>73</v>
      </c>
      <c r="C29" s="190">
        <v>1841</v>
      </c>
      <c r="D29" s="191">
        <v>1505</v>
      </c>
      <c r="E29" s="513">
        <v>1501</v>
      </c>
      <c r="F29" s="215">
        <v>2352</v>
      </c>
      <c r="G29" s="191"/>
      <c r="H29" s="191"/>
      <c r="I29" s="513"/>
      <c r="J29" s="215">
        <v>0</v>
      </c>
      <c r="K29" s="191"/>
      <c r="L29" s="191"/>
      <c r="M29" s="513"/>
      <c r="N29" s="215"/>
      <c r="O29" s="284" t="s">
        <v>73</v>
      </c>
      <c r="P29" s="4"/>
    </row>
    <row r="30" spans="1:16" ht="12.75" customHeight="1">
      <c r="A30" s="12"/>
      <c r="B30" s="14" t="s">
        <v>91</v>
      </c>
      <c r="C30" s="90">
        <v>393</v>
      </c>
      <c r="D30" s="91">
        <v>298</v>
      </c>
      <c r="E30" s="512">
        <v>140</v>
      </c>
      <c r="F30" s="101"/>
      <c r="G30" s="91">
        <v>331</v>
      </c>
      <c r="H30" s="91">
        <v>323</v>
      </c>
      <c r="I30" s="512">
        <v>312</v>
      </c>
      <c r="J30" s="101">
        <v>407</v>
      </c>
      <c r="K30" s="91">
        <v>310</v>
      </c>
      <c r="L30" s="91">
        <v>405</v>
      </c>
      <c r="M30" s="512">
        <v>267</v>
      </c>
      <c r="N30" s="101">
        <v>320</v>
      </c>
      <c r="O30" s="287" t="s">
        <v>91</v>
      </c>
      <c r="P30" s="4"/>
    </row>
    <row r="31" spans="1:16" ht="12.75" customHeight="1">
      <c r="A31" s="12"/>
      <c r="B31" s="174" t="s">
        <v>74</v>
      </c>
      <c r="C31" s="190"/>
      <c r="D31" s="191"/>
      <c r="E31" s="513">
        <v>1161</v>
      </c>
      <c r="F31" s="215">
        <v>1790</v>
      </c>
      <c r="G31" s="191"/>
      <c r="H31" s="191"/>
      <c r="I31" s="513">
        <v>519</v>
      </c>
      <c r="J31" s="215">
        <v>674</v>
      </c>
      <c r="K31" s="191"/>
      <c r="L31" s="191"/>
      <c r="M31" s="513">
        <v>828</v>
      </c>
      <c r="N31" s="215">
        <v>525</v>
      </c>
      <c r="O31" s="284" t="s">
        <v>74</v>
      </c>
      <c r="P31" s="4"/>
    </row>
    <row r="32" spans="1:16" ht="12.75" customHeight="1">
      <c r="A32" s="12"/>
      <c r="B32" s="14" t="s">
        <v>76</v>
      </c>
      <c r="C32" s="90">
        <v>12</v>
      </c>
      <c r="D32" s="91">
        <v>16</v>
      </c>
      <c r="E32" s="512">
        <v>16</v>
      </c>
      <c r="F32" s="101">
        <v>9</v>
      </c>
      <c r="G32" s="91">
        <v>29</v>
      </c>
      <c r="H32" s="91">
        <v>21</v>
      </c>
      <c r="I32" s="512">
        <v>24</v>
      </c>
      <c r="J32" s="101">
        <v>41</v>
      </c>
      <c r="K32" s="91">
        <v>88</v>
      </c>
      <c r="L32" s="91">
        <v>77</v>
      </c>
      <c r="M32" s="512">
        <v>108</v>
      </c>
      <c r="N32" s="101">
        <v>99</v>
      </c>
      <c r="O32" s="287" t="s">
        <v>76</v>
      </c>
      <c r="P32" s="4"/>
    </row>
    <row r="33" spans="1:16" ht="12.75" customHeight="1">
      <c r="A33" s="12"/>
      <c r="B33" s="174" t="s">
        <v>75</v>
      </c>
      <c r="C33" s="190">
        <v>0</v>
      </c>
      <c r="D33" s="191">
        <v>2</v>
      </c>
      <c r="E33" s="513">
        <v>2</v>
      </c>
      <c r="F33" s="215"/>
      <c r="G33" s="191">
        <v>70</v>
      </c>
      <c r="H33" s="191">
        <v>133</v>
      </c>
      <c r="I33" s="513">
        <v>199</v>
      </c>
      <c r="J33" s="215">
        <v>145</v>
      </c>
      <c r="K33" s="191">
        <v>186</v>
      </c>
      <c r="L33" s="191">
        <v>142</v>
      </c>
      <c r="M33" s="513">
        <v>319</v>
      </c>
      <c r="N33" s="215">
        <v>188</v>
      </c>
      <c r="O33" s="284" t="s">
        <v>75</v>
      </c>
      <c r="P33" s="4"/>
    </row>
    <row r="34" spans="1:16" ht="12.75" customHeight="1">
      <c r="A34" s="12"/>
      <c r="B34" s="14" t="s">
        <v>92</v>
      </c>
      <c r="C34" s="90">
        <v>98</v>
      </c>
      <c r="D34" s="91">
        <v>81</v>
      </c>
      <c r="E34" s="512">
        <v>89</v>
      </c>
      <c r="F34" s="101">
        <v>86</v>
      </c>
      <c r="G34" s="91">
        <v>155</v>
      </c>
      <c r="H34" s="91">
        <v>125</v>
      </c>
      <c r="I34" s="512">
        <v>127</v>
      </c>
      <c r="J34" s="101">
        <v>163</v>
      </c>
      <c r="K34" s="91">
        <v>256</v>
      </c>
      <c r="L34" s="91">
        <v>207</v>
      </c>
      <c r="M34" s="512">
        <v>222</v>
      </c>
      <c r="N34" s="101">
        <v>247</v>
      </c>
      <c r="O34" s="287" t="s">
        <v>92</v>
      </c>
      <c r="P34" s="4"/>
    </row>
    <row r="35" spans="1:16" ht="12.75" customHeight="1">
      <c r="A35" s="12"/>
      <c r="B35" s="174" t="s">
        <v>93</v>
      </c>
      <c r="C35" s="190">
        <v>134</v>
      </c>
      <c r="D35" s="191">
        <v>30</v>
      </c>
      <c r="E35" s="513">
        <v>84</v>
      </c>
      <c r="F35" s="215">
        <v>90</v>
      </c>
      <c r="G35" s="191">
        <v>338</v>
      </c>
      <c r="H35" s="191">
        <v>290</v>
      </c>
      <c r="I35" s="513">
        <v>330</v>
      </c>
      <c r="J35" s="215">
        <v>205</v>
      </c>
      <c r="K35" s="191">
        <v>661</v>
      </c>
      <c r="L35" s="191">
        <v>852</v>
      </c>
      <c r="M35" s="513">
        <v>934</v>
      </c>
      <c r="N35" s="215">
        <v>696</v>
      </c>
      <c r="O35" s="284" t="s">
        <v>93</v>
      </c>
      <c r="P35" s="4"/>
    </row>
    <row r="36" spans="1:16" ht="12.75" customHeight="1">
      <c r="A36" s="12"/>
      <c r="B36" s="15" t="s">
        <v>81</v>
      </c>
      <c r="C36" s="96">
        <v>9000</v>
      </c>
      <c r="D36" s="97">
        <v>7853</v>
      </c>
      <c r="E36" s="514">
        <v>7353</v>
      </c>
      <c r="F36" s="102">
        <v>7530</v>
      </c>
      <c r="G36" s="97">
        <v>3183</v>
      </c>
      <c r="H36" s="97">
        <v>4487</v>
      </c>
      <c r="I36" s="514">
        <v>4333</v>
      </c>
      <c r="J36" s="102">
        <v>5558</v>
      </c>
      <c r="K36" s="97">
        <v>2588</v>
      </c>
      <c r="L36" s="97">
        <v>2630</v>
      </c>
      <c r="M36" s="514">
        <v>2611</v>
      </c>
      <c r="N36" s="102">
        <v>2339</v>
      </c>
      <c r="O36" s="289" t="s">
        <v>81</v>
      </c>
      <c r="P36" s="4"/>
    </row>
    <row r="37" spans="1:16" ht="12.75" customHeight="1">
      <c r="A37" s="12"/>
      <c r="B37" s="174" t="s">
        <v>63</v>
      </c>
      <c r="C37" s="221">
        <v>38</v>
      </c>
      <c r="D37" s="222">
        <v>54</v>
      </c>
      <c r="E37" s="513">
        <v>30</v>
      </c>
      <c r="F37" s="215">
        <v>23</v>
      </c>
      <c r="G37" s="222">
        <v>11</v>
      </c>
      <c r="H37" s="222">
        <v>17</v>
      </c>
      <c r="I37" s="513">
        <v>12</v>
      </c>
      <c r="J37" s="215">
        <v>12</v>
      </c>
      <c r="K37" s="222">
        <v>7</v>
      </c>
      <c r="L37" s="222">
        <v>35</v>
      </c>
      <c r="M37" s="513">
        <v>14</v>
      </c>
      <c r="N37" s="215">
        <v>11</v>
      </c>
      <c r="O37" s="284" t="s">
        <v>63</v>
      </c>
      <c r="P37" s="4"/>
    </row>
    <row r="38" spans="1:16" ht="12.75" customHeight="1">
      <c r="A38" s="12"/>
      <c r="B38" s="14" t="s">
        <v>94</v>
      </c>
      <c r="C38" s="103">
        <v>127</v>
      </c>
      <c r="D38" s="93">
        <v>138</v>
      </c>
      <c r="E38" s="512">
        <v>105</v>
      </c>
      <c r="F38" s="101">
        <v>55</v>
      </c>
      <c r="G38" s="93">
        <v>308</v>
      </c>
      <c r="H38" s="93">
        <v>430</v>
      </c>
      <c r="I38" s="512">
        <v>315</v>
      </c>
      <c r="J38" s="101">
        <v>462</v>
      </c>
      <c r="K38" s="93">
        <v>502</v>
      </c>
      <c r="L38" s="93">
        <v>600</v>
      </c>
      <c r="M38" s="512">
        <v>423</v>
      </c>
      <c r="N38" s="101">
        <v>621</v>
      </c>
      <c r="O38" s="287" t="s">
        <v>94</v>
      </c>
      <c r="P38" s="4"/>
    </row>
    <row r="39" spans="1:16" ht="12.75" customHeight="1">
      <c r="A39" s="12"/>
      <c r="B39" s="176" t="s">
        <v>64</v>
      </c>
      <c r="C39" s="223">
        <v>777</v>
      </c>
      <c r="D39" s="224">
        <v>822</v>
      </c>
      <c r="E39" s="515">
        <v>521</v>
      </c>
      <c r="F39" s="218">
        <v>408</v>
      </c>
      <c r="G39" s="224">
        <v>111</v>
      </c>
      <c r="H39" s="224">
        <v>99</v>
      </c>
      <c r="I39" s="515">
        <v>124</v>
      </c>
      <c r="J39" s="218">
        <v>133</v>
      </c>
      <c r="K39" s="224">
        <v>487</v>
      </c>
      <c r="L39" s="224">
        <v>402</v>
      </c>
      <c r="M39" s="515">
        <v>431</v>
      </c>
      <c r="N39" s="218">
        <v>397</v>
      </c>
      <c r="O39" s="285" t="s">
        <v>64</v>
      </c>
      <c r="P39" s="4"/>
    </row>
    <row r="40" spans="2:15" ht="15" customHeight="1">
      <c r="B40" s="893" t="s">
        <v>194</v>
      </c>
      <c r="C40" s="893"/>
      <c r="D40" s="893"/>
      <c r="E40" s="893"/>
      <c r="F40" s="893"/>
      <c r="G40" s="893"/>
      <c r="H40" s="893"/>
      <c r="I40" s="893"/>
      <c r="J40" s="893"/>
      <c r="K40" s="893"/>
      <c r="L40" s="893"/>
      <c r="M40" s="75"/>
      <c r="N40" s="75"/>
      <c r="O40" s="75"/>
    </row>
    <row r="41" ht="12.75">
      <c r="B41" s="6" t="s">
        <v>225</v>
      </c>
    </row>
  </sheetData>
  <mergeCells count="9">
    <mergeCell ref="B40:L40"/>
    <mergeCell ref="C4:F4"/>
    <mergeCell ref="C5:F5"/>
    <mergeCell ref="G4:J4"/>
    <mergeCell ref="G5:J5"/>
    <mergeCell ref="B2:O2"/>
    <mergeCell ref="B3:O3"/>
    <mergeCell ref="K4:N4"/>
    <mergeCell ref="K5:N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2009-04-29T10:53:31Z</cp:lastPrinted>
  <dcterms:created xsi:type="dcterms:W3CDTF">2003-09-05T14:33:05Z</dcterms:created>
  <dcterms:modified xsi:type="dcterms:W3CDTF">2009-05-19T10:33:17Z</dcterms:modified>
  <cp:category/>
  <cp:version/>
  <cp:contentType/>
  <cp:contentStatus/>
</cp:coreProperties>
</file>