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'T2.2'!$A$65511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'freight_graph'!$B$1:$N$32</definedName>
    <definedName name="_xlnm.Print_Area" localSheetId="8">'iww'!$B$1:$Z$47</definedName>
    <definedName name="_xlnm.Print_Area" localSheetId="3">'perf_land _tkm'!$B$1:$G$49</definedName>
    <definedName name="_xlnm.Print_Area" localSheetId="2">'perf_mode_tkm'!$B$1:$J$50</definedName>
    <definedName name="_xlnm.Print_Area" localSheetId="9">'pipeline'!$B$1:$Z$48</definedName>
    <definedName name="_xlnm.Print_Area" localSheetId="7">'rail_tkm'!$B$1:$Y$43</definedName>
    <definedName name="_xlnm.Print_Area" localSheetId="5">'road_by_int'!$B$1:$Q$47</definedName>
    <definedName name="_xlnm.Print_Area" localSheetId="4">'road_by_nat'!$B$1:$T$44</definedName>
    <definedName name="_xlnm.Print_Area" localSheetId="6">'road_by_tot'!$B$1:$R$48</definedName>
    <definedName name="_xlnm.Print_Area" localSheetId="0">'T2.2'!$B$1:$E$26</definedName>
    <definedName name="_xlnm.Print_Area" localSheetId="10">'usa_goods'!$B$1:$G$64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<sst xmlns="http://schemas.openxmlformats.org/spreadsheetml/2006/main" count="1291" uniqueCount="146">
  <si>
    <t>Pipelines (Oil)</t>
  </si>
  <si>
    <t xml:space="preserve">      </t>
  </si>
  <si>
    <t xml:space="preserve">     </t>
  </si>
  <si>
    <t>Notes:</t>
  </si>
  <si>
    <t>MK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</si>
  <si>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</si>
  <si>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</si>
  <si>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</si>
  <si>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</si>
  <si>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</si>
  <si>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</si>
  <si>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</si>
  <si>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</si>
  <si>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</si>
  <si>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</si>
  <si>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</si>
  <si>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</si>
  <si>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</si>
  <si>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</si>
  <si>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</si>
  <si>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</si>
  <si>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</si>
  <si>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</si>
  <si>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</si>
  <si>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</si>
  <si>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</si>
  <si>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</si>
  <si>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</si>
  <si>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</si>
  <si>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</si>
  <si>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</si>
  <si>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</si>
  <si>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</si>
  <si>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</si>
  <si>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</si>
  <si>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</si>
  <si>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</si>
  <si>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</si>
  <si>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</si>
  <si>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</si>
  <si>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</si>
  <si>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Haulage by Vehicles Registered in the Reporting Country</t>
  </si>
  <si>
    <t>Inland Waterways</t>
  </si>
  <si>
    <t>Railways</t>
  </si>
  <si>
    <t>Road : National Haulage</t>
  </si>
  <si>
    <t>Sea</t>
  </si>
  <si>
    <t>Road</t>
  </si>
  <si>
    <t>Rail</t>
  </si>
  <si>
    <t>Air</t>
  </si>
  <si>
    <t>Total</t>
  </si>
  <si>
    <t>Pipelines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</si>
  <si>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</si>
  <si>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</si>
  <si>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</si>
  <si>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</si>
  <si>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</si>
  <si>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</si>
  <si>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</si>
  <si>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</si>
  <si>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</si>
  <si>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</si>
  <si>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</si>
  <si>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</si>
  <si>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</si>
  <si>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</si>
  <si>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</si>
  <si>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</si>
  <si>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</si>
  <si>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</si>
  <si>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</si>
  <si>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EU27</t>
  </si>
  <si>
    <t>Road: National Haulage</t>
  </si>
  <si>
    <t>Road: International Haulage</t>
  </si>
  <si>
    <t>Road: National and International Haulage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</si>
  <si>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</si>
  <si>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</si>
  <si>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</si>
  <si>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</si>
  <si>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</si>
  <si>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</si>
  <si>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</si>
  <si>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</si>
  <si>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</si>
  <si>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t>EU12</t>
  </si>
  <si>
    <t>Oil Pipeline</t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</si>
  <si>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</si>
  <si>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</si>
  <si>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</si>
  <si>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</si>
  <si>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</si>
  <si>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</si>
  <si>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</si>
  <si>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</si>
  <si>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</si>
  <si>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</si>
  <si>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</si>
  <si>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</si>
  <si>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</si>
  <si>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</si>
  <si>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Pipe- lines</t>
  </si>
  <si>
    <t xml:space="preserve">Notes: </t>
  </si>
  <si>
    <t>2000 - 2007</t>
  </si>
  <si>
    <t>Road : National and International Haulage(*)</t>
  </si>
  <si>
    <t>(*) (including cross-trade and cabotage)</t>
  </si>
  <si>
    <t>Road : International Haulage (*)</t>
  </si>
  <si>
    <t>(*) including cross-trade and cabotage</t>
  </si>
  <si>
    <t>Only haulage of heavy goods vehicles (usually &gt;3.5 tonnes load capacity)</t>
  </si>
  <si>
    <r>
      <t>CS:</t>
    </r>
    <r>
      <rPr>
        <sz val="8"/>
        <rFont val="Arial"/>
        <family val="0"/>
      </rPr>
      <t xml:space="preserve"> 1990: 4.42 (included in EU-27 and EU-12 totals)</t>
    </r>
  </si>
  <si>
    <r>
      <t>CS:</t>
    </r>
    <r>
      <rPr>
        <sz val="8"/>
        <rFont val="Arial"/>
        <family val="0"/>
      </rPr>
      <t xml:space="preserve"> 1990: 7.5</t>
    </r>
  </si>
  <si>
    <r>
      <t xml:space="preserve">DE: </t>
    </r>
    <r>
      <rPr>
        <sz val="8"/>
        <rFont val="Arial"/>
        <family val="0"/>
      </rPr>
      <t>from 1995 onwards: only crude oil (i.e. no refined petroleum products)</t>
    </r>
  </si>
  <si>
    <r>
      <t>Air</t>
    </r>
    <r>
      <rPr>
        <sz val="8"/>
        <rFont val="Arial"/>
        <family val="2"/>
      </rPr>
      <t xml:space="preserve"> and</t>
    </r>
    <r>
      <rPr>
        <b/>
        <sz val="8"/>
        <rFont val="Arial"/>
        <family val="2"/>
      </rPr>
      <t xml:space="preserve"> Sea:</t>
    </r>
    <r>
      <rPr>
        <sz val="8"/>
        <rFont val="Arial"/>
        <family val="2"/>
      </rPr>
      <t xml:space="preserve"> only domestic and intra-EU-27 transport; provisional estimates</t>
    </r>
  </si>
  <si>
    <r>
      <t>Road:</t>
    </r>
    <r>
      <rPr>
        <sz val="8"/>
        <rFont val="Arial"/>
        <family val="2"/>
      </rPr>
      <t xml:space="preserve"> national and international haulage by vehicles registered in the EU-27</t>
    </r>
  </si>
  <si>
    <t>Data are not harmonised and therefore not fully comparable; in most countries, only pipelines longer than 40km are included.</t>
  </si>
  <si>
    <t>Directorate-General for Mobility and Transport</t>
  </si>
  <si>
    <t>TRANSPORT IN FIGURES</t>
  </si>
  <si>
    <t>Part 2  :  TRANSPORT</t>
  </si>
  <si>
    <t>Chapter 2.2  :</t>
  </si>
  <si>
    <t>2.2.1</t>
  </si>
  <si>
    <t>2.2.2</t>
  </si>
  <si>
    <t>2.2.3</t>
  </si>
  <si>
    <t>2.2.4a</t>
  </si>
  <si>
    <t>2.2.4b</t>
  </si>
  <si>
    <t>2.2.4c</t>
  </si>
  <si>
    <t>2.2.5</t>
  </si>
  <si>
    <t>2.2.6</t>
  </si>
  <si>
    <t>2.2.7</t>
  </si>
  <si>
    <t>2.2.8</t>
  </si>
  <si>
    <r>
      <t>Source</t>
    </r>
    <r>
      <rPr>
        <sz val="8"/>
        <rFont val="Arial"/>
        <family val="2"/>
      </rPr>
      <t xml:space="preserve">: tables 2.2.4c to 2.2.7, estimates </t>
    </r>
  </si>
  <si>
    <t>1995 -2009</t>
  </si>
  <si>
    <t>2000 -2009</t>
  </si>
  <si>
    <t>2008-2009</t>
  </si>
  <si>
    <t>change 08/09</t>
  </si>
  <si>
    <t>% of total haulage</t>
  </si>
  <si>
    <t>thousand mio tonne-kilometres</t>
  </si>
  <si>
    <t>thoudand mio tkm</t>
  </si>
  <si>
    <t>thousand mio tkm</t>
  </si>
  <si>
    <r>
      <t xml:space="preserve">Source: </t>
    </r>
    <r>
      <rPr>
        <sz val="8"/>
        <rFont val="Arial"/>
        <family val="2"/>
      </rPr>
      <t>tables 2.2.4c to 2.2.7,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</si>
  <si>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0"/>
      </rPr>
      <t xml:space="preserve"> tables 2.2.4c to 2.2.7</t>
    </r>
  </si>
  <si>
    <r>
      <t>Road</t>
    </r>
    <r>
      <rPr>
        <sz val="8"/>
        <rFont val="Arial"/>
        <family val="0"/>
      </rPr>
      <t>: national and international haulage by vehicles registered in the EU-27</t>
    </r>
  </si>
  <si>
    <r>
      <t>Notes:</t>
    </r>
    <r>
      <rPr>
        <sz val="8"/>
        <rFont val="Arial"/>
        <family val="2"/>
      </rPr>
      <t xml:space="preserve"> only haulage of heavy goods vehicles (usually &gt;3.5 tonnes load capacity)</t>
    </r>
  </si>
  <si>
    <r>
      <t xml:space="preserve">(1):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</si>
  <si>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</si>
  <si>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>Notes: CS</t>
    </r>
    <r>
      <rPr>
        <sz val="8"/>
        <rFont val="Arial"/>
        <family val="2"/>
      </rPr>
      <t>: 1990: 59.4 (included in EU-27 and EU-12 totals)</t>
    </r>
  </si>
  <si>
    <r>
      <t xml:space="preserve">BG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RO</t>
    </r>
    <r>
      <rPr>
        <sz val="8"/>
        <rFont val="Arial"/>
        <family val="0"/>
      </rPr>
      <t>: data do not include transit traffic</t>
    </r>
  </si>
  <si>
    <r>
      <t>HR</t>
    </r>
    <r>
      <rPr>
        <sz val="8"/>
        <rFont val="Arial"/>
        <family val="2"/>
      </rPr>
      <t>: data include transit traffic from 2008 onward</t>
    </r>
  </si>
  <si>
    <r>
      <t xml:space="preserve">Notes: </t>
    </r>
    <r>
      <rPr>
        <sz val="8"/>
        <rFont val="Arial"/>
        <family val="2"/>
      </rPr>
      <t>(1) Intercity truck traffic only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</si>
</sst>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sz val="9"/>
      <name val="Arial"/>
      <family val="2"/>
    </font>
    <font>
      <b/>
      <sz val="7.25"/>
      <name val="Arial"/>
      <family val="2"/>
    </font>
    <font>
      <b/>
      <vertAlign val="subscript"/>
      <sz val="8"/>
      <name val="Arial"/>
      <family val="2"/>
    </font>
    <font>
      <b/>
      <sz val="8"/>
      <color indexed="9"/>
      <name val="Arial"/>
      <family val="0"/>
    </font>
  </fonts>
  <fills count="9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15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70" fontId="17" fillId="5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4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15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3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 vertical="center"/>
    </xf>
    <xf numFmtId="194" fontId="16" fillId="0" borderId="12" xfId="0" applyNumberFormat="1" applyFont="1" applyFill="1" applyBorder="1" applyAlignment="1">
      <alignment horizontal="right" vertical="center"/>
    </xf>
    <xf numFmtId="194" fontId="2" fillId="0" borderId="13" xfId="0" applyNumberFormat="1" applyFont="1" applyFill="1" applyBorder="1" applyAlignment="1">
      <alignment horizontal="right" vertical="center"/>
    </xf>
    <xf numFmtId="194" fontId="16" fillId="0" borderId="13" xfId="0" applyNumberFormat="1" applyFont="1" applyFill="1" applyBorder="1" applyAlignment="1">
      <alignment horizontal="right" vertical="center"/>
    </xf>
    <xf numFmtId="171" fontId="16" fillId="0" borderId="13" xfId="0" applyNumberFormat="1" applyFont="1" applyFill="1" applyBorder="1" applyAlignment="1">
      <alignment horizontal="right" vertical="center"/>
    </xf>
    <xf numFmtId="170" fontId="16" fillId="0" borderId="9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4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0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8" xfId="0" applyNumberFormat="1" applyFont="1" applyFill="1" applyBorder="1" applyAlignment="1">
      <alignment horizontal="right" vertical="center"/>
    </xf>
    <xf numFmtId="195" fontId="22" fillId="0" borderId="16" xfId="0" applyNumberFormat="1" applyFont="1" applyFill="1" applyBorder="1" applyAlignment="1">
      <alignment horizontal="right" vertical="center"/>
    </xf>
    <xf numFmtId="195" fontId="20" fillId="0" borderId="11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3" fontId="16" fillId="0" borderId="13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95" fontId="22" fillId="0" borderId="13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70" fontId="2" fillId="0" borderId="12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0" borderId="14" xfId="0" applyNumberFormat="1" applyFont="1" applyFill="1" applyBorder="1" applyAlignment="1">
      <alignment horizontal="right" vertical="center"/>
    </xf>
    <xf numFmtId="170" fontId="2" fillId="0" borderId="5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16" fillId="5" borderId="15" xfId="0" applyNumberFormat="1" applyFont="1" applyFill="1" applyBorder="1" applyAlignment="1">
      <alignment horizontal="right" vertical="center"/>
    </xf>
    <xf numFmtId="2" fontId="16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70" fontId="17" fillId="5" borderId="13" xfId="0" applyNumberFormat="1" applyFont="1" applyFill="1" applyBorder="1" applyAlignment="1">
      <alignment horizontal="right" vertical="center"/>
    </xf>
    <xf numFmtId="0" fontId="23" fillId="6" borderId="9" xfId="0" applyFont="1" applyFill="1" applyBorder="1" applyAlignment="1">
      <alignment horizontal="center" wrapText="1"/>
    </xf>
    <xf numFmtId="1" fontId="3" fillId="6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170" fontId="17" fillId="5" borderId="2" xfId="0" applyNumberFormat="1" applyFont="1" applyFill="1" applyBorder="1" applyAlignment="1">
      <alignment horizontal="right" vertical="center"/>
    </xf>
    <xf numFmtId="170" fontId="17" fillId="5" borderId="3" xfId="0" applyNumberFormat="1" applyFont="1" applyFill="1" applyBorder="1" applyAlignment="1">
      <alignment horizontal="right" vertical="center"/>
    </xf>
    <xf numFmtId="170" fontId="17" fillId="5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/>
    </xf>
    <xf numFmtId="170" fontId="2" fillId="5" borderId="4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0" fontId="2" fillId="6" borderId="3" xfId="0" applyFont="1" applyFill="1" applyBorder="1" applyAlignment="1" quotePrefix="1">
      <alignment horizontal="center" vertical="top" wrapText="1"/>
    </xf>
    <xf numFmtId="0" fontId="3" fillId="6" borderId="8" xfId="0" applyFont="1" applyFill="1" applyBorder="1" applyAlignment="1">
      <alignment horizontal="center" vertical="top"/>
    </xf>
    <xf numFmtId="170" fontId="3" fillId="0" borderId="2" xfId="0" applyNumberFormat="1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/>
    </xf>
    <xf numFmtId="193" fontId="2" fillId="0" borderId="25" xfId="0" applyNumberFormat="1" applyFont="1" applyFill="1" applyBorder="1" applyAlignment="1">
      <alignment horizontal="right"/>
    </xf>
    <xf numFmtId="193" fontId="2" fillId="0" borderId="26" xfId="0" applyNumberFormat="1" applyFont="1" applyFill="1" applyBorder="1" applyAlignment="1">
      <alignment horizontal="right"/>
    </xf>
    <xf numFmtId="193" fontId="2" fillId="0" borderId="27" xfId="0" applyNumberFormat="1" applyFont="1" applyFill="1" applyBorder="1" applyAlignment="1">
      <alignment horizontal="right"/>
    </xf>
    <xf numFmtId="170" fontId="17" fillId="5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0" fontId="3" fillId="5" borderId="2" xfId="0" applyNumberFormat="1" applyFont="1" applyFill="1" applyBorder="1" applyAlignment="1">
      <alignment horizontal="right" vertical="center"/>
    </xf>
    <xf numFmtId="170" fontId="3" fillId="5" borderId="13" xfId="0" applyNumberFormat="1" applyFont="1" applyFill="1" applyBorder="1" applyAlignment="1">
      <alignment horizontal="right" vertical="center"/>
    </xf>
    <xf numFmtId="170" fontId="3" fillId="5" borderId="3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/>
    </xf>
    <xf numFmtId="170" fontId="3" fillId="5" borderId="13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70" fontId="3" fillId="5" borderId="0" xfId="0" applyNumberFormat="1" applyFont="1" applyFill="1" applyBorder="1" applyAlignment="1">
      <alignment horizontal="right"/>
    </xf>
    <xf numFmtId="170" fontId="17" fillId="5" borderId="4" xfId="0" applyNumberFormat="1" applyFont="1" applyFill="1" applyBorder="1" applyAlignment="1">
      <alignment horizontal="right"/>
    </xf>
    <xf numFmtId="170" fontId="17" fillId="5" borderId="5" xfId="0" applyNumberFormat="1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 vertical="center" wrapText="1"/>
    </xf>
    <xf numFmtId="195" fontId="22" fillId="0" borderId="8" xfId="0" applyNumberFormat="1" applyFont="1" applyFill="1" applyBorder="1" applyAlignment="1">
      <alignment horizontal="right" vertical="center"/>
    </xf>
    <xf numFmtId="195" fontId="20" fillId="0" borderId="3" xfId="0" applyNumberFormat="1" applyFont="1" applyFill="1" applyBorder="1" applyAlignment="1">
      <alignment horizontal="right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5" xfId="0" applyNumberFormat="1" applyFont="1" applyFill="1" applyBorder="1" applyAlignment="1">
      <alignment horizontal="right" vertical="center"/>
    </xf>
    <xf numFmtId="185" fontId="22" fillId="0" borderId="10" xfId="0" applyNumberFormat="1" applyFont="1" applyFill="1" applyBorder="1" applyAlignment="1">
      <alignment horizontal="right" vertical="center"/>
    </xf>
    <xf numFmtId="194" fontId="17" fillId="0" borderId="2" xfId="0" applyNumberFormat="1" applyFont="1" applyFill="1" applyBorder="1" applyAlignment="1">
      <alignment horizontal="right" vertical="center"/>
    </xf>
    <xf numFmtId="194" fontId="17" fillId="0" borderId="4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 wrapText="1"/>
    </xf>
    <xf numFmtId="195" fontId="22" fillId="0" borderId="6" xfId="0" applyNumberFormat="1" applyFont="1" applyFill="1" applyBorder="1" applyAlignment="1">
      <alignment horizontal="right" vertical="center"/>
    </xf>
    <xf numFmtId="195" fontId="22" fillId="0" borderId="7" xfId="0" applyNumberFormat="1" applyFont="1" applyFill="1" applyBorder="1" applyAlignment="1">
      <alignment horizontal="right" vertical="center"/>
    </xf>
    <xf numFmtId="195" fontId="20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95" fontId="2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2" fontId="17" fillId="5" borderId="13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 quotePrefix="1">
      <alignment vertical="top" wrapText="1"/>
    </xf>
    <xf numFmtId="0" fontId="3" fillId="0" borderId="13" xfId="0" applyFont="1" applyFill="1" applyBorder="1" applyAlignment="1" quotePrefix="1">
      <alignment wrapText="1"/>
    </xf>
    <xf numFmtId="189" fontId="16" fillId="0" borderId="12" xfId="0" applyNumberFormat="1" applyFont="1" applyFill="1" applyBorder="1" applyAlignment="1">
      <alignment horizontal="center" vertical="center"/>
    </xf>
    <xf numFmtId="189" fontId="16" fillId="0" borderId="13" xfId="0" applyNumberFormat="1" applyFont="1" applyFill="1" applyBorder="1" applyAlignment="1">
      <alignment horizontal="center" vertical="center"/>
    </xf>
    <xf numFmtId="189" fontId="16" fillId="0" borderId="9" xfId="0" applyNumberFormat="1" applyFont="1" applyFill="1" applyBorder="1" applyAlignment="1">
      <alignment horizontal="center" vertical="center"/>
    </xf>
    <xf numFmtId="189" fontId="16" fillId="0" borderId="15" xfId="0" applyNumberFormat="1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>
      <alignment horizontal="center" vertical="center"/>
    </xf>
    <xf numFmtId="189" fontId="16" fillId="0" borderId="8" xfId="0" applyNumberFormat="1" applyFont="1" applyFill="1" applyBorder="1" applyAlignment="1">
      <alignment horizontal="center" vertical="center"/>
    </xf>
    <xf numFmtId="189" fontId="16" fillId="0" borderId="14" xfId="0" applyNumberFormat="1" applyFont="1" applyFill="1" applyBorder="1" applyAlignment="1">
      <alignment horizontal="center" vertical="center"/>
    </xf>
    <xf numFmtId="189" fontId="16" fillId="0" borderId="5" xfId="0" applyNumberFormat="1" applyFont="1" applyFill="1" applyBorder="1" applyAlignment="1">
      <alignment horizontal="center" vertical="center"/>
    </xf>
    <xf numFmtId="189" fontId="16" fillId="0" borderId="10" xfId="0" applyNumberFormat="1" applyFont="1" applyFill="1" applyBorder="1" applyAlignment="1">
      <alignment horizontal="center" vertical="center"/>
    </xf>
    <xf numFmtId="1" fontId="3" fillId="7" borderId="2" xfId="0" applyNumberFormat="1" applyFont="1" applyFill="1" applyBorder="1" applyAlignment="1">
      <alignment horizontal="center" vertical="center"/>
    </xf>
    <xf numFmtId="1" fontId="17" fillId="5" borderId="12" xfId="0" applyNumberFormat="1" applyFont="1" applyFill="1" applyBorder="1" applyAlignment="1">
      <alignment horizontal="right" vertical="center"/>
    </xf>
    <xf numFmtId="1" fontId="17" fillId="5" borderId="13" xfId="0" applyNumberFormat="1" applyFont="1" applyFill="1" applyBorder="1" applyAlignment="1">
      <alignment horizontal="right" vertical="center"/>
    </xf>
    <xf numFmtId="2" fontId="17" fillId="5" borderId="15" xfId="0" applyNumberFormat="1" applyFont="1" applyFill="1" applyBorder="1" applyAlignment="1">
      <alignment horizontal="right" vertical="center"/>
    </xf>
    <xf numFmtId="2" fontId="17" fillId="5" borderId="0" xfId="0" applyNumberFormat="1" applyFont="1" applyFill="1" applyBorder="1" applyAlignment="1">
      <alignment horizontal="right" vertical="center"/>
    </xf>
    <xf numFmtId="2" fontId="17" fillId="5" borderId="14" xfId="0" applyNumberFormat="1" applyFont="1" applyFill="1" applyBorder="1" applyAlignment="1">
      <alignment horizontal="right" vertical="center"/>
    </xf>
    <xf numFmtId="2" fontId="2" fillId="0" borderId="31" xfId="0" applyNumberFormat="1" applyFont="1" applyFill="1" applyBorder="1" applyAlignment="1">
      <alignment horizontal="right" vertical="center"/>
    </xf>
    <xf numFmtId="2" fontId="2" fillId="0" borderId="32" xfId="0" applyNumberFormat="1" applyFont="1" applyFill="1" applyBorder="1" applyAlignment="1">
      <alignment horizontal="right" vertical="center"/>
    </xf>
    <xf numFmtId="2" fontId="2" fillId="5" borderId="3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wrapText="1"/>
    </xf>
    <xf numFmtId="1" fontId="28" fillId="8" borderId="13" xfId="0" applyNumberFormat="1" applyFont="1" applyFill="1" applyBorder="1" applyAlignment="1">
      <alignment horizontal="center" vertical="center"/>
    </xf>
    <xf numFmtId="170" fontId="17" fillId="5" borderId="13" xfId="0" applyNumberFormat="1" applyFont="1" applyFill="1" applyBorder="1" applyAlignment="1">
      <alignment horizontal="right"/>
    </xf>
    <xf numFmtId="170" fontId="17" fillId="5" borderId="0" xfId="0" applyNumberFormat="1" applyFont="1" applyFill="1" applyBorder="1" applyAlignment="1">
      <alignment horizontal="right"/>
    </xf>
    <xf numFmtId="2" fontId="16" fillId="0" borderId="3" xfId="0" applyNumberFormat="1" applyFont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16" fillId="5" borderId="3" xfId="0" applyNumberFormat="1" applyFont="1" applyFill="1" applyBorder="1" applyAlignment="1">
      <alignment horizontal="right" vertical="center"/>
    </xf>
    <xf numFmtId="2" fontId="16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/>
    </xf>
    <xf numFmtId="2" fontId="2" fillId="5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Fill="1" applyBorder="1" applyAlignment="1" quotePrefix="1">
      <alignment horizontal="left" vertical="top" wrapText="1"/>
    </xf>
    <xf numFmtId="0" fontId="3" fillId="0" borderId="13" xfId="0" applyFont="1" applyFill="1" applyBorder="1" applyAlignment="1" quotePrefix="1">
      <alignment horizontal="left" wrapText="1"/>
    </xf>
    <xf numFmtId="0" fontId="3" fillId="0" borderId="13" xfId="0" applyFont="1" applyFill="1" applyBorder="1" applyAlignment="1" quotePrefix="1">
      <alignment wrapText="1"/>
    </xf>
    <xf numFmtId="0" fontId="0" fillId="6" borderId="4" xfId="0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6" borderId="3" xfId="0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1995 - 2009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725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75"/>
          <c:w val="0.99825"/>
          <c:h val="0.824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7067444"/>
        <c:axId val="43844949"/>
      </c:line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067444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56"/>
          <c:w val="0.941"/>
          <c:h val="0.039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13</xdr:col>
      <xdr:colOff>371475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04775" y="381000"/>
        <a:ext cx="5886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>
    <pageSetUpPr fitToPage="1"/>
  </sheetPr>
  <dimension ref="B1:E70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99" t="s">
        <v>65</v>
      </c>
      <c r="C1" s="399"/>
      <c r="D1" s="399"/>
      <c r="E1" s="399"/>
    </row>
    <row r="2" spans="2:5" ht="19.5" customHeight="1">
      <c r="B2" s="400" t="s">
        <v>66</v>
      </c>
      <c r="C2" s="400"/>
      <c r="D2" s="400"/>
      <c r="E2" s="400"/>
    </row>
    <row r="3" spans="2:5" ht="19.5" customHeight="1">
      <c r="B3" s="401" t="s">
        <v>113</v>
      </c>
      <c r="C3" s="401"/>
      <c r="D3" s="401"/>
      <c r="E3" s="401"/>
    </row>
    <row r="4" spans="2:5" ht="19.5" customHeight="1">
      <c r="B4" s="402" t="s">
        <v>67</v>
      </c>
      <c r="C4" s="402"/>
      <c r="D4" s="402"/>
      <c r="E4" s="402"/>
    </row>
    <row r="5" spans="2:5" ht="19.5" customHeight="1">
      <c r="B5" s="62"/>
      <c r="C5" s="62"/>
      <c r="D5" s="62"/>
      <c r="E5" s="62"/>
    </row>
    <row r="6" ht="19.5" customHeight="1"/>
    <row r="7" spans="2:5" ht="19.5" customHeight="1">
      <c r="B7" s="399" t="s">
        <v>114</v>
      </c>
      <c r="C7" s="399"/>
      <c r="D7" s="399"/>
      <c r="E7" s="399"/>
    </row>
    <row r="8" spans="2:5" ht="19.5" customHeight="1">
      <c r="B8" s="398">
        <v>2011</v>
      </c>
      <c r="C8" s="398"/>
      <c r="D8" s="398"/>
      <c r="E8" s="398"/>
    </row>
    <row r="9" spans="2:5" ht="19.5" customHeight="1">
      <c r="B9" s="63"/>
      <c r="C9" s="63"/>
      <c r="D9" s="63"/>
      <c r="E9" s="63"/>
    </row>
    <row r="10" spans="2:5" ht="19.5" customHeight="1">
      <c r="B10" s="396" t="s">
        <v>115</v>
      </c>
      <c r="C10" s="396"/>
      <c r="D10" s="396"/>
      <c r="E10" s="396"/>
    </row>
    <row r="11" spans="2:5" ht="19.5" customHeight="1">
      <c r="B11" s="7"/>
      <c r="E11" s="7"/>
    </row>
    <row r="12" spans="2:5" ht="19.5" customHeight="1">
      <c r="B12" s="397" t="s">
        <v>116</v>
      </c>
      <c r="C12" s="397"/>
      <c r="D12" s="397"/>
      <c r="E12" s="397"/>
    </row>
    <row r="13" spans="2:5" ht="19.5" customHeight="1">
      <c r="B13" s="397" t="s">
        <v>68</v>
      </c>
      <c r="C13" s="397"/>
      <c r="D13" s="397"/>
      <c r="E13" s="397"/>
    </row>
    <row r="14" spans="2:5" ht="19.5" customHeight="1">
      <c r="B14" s="397" t="s">
        <v>69</v>
      </c>
      <c r="C14" s="397"/>
      <c r="D14" s="397"/>
      <c r="E14" s="397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7" t="s">
        <v>117</v>
      </c>
      <c r="C17" s="58"/>
      <c r="D17" s="59" t="s">
        <v>60</v>
      </c>
      <c r="E17" s="7"/>
    </row>
    <row r="18" spans="2:5" ht="15" customHeight="1">
      <c r="B18" s="57" t="s">
        <v>118</v>
      </c>
      <c r="C18" s="58"/>
      <c r="D18" s="59" t="s">
        <v>61</v>
      </c>
      <c r="E18" s="7"/>
    </row>
    <row r="19" spans="2:5" ht="15" customHeight="1">
      <c r="B19" s="57" t="s">
        <v>119</v>
      </c>
      <c r="C19" s="58"/>
      <c r="D19" s="59" t="s">
        <v>62</v>
      </c>
      <c r="E19" s="7"/>
    </row>
    <row r="20" spans="2:5" ht="15" customHeight="1">
      <c r="B20" s="57" t="s">
        <v>120</v>
      </c>
      <c r="C20" s="58"/>
      <c r="D20" s="59" t="s">
        <v>71</v>
      </c>
      <c r="E20" s="7"/>
    </row>
    <row r="21" spans="2:4" ht="15" customHeight="1">
      <c r="B21" s="57" t="s">
        <v>121</v>
      </c>
      <c r="C21" s="58"/>
      <c r="D21" s="59" t="s">
        <v>72</v>
      </c>
    </row>
    <row r="22" spans="2:4" ht="15" customHeight="1">
      <c r="B22" s="57" t="s">
        <v>122</v>
      </c>
      <c r="C22" s="58"/>
      <c r="D22" s="59" t="s">
        <v>73</v>
      </c>
    </row>
    <row r="23" spans="2:4" ht="15" customHeight="1">
      <c r="B23" s="57" t="s">
        <v>123</v>
      </c>
      <c r="C23" s="60"/>
      <c r="D23" s="61" t="s">
        <v>63</v>
      </c>
    </row>
    <row r="24" spans="2:5" ht="15" customHeight="1">
      <c r="B24" s="57" t="s">
        <v>124</v>
      </c>
      <c r="C24" s="60"/>
      <c r="D24" s="61" t="s">
        <v>42</v>
      </c>
      <c r="E24" s="7"/>
    </row>
    <row r="25" spans="2:5" ht="15" customHeight="1">
      <c r="B25" s="57" t="s">
        <v>125</v>
      </c>
      <c r="C25" s="60"/>
      <c r="D25" s="61" t="s">
        <v>64</v>
      </c>
      <c r="E25" s="7"/>
    </row>
    <row r="26" spans="2:5" ht="15" customHeight="1">
      <c r="B26" s="57" t="s">
        <v>126</v>
      </c>
      <c r="D26" s="59" t="s">
        <v>89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8:E8"/>
    <mergeCell ref="B1:E1"/>
    <mergeCell ref="B2:E2"/>
    <mergeCell ref="B3:E3"/>
    <mergeCell ref="B4:E4"/>
    <mergeCell ref="B7:E7"/>
    <mergeCell ref="B10:E10"/>
    <mergeCell ref="B12:E12"/>
    <mergeCell ref="B13:E13"/>
    <mergeCell ref="B14:E1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AB46"/>
  <sheetViews>
    <sheetView workbookViewId="0" topLeftCell="A1">
      <selection activeCell="B1" sqref="B1:E16384"/>
    </sheetView>
  </sheetViews>
  <sheetFormatPr defaultColWidth="9.140625" defaultRowHeight="12.75"/>
  <cols>
    <col min="1" max="1" width="3.7109375" style="5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2.8515625" style="3" customWidth="1"/>
    <col min="28" max="16384" width="9.140625" style="3" customWidth="1"/>
  </cols>
  <sheetData>
    <row r="1" spans="2:28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125</v>
      </c>
      <c r="AB1"/>
    </row>
    <row r="2" spans="1:28" s="54" customFormat="1" ht="30" customHeight="1">
      <c r="A2" s="56"/>
      <c r="B2" s="394" t="s">
        <v>0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97"/>
      <c r="AB2"/>
    </row>
    <row r="3" spans="2:28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W3" s="391" t="s">
        <v>135</v>
      </c>
      <c r="X3" s="391"/>
      <c r="Y3" s="6"/>
      <c r="Z3" s="52"/>
      <c r="AA3" s="52"/>
      <c r="AB3"/>
    </row>
    <row r="4" spans="2:28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  <c r="AB4"/>
    </row>
    <row r="5" spans="2:28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2"/>
      <c r="AA5" s="2"/>
      <c r="AB5"/>
    </row>
    <row r="6" spans="2:28" ht="12.75" customHeight="1">
      <c r="B6" s="104" t="s">
        <v>70</v>
      </c>
      <c r="C6" s="323"/>
      <c r="D6" s="323"/>
      <c r="E6" s="324"/>
      <c r="F6" s="324"/>
      <c r="G6" s="324"/>
      <c r="H6" s="324"/>
      <c r="I6" s="324">
        <f aca="true" t="shared" si="0" ref="I6:N6">SUM(I9:I35)</f>
        <v>115.488</v>
      </c>
      <c r="J6" s="374">
        <f t="shared" si="0"/>
        <v>114.90729999999999</v>
      </c>
      <c r="K6" s="374">
        <f t="shared" si="0"/>
        <v>119.3301</v>
      </c>
      <c r="L6" s="374">
        <f t="shared" si="0"/>
        <v>118.179</v>
      </c>
      <c r="M6" s="374">
        <f t="shared" si="0"/>
        <v>125.38799999999999</v>
      </c>
      <c r="N6" s="374">
        <f t="shared" si="0"/>
        <v>124.228</v>
      </c>
      <c r="O6" s="374">
        <f>SUM(O9:O35)</f>
        <v>126.67869999999999</v>
      </c>
      <c r="P6" s="374">
        <f aca="true" t="shared" si="1" ref="P6:U6">SUM(P9:P35)</f>
        <v>133.0403</v>
      </c>
      <c r="Q6" s="374">
        <f t="shared" si="1"/>
        <v>128.44559999999998</v>
      </c>
      <c r="R6" s="374">
        <f t="shared" si="1"/>
        <v>130.3528</v>
      </c>
      <c r="S6" s="374">
        <f t="shared" si="1"/>
        <v>131.6473606</v>
      </c>
      <c r="T6" s="374">
        <f t="shared" si="1"/>
        <v>136.0025038</v>
      </c>
      <c r="U6" s="374">
        <f t="shared" si="1"/>
        <v>135.3792498</v>
      </c>
      <c r="V6" s="374">
        <f>SUM(V9:V35)</f>
        <v>127.35617599999999</v>
      </c>
      <c r="W6" s="374">
        <f>SUM(W9:W35)</f>
        <v>123.74551739999998</v>
      </c>
      <c r="X6" s="374">
        <f>SUM(X9:X35)</f>
        <v>120.189279</v>
      </c>
      <c r="Y6" s="277">
        <f>100*(X6/W6-1)</f>
        <v>-2.873832098907192</v>
      </c>
      <c r="Z6" s="115" t="s">
        <v>70</v>
      </c>
      <c r="AA6" s="2"/>
      <c r="AB6"/>
    </row>
    <row r="7" spans="1:28" ht="12.75" customHeight="1">
      <c r="A7" s="16"/>
      <c r="B7" s="105" t="s">
        <v>25</v>
      </c>
      <c r="C7" s="325">
        <f>C9+C12+C13+C17+C18+C19+C26+C27+C35</f>
        <v>63.736999999999995</v>
      </c>
      <c r="D7" s="325">
        <f aca="true" t="shared" si="2" ref="D7:N7">D9+D12+D13+D17+D18+D19+D26+D27+D35</f>
        <v>84.88300000000001</v>
      </c>
      <c r="E7" s="326">
        <f t="shared" si="2"/>
        <v>71.698</v>
      </c>
      <c r="F7" s="326">
        <f t="shared" si="2"/>
        <v>78.92500000000001</v>
      </c>
      <c r="G7" s="326">
        <f t="shared" si="2"/>
        <v>80.76199999999999</v>
      </c>
      <c r="H7" s="326">
        <f t="shared" si="2"/>
        <v>82.181</v>
      </c>
      <c r="I7" s="326">
        <f t="shared" si="2"/>
        <v>83.14699999999999</v>
      </c>
      <c r="J7" s="326">
        <f t="shared" si="2"/>
        <v>80.189</v>
      </c>
      <c r="K7" s="326">
        <f t="shared" si="2"/>
        <v>82.18900000000001</v>
      </c>
      <c r="L7" s="326">
        <f t="shared" si="2"/>
        <v>82.215</v>
      </c>
      <c r="M7" s="326">
        <f t="shared" si="2"/>
        <v>85.29</v>
      </c>
      <c r="N7" s="326">
        <f t="shared" si="2"/>
        <v>84.852</v>
      </c>
      <c r="O7" s="326">
        <f>O9+O12+O13+O17+O18+O19+O26+O27+O29+O35</f>
        <v>86.155</v>
      </c>
      <c r="P7" s="375">
        <f>P9+P12+P13+P17+P18+P19+P26+P27+P29+P35</f>
        <v>88.553</v>
      </c>
      <c r="Q7" s="375">
        <f aca="true" t="shared" si="3" ref="Q7:V7">Q9+Q12+Q13+Q16+Q17+Q18+Q19+Q26+Q27+Q29+Q35</f>
        <v>86.70100000000001</v>
      </c>
      <c r="R7" s="375">
        <f t="shared" si="3"/>
        <v>87.139</v>
      </c>
      <c r="S7" s="375">
        <f t="shared" si="3"/>
        <v>87.4819606</v>
      </c>
      <c r="T7" s="375">
        <f t="shared" si="3"/>
        <v>90.02350379999999</v>
      </c>
      <c r="U7" s="375">
        <f t="shared" si="3"/>
        <v>90.17754980000001</v>
      </c>
      <c r="V7" s="375">
        <f t="shared" si="3"/>
        <v>87.465576</v>
      </c>
      <c r="W7" s="375">
        <f>W9+W12+W13+W16+W17+W18+W19+W26+W27+W30+W35</f>
        <v>88.41499999999999</v>
      </c>
      <c r="X7" s="375">
        <f>X9+X12+X13+X16+X17+X18+X19+X26+X27+X30+X35</f>
        <v>83.93207899999999</v>
      </c>
      <c r="Y7" s="278">
        <f aca="true" t="shared" si="4" ref="Y7:Y41">100*(X7/W7-1)</f>
        <v>-5.070317253859646</v>
      </c>
      <c r="Z7" s="116" t="s">
        <v>25</v>
      </c>
      <c r="AB7"/>
    </row>
    <row r="8" spans="1:28" ht="12.75" customHeight="1">
      <c r="A8" s="16"/>
      <c r="B8" s="108" t="s">
        <v>83</v>
      </c>
      <c r="C8" s="327"/>
      <c r="D8" s="327"/>
      <c r="E8" s="328"/>
      <c r="F8" s="328"/>
      <c r="G8" s="328"/>
      <c r="H8" s="328"/>
      <c r="I8" s="328">
        <f aca="true" t="shared" si="5" ref="I8:N8">I6-I7</f>
        <v>32.34100000000001</v>
      </c>
      <c r="J8" s="328">
        <f t="shared" si="5"/>
        <v>34.7183</v>
      </c>
      <c r="K8" s="328">
        <f t="shared" si="5"/>
        <v>37.141099999999994</v>
      </c>
      <c r="L8" s="328">
        <f t="shared" si="5"/>
        <v>35.964</v>
      </c>
      <c r="M8" s="328">
        <f t="shared" si="5"/>
        <v>40.097999999999985</v>
      </c>
      <c r="N8" s="328">
        <f t="shared" si="5"/>
        <v>39.37599999999999</v>
      </c>
      <c r="O8" s="328">
        <f>O6-O7</f>
        <v>40.52369999999999</v>
      </c>
      <c r="P8" s="328">
        <f aca="true" t="shared" si="6" ref="P8:X8">P6-P7</f>
        <v>44.487300000000005</v>
      </c>
      <c r="Q8" s="328">
        <f t="shared" si="6"/>
        <v>41.74459999999998</v>
      </c>
      <c r="R8" s="328">
        <f t="shared" si="6"/>
        <v>43.213800000000006</v>
      </c>
      <c r="S8" s="328">
        <f t="shared" si="6"/>
        <v>44.16540000000002</v>
      </c>
      <c r="T8" s="328">
        <f t="shared" si="6"/>
        <v>45.97900000000001</v>
      </c>
      <c r="U8" s="328">
        <f t="shared" si="6"/>
        <v>45.20169999999999</v>
      </c>
      <c r="V8" s="328">
        <f t="shared" si="6"/>
        <v>39.89059999999999</v>
      </c>
      <c r="W8" s="328">
        <f t="shared" si="6"/>
        <v>35.33051739999999</v>
      </c>
      <c r="X8" s="328">
        <f t="shared" si="6"/>
        <v>36.25720000000001</v>
      </c>
      <c r="Y8" s="279">
        <f t="shared" si="4"/>
        <v>2.622895638658318</v>
      </c>
      <c r="Z8" s="108" t="s">
        <v>83</v>
      </c>
      <c r="AB8"/>
    </row>
    <row r="9" spans="1:28" ht="12.75" customHeight="1">
      <c r="A9" s="16"/>
      <c r="B9" s="18" t="s">
        <v>26</v>
      </c>
      <c r="C9" s="163">
        <v>0.27</v>
      </c>
      <c r="D9" s="163">
        <v>1.802</v>
      </c>
      <c r="E9" s="153">
        <v>1.024</v>
      </c>
      <c r="F9" s="153">
        <v>1.13</v>
      </c>
      <c r="G9" s="153">
        <v>1.168</v>
      </c>
      <c r="H9" s="153">
        <v>1.263</v>
      </c>
      <c r="I9" s="153">
        <v>1.37</v>
      </c>
      <c r="J9" s="153">
        <v>1.37</v>
      </c>
      <c r="K9" s="153">
        <v>1.45</v>
      </c>
      <c r="L9" s="153">
        <v>1.526</v>
      </c>
      <c r="M9" s="153">
        <v>1.57</v>
      </c>
      <c r="N9" s="153">
        <v>1.577</v>
      </c>
      <c r="O9" s="153">
        <v>1.624</v>
      </c>
      <c r="P9" s="154">
        <v>1.544</v>
      </c>
      <c r="Q9" s="154">
        <v>1.511</v>
      </c>
      <c r="R9" s="154">
        <v>1.518</v>
      </c>
      <c r="S9" s="154">
        <v>1.533</v>
      </c>
      <c r="T9" s="154">
        <v>1.517</v>
      </c>
      <c r="U9" s="154">
        <v>1.572</v>
      </c>
      <c r="V9" s="154">
        <v>1.494</v>
      </c>
      <c r="W9" s="154">
        <v>1.45</v>
      </c>
      <c r="X9" s="154">
        <v>1.4</v>
      </c>
      <c r="Y9" s="376">
        <f t="shared" si="4"/>
        <v>-3.4482758620689724</v>
      </c>
      <c r="Z9" s="17" t="s">
        <v>26</v>
      </c>
      <c r="AB9"/>
    </row>
    <row r="10" spans="1:28" ht="12.75" customHeight="1">
      <c r="A10" s="16"/>
      <c r="B10" s="105" t="s">
        <v>8</v>
      </c>
      <c r="C10" s="176">
        <v>0</v>
      </c>
      <c r="D10" s="176">
        <v>0.75</v>
      </c>
      <c r="E10" s="129">
        <v>0.64</v>
      </c>
      <c r="F10" s="129">
        <v>0.454</v>
      </c>
      <c r="G10" s="129">
        <v>0.259</v>
      </c>
      <c r="H10" s="129">
        <v>0.3</v>
      </c>
      <c r="I10" s="129">
        <v>0.36</v>
      </c>
      <c r="J10" s="129">
        <v>0.41</v>
      </c>
      <c r="K10" s="129">
        <v>0.36</v>
      </c>
      <c r="L10" s="129">
        <v>0.26</v>
      </c>
      <c r="M10" s="129">
        <v>0.244</v>
      </c>
      <c r="N10" s="129">
        <v>0.33</v>
      </c>
      <c r="O10" s="129">
        <v>0.379</v>
      </c>
      <c r="P10" s="129">
        <v>0.339</v>
      </c>
      <c r="Q10" s="129">
        <v>0.286</v>
      </c>
      <c r="R10" s="129">
        <v>0.282</v>
      </c>
      <c r="S10" s="129">
        <v>0.274</v>
      </c>
      <c r="T10" s="129">
        <v>0.352</v>
      </c>
      <c r="U10" s="129">
        <v>0.3566</v>
      </c>
      <c r="V10" s="129">
        <v>0.4196</v>
      </c>
      <c r="W10" s="129">
        <f>0.4198</f>
        <v>0.4198</v>
      </c>
      <c r="X10" s="129">
        <v>0.4365</v>
      </c>
      <c r="Y10" s="176">
        <f t="shared" si="4"/>
        <v>3.9780848022868076</v>
      </c>
      <c r="Z10" s="105" t="s">
        <v>8</v>
      </c>
      <c r="AB10"/>
    </row>
    <row r="11" spans="1:28" ht="12.75" customHeight="1">
      <c r="A11" s="16"/>
      <c r="B11" s="18" t="s">
        <v>10</v>
      </c>
      <c r="C11" s="162"/>
      <c r="D11" s="162"/>
      <c r="E11" s="121"/>
      <c r="F11" s="121"/>
      <c r="G11" s="121"/>
      <c r="H11" s="121">
        <v>1.98</v>
      </c>
      <c r="I11" s="121">
        <v>2.18</v>
      </c>
      <c r="J11" s="121">
        <v>2.276</v>
      </c>
      <c r="K11" s="121">
        <v>2.27</v>
      </c>
      <c r="L11" s="121">
        <v>2.11</v>
      </c>
      <c r="M11" s="121">
        <v>2.078</v>
      </c>
      <c r="N11" s="121">
        <v>1.795</v>
      </c>
      <c r="O11" s="121">
        <v>1.612</v>
      </c>
      <c r="P11" s="121">
        <v>1.661</v>
      </c>
      <c r="Q11" s="121">
        <v>1.717</v>
      </c>
      <c r="R11" s="121">
        <v>1.82</v>
      </c>
      <c r="S11" s="121">
        <v>1.902</v>
      </c>
      <c r="T11" s="121">
        <v>2.259</v>
      </c>
      <c r="U11" s="121">
        <v>2.291</v>
      </c>
      <c r="V11" s="121">
        <v>2.079</v>
      </c>
      <c r="W11" s="121">
        <v>2.315</v>
      </c>
      <c r="X11" s="121">
        <v>2.156</v>
      </c>
      <c r="Y11" s="377">
        <f t="shared" si="4"/>
        <v>-6.868250539956799</v>
      </c>
      <c r="Z11" s="18" t="s">
        <v>10</v>
      </c>
      <c r="AB11"/>
    </row>
    <row r="12" spans="1:28" ht="12.75" customHeight="1">
      <c r="A12" s="16"/>
      <c r="B12" s="105" t="s">
        <v>21</v>
      </c>
      <c r="C12" s="176"/>
      <c r="D12" s="176"/>
      <c r="E12" s="129">
        <v>2.016</v>
      </c>
      <c r="F12" s="129">
        <v>2.361</v>
      </c>
      <c r="G12" s="129">
        <v>2.624</v>
      </c>
      <c r="H12" s="129">
        <v>2.797</v>
      </c>
      <c r="I12" s="129">
        <v>3.087</v>
      </c>
      <c r="J12" s="129">
        <v>3.109</v>
      </c>
      <c r="K12" s="129">
        <v>3.461</v>
      </c>
      <c r="L12" s="129">
        <v>3.823</v>
      </c>
      <c r="M12" s="129">
        <v>3.921</v>
      </c>
      <c r="N12" s="129">
        <v>4.271</v>
      </c>
      <c r="O12" s="129">
        <v>4.69</v>
      </c>
      <c r="P12" s="129">
        <v>4.695</v>
      </c>
      <c r="Q12" s="129">
        <v>5.103</v>
      </c>
      <c r="R12" s="129">
        <v>5.154</v>
      </c>
      <c r="S12" s="129">
        <v>5.254</v>
      </c>
      <c r="T12" s="129">
        <v>5.125</v>
      </c>
      <c r="U12" s="129">
        <v>4.872</v>
      </c>
      <c r="V12" s="129">
        <v>4.627</v>
      </c>
      <c r="W12" s="129">
        <v>4.209</v>
      </c>
      <c r="X12" s="129">
        <v>3.895</v>
      </c>
      <c r="Y12" s="176">
        <f t="shared" si="4"/>
        <v>-7.460204324067465</v>
      </c>
      <c r="Z12" s="105" t="s">
        <v>21</v>
      </c>
      <c r="AB12"/>
    </row>
    <row r="13" spans="1:28" ht="12.75" customHeight="1">
      <c r="A13" s="16"/>
      <c r="B13" s="18" t="s">
        <v>27</v>
      </c>
      <c r="C13" s="162">
        <v>16.9</v>
      </c>
      <c r="D13" s="162">
        <v>14.3</v>
      </c>
      <c r="E13" s="159">
        <v>13.3</v>
      </c>
      <c r="F13" s="121">
        <v>15.7</v>
      </c>
      <c r="G13" s="121">
        <v>15.7</v>
      </c>
      <c r="H13" s="121">
        <v>16.1</v>
      </c>
      <c r="I13" s="159">
        <v>16.8</v>
      </c>
      <c r="J13" s="121">
        <v>14.757</v>
      </c>
      <c r="K13" s="121">
        <v>14.5</v>
      </c>
      <c r="L13" s="121">
        <v>13.151</v>
      </c>
      <c r="M13" s="121">
        <v>14.849</v>
      </c>
      <c r="N13" s="121">
        <v>14.966</v>
      </c>
      <c r="O13" s="121">
        <v>15.033</v>
      </c>
      <c r="P13" s="121">
        <v>15.761</v>
      </c>
      <c r="Q13" s="121">
        <v>15.205</v>
      </c>
      <c r="R13" s="121">
        <v>15.407</v>
      </c>
      <c r="S13" s="121">
        <v>16.236</v>
      </c>
      <c r="T13" s="121">
        <v>16.741</v>
      </c>
      <c r="U13" s="121">
        <v>15.844</v>
      </c>
      <c r="V13" s="121">
        <v>15.824</v>
      </c>
      <c r="W13" s="121">
        <v>15.67</v>
      </c>
      <c r="X13" s="121">
        <v>15.95</v>
      </c>
      <c r="Y13" s="377">
        <f t="shared" si="4"/>
        <v>1.7868538608806661</v>
      </c>
      <c r="Z13" s="18" t="s">
        <v>27</v>
      </c>
      <c r="AB13"/>
    </row>
    <row r="14" spans="1:28" ht="12.75" customHeight="1">
      <c r="A14" s="16"/>
      <c r="B14" s="105" t="s">
        <v>11</v>
      </c>
      <c r="C14" s="176" t="s">
        <v>39</v>
      </c>
      <c r="D14" s="176" t="s">
        <v>39</v>
      </c>
      <c r="E14" s="129" t="s">
        <v>39</v>
      </c>
      <c r="F14" s="129" t="s">
        <v>39</v>
      </c>
      <c r="G14" s="129" t="s">
        <v>39</v>
      </c>
      <c r="H14" s="129" t="s">
        <v>39</v>
      </c>
      <c r="I14" s="129" t="s">
        <v>39</v>
      </c>
      <c r="J14" s="129" t="s">
        <v>39</v>
      </c>
      <c r="K14" s="129" t="s">
        <v>39</v>
      </c>
      <c r="L14" s="129" t="s">
        <v>39</v>
      </c>
      <c r="M14" s="129" t="s">
        <v>39</v>
      </c>
      <c r="N14" s="129" t="s">
        <v>39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378"/>
      <c r="Z14" s="105" t="s">
        <v>11</v>
      </c>
      <c r="AB14"/>
    </row>
    <row r="15" spans="1:28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379"/>
      <c r="Z15" s="18" t="s">
        <v>30</v>
      </c>
      <c r="AB15"/>
    </row>
    <row r="16" spans="1:28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30">
        <v>0.02</v>
      </c>
      <c r="R16" s="130">
        <v>0.06</v>
      </c>
      <c r="S16" s="130">
        <v>0.1</v>
      </c>
      <c r="T16" s="130">
        <v>0.15</v>
      </c>
      <c r="U16" s="130">
        <v>0.2</v>
      </c>
      <c r="V16" s="130">
        <v>0.254</v>
      </c>
      <c r="W16" s="130">
        <f>0.254</f>
        <v>0.254</v>
      </c>
      <c r="X16" s="130">
        <v>0.22</v>
      </c>
      <c r="Y16" s="380">
        <f t="shared" si="4"/>
        <v>-13.38582677165354</v>
      </c>
      <c r="Z16" s="105" t="s">
        <v>22</v>
      </c>
      <c r="AB16"/>
    </row>
    <row r="17" spans="1:28" ht="12.75" customHeight="1">
      <c r="A17" s="16"/>
      <c r="B17" s="18" t="s">
        <v>28</v>
      </c>
      <c r="C17" s="163">
        <v>1.023</v>
      </c>
      <c r="D17" s="163">
        <v>3.005</v>
      </c>
      <c r="E17" s="153">
        <v>4.215</v>
      </c>
      <c r="F17" s="153">
        <v>4.78</v>
      </c>
      <c r="G17" s="153">
        <v>5.266</v>
      </c>
      <c r="H17" s="153">
        <v>5.409</v>
      </c>
      <c r="I17" s="153">
        <v>5.479</v>
      </c>
      <c r="J17" s="153">
        <v>5.887</v>
      </c>
      <c r="K17" s="153">
        <v>6.113</v>
      </c>
      <c r="L17" s="153">
        <v>6.534</v>
      </c>
      <c r="M17" s="153">
        <v>6.872</v>
      </c>
      <c r="N17" s="153">
        <v>7.031</v>
      </c>
      <c r="O17" s="153">
        <v>7.466</v>
      </c>
      <c r="P17" s="153">
        <v>7.763</v>
      </c>
      <c r="Q17" s="153">
        <v>7.803</v>
      </c>
      <c r="R17" s="153">
        <v>7.319</v>
      </c>
      <c r="S17" s="121">
        <v>8.279</v>
      </c>
      <c r="T17" s="121">
        <v>9.228</v>
      </c>
      <c r="U17" s="121">
        <v>9.224</v>
      </c>
      <c r="V17" s="121">
        <v>8.936</v>
      </c>
      <c r="W17" s="121">
        <v>9.141</v>
      </c>
      <c r="X17" s="121">
        <v>8.23</v>
      </c>
      <c r="Y17" s="163">
        <f t="shared" si="4"/>
        <v>-9.96608686139372</v>
      </c>
      <c r="Z17" s="18" t="s">
        <v>28</v>
      </c>
      <c r="AB17"/>
    </row>
    <row r="18" spans="1:28" ht="12.75" customHeight="1">
      <c r="A18" s="16"/>
      <c r="B18" s="105" t="s">
        <v>29</v>
      </c>
      <c r="C18" s="176">
        <v>28.184</v>
      </c>
      <c r="D18" s="176">
        <v>34.6</v>
      </c>
      <c r="E18" s="129">
        <v>19.6</v>
      </c>
      <c r="F18" s="129">
        <v>22.5</v>
      </c>
      <c r="G18" s="129">
        <v>23.4</v>
      </c>
      <c r="H18" s="129">
        <v>23.3</v>
      </c>
      <c r="I18" s="129">
        <v>22.2</v>
      </c>
      <c r="J18" s="129">
        <v>22.272</v>
      </c>
      <c r="K18" s="129">
        <v>21.909</v>
      </c>
      <c r="L18" s="129">
        <v>22.089</v>
      </c>
      <c r="M18" s="129">
        <v>21.581</v>
      </c>
      <c r="N18" s="129">
        <v>21.322</v>
      </c>
      <c r="O18" s="129">
        <v>21.669</v>
      </c>
      <c r="P18" s="129">
        <v>22.14</v>
      </c>
      <c r="Q18" s="129">
        <v>20.954</v>
      </c>
      <c r="R18" s="129">
        <v>22.147</v>
      </c>
      <c r="S18" s="129">
        <v>20.559</v>
      </c>
      <c r="T18" s="129">
        <v>20.855999999999998</v>
      </c>
      <c r="U18" s="129">
        <v>22.320999999999998</v>
      </c>
      <c r="V18" s="129">
        <v>21.427</v>
      </c>
      <c r="W18" s="129">
        <v>21.037</v>
      </c>
      <c r="X18" s="129">
        <v>18.239079</v>
      </c>
      <c r="Y18" s="378">
        <f t="shared" si="4"/>
        <v>-13.29999999999999</v>
      </c>
      <c r="Z18" s="105" t="s">
        <v>29</v>
      </c>
      <c r="AB18"/>
    </row>
    <row r="19" spans="1:28" ht="12.75" customHeight="1">
      <c r="A19" s="16"/>
      <c r="B19" s="18" t="s">
        <v>31</v>
      </c>
      <c r="C19" s="162">
        <v>7</v>
      </c>
      <c r="D19" s="162">
        <v>9</v>
      </c>
      <c r="E19" s="121">
        <v>9.2</v>
      </c>
      <c r="F19" s="121">
        <v>9.3</v>
      </c>
      <c r="G19" s="121">
        <v>9.4</v>
      </c>
      <c r="H19" s="121">
        <v>9.5</v>
      </c>
      <c r="I19" s="121">
        <v>9.6</v>
      </c>
      <c r="J19" s="121">
        <v>9.65</v>
      </c>
      <c r="K19" s="121">
        <v>10.1</v>
      </c>
      <c r="L19" s="121">
        <v>9.797</v>
      </c>
      <c r="M19" s="121">
        <v>10.624</v>
      </c>
      <c r="N19" s="121">
        <v>10.409</v>
      </c>
      <c r="O19" s="121">
        <v>10.317</v>
      </c>
      <c r="P19" s="121">
        <v>10.69</v>
      </c>
      <c r="Q19" s="121">
        <v>10.692</v>
      </c>
      <c r="R19" s="121">
        <v>10.656</v>
      </c>
      <c r="S19" s="121">
        <v>10.699</v>
      </c>
      <c r="T19" s="121">
        <v>11.423</v>
      </c>
      <c r="U19" s="121">
        <v>11.447</v>
      </c>
      <c r="V19" s="121">
        <v>11.388</v>
      </c>
      <c r="W19" s="121">
        <v>11.266</v>
      </c>
      <c r="X19" s="121">
        <v>11.644</v>
      </c>
      <c r="Y19" s="162">
        <f t="shared" si="4"/>
        <v>3.3552281200071032</v>
      </c>
      <c r="Z19" s="18" t="s">
        <v>31</v>
      </c>
      <c r="AB19"/>
    </row>
    <row r="20" spans="1:28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/>
      <c r="Y20" s="378"/>
      <c r="Z20" s="105" t="s">
        <v>9</v>
      </c>
      <c r="AB20"/>
    </row>
    <row r="21" spans="1:28" ht="12.75" customHeight="1">
      <c r="A21" s="16"/>
      <c r="B21" s="18" t="s">
        <v>13</v>
      </c>
      <c r="C21" s="162" t="s">
        <v>1</v>
      </c>
      <c r="D21" s="162" t="s">
        <v>1</v>
      </c>
      <c r="E21" s="121" t="s">
        <v>1</v>
      </c>
      <c r="F21" s="121" t="s">
        <v>1</v>
      </c>
      <c r="G21" s="121" t="s">
        <v>1</v>
      </c>
      <c r="H21" s="121" t="s">
        <v>2</v>
      </c>
      <c r="I21" s="121">
        <v>4.6</v>
      </c>
      <c r="J21" s="121">
        <v>5.316</v>
      </c>
      <c r="K21" s="121">
        <v>6.06</v>
      </c>
      <c r="L21" s="121">
        <v>6.362</v>
      </c>
      <c r="M21" s="121">
        <v>6.569</v>
      </c>
      <c r="N21" s="121">
        <v>6.055</v>
      </c>
      <c r="O21" s="121">
        <v>6.467</v>
      </c>
      <c r="P21" s="121">
        <v>7.524</v>
      </c>
      <c r="Q21" s="121">
        <v>5.071</v>
      </c>
      <c r="R21" s="121">
        <v>3.15</v>
      </c>
      <c r="S21" s="121">
        <v>3.252</v>
      </c>
      <c r="T21" s="121">
        <v>3.381</v>
      </c>
      <c r="U21" s="121">
        <v>3.628</v>
      </c>
      <c r="V21" s="121">
        <v>2.711</v>
      </c>
      <c r="W21" s="121">
        <v>2.097</v>
      </c>
      <c r="X21" s="121">
        <v>1.573</v>
      </c>
      <c r="Y21" s="377">
        <f t="shared" si="4"/>
        <v>-24.988078206962328</v>
      </c>
      <c r="Z21" s="18" t="s">
        <v>13</v>
      </c>
      <c r="AB21"/>
    </row>
    <row r="22" spans="1:28" ht="12.75" customHeight="1">
      <c r="A22" s="16"/>
      <c r="B22" s="105" t="s">
        <v>14</v>
      </c>
      <c r="C22" s="176" t="s">
        <v>1</v>
      </c>
      <c r="D22" s="176" t="s">
        <v>1</v>
      </c>
      <c r="E22" s="129" t="s">
        <v>1</v>
      </c>
      <c r="F22" s="129" t="s">
        <v>1</v>
      </c>
      <c r="G22" s="129" t="s">
        <v>1</v>
      </c>
      <c r="H22" s="129">
        <v>2</v>
      </c>
      <c r="I22" s="129">
        <v>1.9</v>
      </c>
      <c r="J22" s="129">
        <v>2.006</v>
      </c>
      <c r="K22" s="129">
        <v>2.308</v>
      </c>
      <c r="L22" s="129">
        <v>2.656</v>
      </c>
      <c r="M22" s="129">
        <v>2.964</v>
      </c>
      <c r="N22" s="129">
        <v>2.627</v>
      </c>
      <c r="O22" s="129">
        <v>3.4566999999999997</v>
      </c>
      <c r="P22" s="129">
        <v>4.7796</v>
      </c>
      <c r="Q22" s="129">
        <v>4.8916</v>
      </c>
      <c r="R22" s="129">
        <v>5.0848</v>
      </c>
      <c r="S22" s="129">
        <v>4.2874</v>
      </c>
      <c r="T22" s="129">
        <v>4.406</v>
      </c>
      <c r="U22" s="129">
        <v>2.67</v>
      </c>
      <c r="V22" s="129">
        <v>1.032</v>
      </c>
      <c r="W22" s="129">
        <v>0.527</v>
      </c>
      <c r="X22" s="129">
        <v>0.4103</v>
      </c>
      <c r="Y22" s="378">
        <f t="shared" si="4"/>
        <v>-22.144212523719165</v>
      </c>
      <c r="Z22" s="105" t="s">
        <v>14</v>
      </c>
      <c r="AB22"/>
    </row>
    <row r="23" spans="1:28" ht="12.75" customHeight="1">
      <c r="A23" s="16"/>
      <c r="B23" s="18" t="s">
        <v>32</v>
      </c>
      <c r="C23" s="162" t="s">
        <v>39</v>
      </c>
      <c r="D23" s="162" t="s">
        <v>39</v>
      </c>
      <c r="E23" s="121" t="s">
        <v>39</v>
      </c>
      <c r="F23" s="121" t="s">
        <v>39</v>
      </c>
      <c r="G23" s="121" t="s">
        <v>39</v>
      </c>
      <c r="H23" s="121" t="s">
        <v>39</v>
      </c>
      <c r="I23" s="121" t="s">
        <v>39</v>
      </c>
      <c r="J23" s="121" t="s">
        <v>39</v>
      </c>
      <c r="K23" s="121" t="s">
        <v>39</v>
      </c>
      <c r="L23" s="121" t="s">
        <v>39</v>
      </c>
      <c r="M23" s="121" t="s">
        <v>39</v>
      </c>
      <c r="N23" s="121" t="s">
        <v>39</v>
      </c>
      <c r="O23" s="121" t="s">
        <v>39</v>
      </c>
      <c r="P23" s="121" t="s">
        <v>39</v>
      </c>
      <c r="Q23" s="121" t="s">
        <v>39</v>
      </c>
      <c r="R23" s="121" t="s">
        <v>39</v>
      </c>
      <c r="S23" s="121" t="s">
        <v>39</v>
      </c>
      <c r="T23" s="121" t="s">
        <v>39</v>
      </c>
      <c r="U23" s="121" t="s">
        <v>39</v>
      </c>
      <c r="V23" s="121" t="s">
        <v>39</v>
      </c>
      <c r="W23" s="121" t="s">
        <v>39</v>
      </c>
      <c r="X23" s="121" t="s">
        <v>39</v>
      </c>
      <c r="Y23" s="162"/>
      <c r="Z23" s="18" t="s">
        <v>32</v>
      </c>
      <c r="AB23"/>
    </row>
    <row r="24" spans="1:28" ht="12.75" customHeight="1">
      <c r="A24" s="16"/>
      <c r="B24" s="105" t="s">
        <v>12</v>
      </c>
      <c r="C24" s="176" t="s">
        <v>38</v>
      </c>
      <c r="D24" s="176" t="s">
        <v>38</v>
      </c>
      <c r="E24" s="129">
        <v>5.287</v>
      </c>
      <c r="F24" s="129" t="s">
        <v>38</v>
      </c>
      <c r="G24" s="129" t="s">
        <v>38</v>
      </c>
      <c r="H24" s="129" t="s">
        <v>38</v>
      </c>
      <c r="I24" s="129" t="s">
        <v>38</v>
      </c>
      <c r="J24" s="129">
        <v>2.1813</v>
      </c>
      <c r="K24" s="129">
        <v>2.3511</v>
      </c>
      <c r="L24" s="129">
        <v>1.81</v>
      </c>
      <c r="M24" s="129">
        <v>1.937</v>
      </c>
      <c r="N24" s="129">
        <v>2.316</v>
      </c>
      <c r="O24" s="129">
        <v>2.263</v>
      </c>
      <c r="P24" s="129">
        <v>2.521</v>
      </c>
      <c r="Q24" s="129">
        <v>2.445</v>
      </c>
      <c r="R24" s="129">
        <v>2.416</v>
      </c>
      <c r="S24" s="129">
        <v>2.546</v>
      </c>
      <c r="T24" s="129">
        <v>2.683</v>
      </c>
      <c r="U24" s="129">
        <v>3.041</v>
      </c>
      <c r="V24" s="129">
        <v>2.987</v>
      </c>
      <c r="W24" s="129">
        <v>2.9747</v>
      </c>
      <c r="X24" s="129">
        <v>3.0104</v>
      </c>
      <c r="Y24" s="378">
        <f t="shared" si="4"/>
        <v>1.2001210206071367</v>
      </c>
      <c r="Z24" s="105" t="s">
        <v>12</v>
      </c>
      <c r="AB24"/>
    </row>
    <row r="25" spans="1:28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381"/>
      <c r="Z25" s="18" t="s">
        <v>15</v>
      </c>
      <c r="AB25"/>
    </row>
    <row r="26" spans="1:28" ht="12.75" customHeight="1">
      <c r="A26" s="16"/>
      <c r="B26" s="64" t="s">
        <v>23</v>
      </c>
      <c r="C26" s="176">
        <v>4.075</v>
      </c>
      <c r="D26" s="176">
        <v>5.044</v>
      </c>
      <c r="E26" s="129">
        <v>4.873</v>
      </c>
      <c r="F26" s="129">
        <v>5.43</v>
      </c>
      <c r="G26" s="129">
        <v>5.503</v>
      </c>
      <c r="H26" s="129">
        <v>5.491</v>
      </c>
      <c r="I26" s="129">
        <v>5.621</v>
      </c>
      <c r="J26" s="129">
        <v>5.278</v>
      </c>
      <c r="K26" s="129">
        <v>5.96</v>
      </c>
      <c r="L26" s="129">
        <v>6.04</v>
      </c>
      <c r="M26" s="129">
        <v>6.043</v>
      </c>
      <c r="N26" s="129">
        <v>6.008</v>
      </c>
      <c r="O26" s="129">
        <v>5.869</v>
      </c>
      <c r="P26" s="129">
        <v>5.827</v>
      </c>
      <c r="Q26" s="129">
        <v>6.017</v>
      </c>
      <c r="R26" s="129">
        <v>6.131</v>
      </c>
      <c r="S26" s="129">
        <v>6.09</v>
      </c>
      <c r="T26" s="129">
        <v>5.939</v>
      </c>
      <c r="U26" s="129">
        <v>5.828</v>
      </c>
      <c r="V26" s="129">
        <v>5.583</v>
      </c>
      <c r="W26" s="129">
        <v>5.967</v>
      </c>
      <c r="X26" s="129">
        <v>5.622</v>
      </c>
      <c r="Y26" s="378">
        <f t="shared" si="4"/>
        <v>-5.78179989944696</v>
      </c>
      <c r="Z26" s="64" t="s">
        <v>23</v>
      </c>
      <c r="AB26"/>
    </row>
    <row r="27" spans="1:28" ht="12.75" customHeight="1">
      <c r="A27" s="16"/>
      <c r="B27" s="18" t="s">
        <v>33</v>
      </c>
      <c r="C27" s="162">
        <v>3.62</v>
      </c>
      <c r="D27" s="162">
        <v>7.054</v>
      </c>
      <c r="E27" s="121">
        <v>6.37</v>
      </c>
      <c r="F27" s="121">
        <v>6.654</v>
      </c>
      <c r="G27" s="121">
        <v>6.701</v>
      </c>
      <c r="H27" s="121">
        <v>6.721</v>
      </c>
      <c r="I27" s="121">
        <v>6.99</v>
      </c>
      <c r="J27" s="121">
        <v>6.766</v>
      </c>
      <c r="K27" s="121">
        <v>7.073</v>
      </c>
      <c r="L27" s="121">
        <v>8.02</v>
      </c>
      <c r="M27" s="121">
        <v>8.164</v>
      </c>
      <c r="N27" s="121">
        <v>7.631</v>
      </c>
      <c r="O27" s="121">
        <v>7.563</v>
      </c>
      <c r="P27" s="121">
        <v>8.071</v>
      </c>
      <c r="Q27" s="121">
        <v>7.961</v>
      </c>
      <c r="R27" s="121">
        <v>7.763</v>
      </c>
      <c r="S27" s="121">
        <v>7.571</v>
      </c>
      <c r="T27" s="121">
        <v>7.78</v>
      </c>
      <c r="U27" s="121">
        <v>7.639</v>
      </c>
      <c r="V27" s="121">
        <v>7.226</v>
      </c>
      <c r="W27" s="121">
        <v>7.521</v>
      </c>
      <c r="X27" s="121">
        <v>7.304</v>
      </c>
      <c r="Y27" s="377">
        <f t="shared" si="4"/>
        <v>-2.885254620396216</v>
      </c>
      <c r="Z27" s="18" t="s">
        <v>33</v>
      </c>
      <c r="AB27"/>
    </row>
    <row r="28" spans="1:28" ht="12.75" customHeight="1">
      <c r="A28" s="16"/>
      <c r="B28" s="105" t="s">
        <v>16</v>
      </c>
      <c r="C28" s="176">
        <v>6.98</v>
      </c>
      <c r="D28" s="176">
        <v>17.12</v>
      </c>
      <c r="E28" s="129">
        <v>13.887</v>
      </c>
      <c r="F28" s="129">
        <v>10.39</v>
      </c>
      <c r="G28" s="129">
        <v>11.93</v>
      </c>
      <c r="H28" s="129">
        <v>12.2</v>
      </c>
      <c r="I28" s="129">
        <v>14.3</v>
      </c>
      <c r="J28" s="129">
        <v>13.493</v>
      </c>
      <c r="K28" s="129">
        <v>15.33</v>
      </c>
      <c r="L28" s="129">
        <v>14.97</v>
      </c>
      <c r="M28" s="129">
        <v>18.448</v>
      </c>
      <c r="N28" s="129">
        <v>19.417</v>
      </c>
      <c r="O28" s="129">
        <v>20.354</v>
      </c>
      <c r="P28" s="129">
        <v>21.0927</v>
      </c>
      <c r="Q28" s="129">
        <v>20.854</v>
      </c>
      <c r="R28" s="129">
        <v>23.871</v>
      </c>
      <c r="S28" s="129">
        <v>24.806</v>
      </c>
      <c r="T28" s="129">
        <v>25.388</v>
      </c>
      <c r="U28" s="129">
        <v>25.588099999999997</v>
      </c>
      <c r="V28" s="129">
        <v>23.513</v>
      </c>
      <c r="W28" s="129">
        <v>21.2473</v>
      </c>
      <c r="X28" s="129">
        <v>22.908</v>
      </c>
      <c r="Y28" s="378">
        <f t="shared" si="4"/>
        <v>7.816051921891254</v>
      </c>
      <c r="Z28" s="105" t="s">
        <v>16</v>
      </c>
      <c r="AB28"/>
    </row>
    <row r="29" spans="1:28" ht="12.75" customHeight="1">
      <c r="A29" s="16"/>
      <c r="B29" s="18" t="s">
        <v>34</v>
      </c>
      <c r="C29" s="162" t="s">
        <v>39</v>
      </c>
      <c r="D29" s="162" t="s">
        <v>39</v>
      </c>
      <c r="E29" s="121"/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2">
        <v>0.5</v>
      </c>
      <c r="P29" s="122">
        <v>0.5</v>
      </c>
      <c r="Q29" s="122">
        <v>0.5</v>
      </c>
      <c r="R29" s="122">
        <v>0.5</v>
      </c>
      <c r="S29" s="121">
        <f>3.419*147.4/1000</f>
        <v>0.5039606</v>
      </c>
      <c r="T29" s="121">
        <f>3.287*147.4/1000</f>
        <v>0.48450380000000004</v>
      </c>
      <c r="U29" s="121">
        <f>3.077*147.4/1000</f>
        <v>0.4535498</v>
      </c>
      <c r="V29" s="121">
        <f>3.24*147.4/1000</f>
        <v>0.477576</v>
      </c>
      <c r="W29" s="121">
        <f>3.051*147.4/1000</f>
        <v>0.44971740000000004</v>
      </c>
      <c r="X29" s="121">
        <v>0.413</v>
      </c>
      <c r="Y29" s="162">
        <f t="shared" si="4"/>
        <v>-8.164549559345502</v>
      </c>
      <c r="Z29" s="18" t="s">
        <v>34</v>
      </c>
      <c r="AB29"/>
    </row>
    <row r="30" spans="1:28" ht="12.75" customHeight="1">
      <c r="A30" s="16"/>
      <c r="B30" s="105" t="s">
        <v>17</v>
      </c>
      <c r="C30" s="176">
        <v>1.84</v>
      </c>
      <c r="D30" s="176">
        <v>5.19</v>
      </c>
      <c r="E30" s="129">
        <v>5.062</v>
      </c>
      <c r="F30" s="129">
        <v>3.18</v>
      </c>
      <c r="G30" s="129">
        <v>2.558</v>
      </c>
      <c r="H30" s="129">
        <v>2.471</v>
      </c>
      <c r="I30" s="129">
        <v>2.801</v>
      </c>
      <c r="J30" s="129">
        <v>2.936</v>
      </c>
      <c r="K30" s="129">
        <v>2.662</v>
      </c>
      <c r="L30" s="129">
        <v>2.296</v>
      </c>
      <c r="M30" s="129">
        <v>2.258</v>
      </c>
      <c r="N30" s="129">
        <v>1.636</v>
      </c>
      <c r="O30" s="129">
        <v>1.392</v>
      </c>
      <c r="P30" s="129">
        <v>1.77</v>
      </c>
      <c r="Q30" s="129">
        <v>1.78</v>
      </c>
      <c r="R30" s="129">
        <v>1.59</v>
      </c>
      <c r="S30" s="129">
        <v>1.898</v>
      </c>
      <c r="T30" s="129">
        <v>2.21</v>
      </c>
      <c r="U30" s="129">
        <v>2.027</v>
      </c>
      <c r="V30" s="129">
        <v>1.849</v>
      </c>
      <c r="W30" s="129">
        <v>1.72</v>
      </c>
      <c r="X30" s="129">
        <v>1.243</v>
      </c>
      <c r="Y30" s="176">
        <f t="shared" si="4"/>
        <v>-27.73255813953488</v>
      </c>
      <c r="Z30" s="105" t="s">
        <v>17</v>
      </c>
      <c r="AB30"/>
    </row>
    <row r="31" spans="1:28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53" t="s">
        <v>39</v>
      </c>
      <c r="Y31" s="379"/>
      <c r="Z31" s="18" t="s">
        <v>19</v>
      </c>
      <c r="AB31"/>
    </row>
    <row r="32" spans="1:28" ht="12.75" customHeight="1">
      <c r="A32" s="16"/>
      <c r="B32" s="105" t="s">
        <v>18</v>
      </c>
      <c r="C32" s="176"/>
      <c r="D32" s="176"/>
      <c r="E32" s="129"/>
      <c r="F32" s="129"/>
      <c r="G32" s="129"/>
      <c r="H32" s="130">
        <v>5.4</v>
      </c>
      <c r="I32" s="130">
        <v>6.2</v>
      </c>
      <c r="J32" s="130">
        <v>6.1</v>
      </c>
      <c r="K32" s="130">
        <v>5.8</v>
      </c>
      <c r="L32" s="130">
        <v>5.5</v>
      </c>
      <c r="M32" s="130">
        <v>5.6</v>
      </c>
      <c r="N32" s="130">
        <v>5.2</v>
      </c>
      <c r="O32" s="130">
        <v>4.6</v>
      </c>
      <c r="P32" s="130">
        <v>4.8</v>
      </c>
      <c r="Q32" s="130">
        <v>4.7</v>
      </c>
      <c r="R32" s="130">
        <v>5</v>
      </c>
      <c r="S32" s="130">
        <v>5.2</v>
      </c>
      <c r="T32" s="130">
        <v>5.3</v>
      </c>
      <c r="U32" s="130">
        <v>5.6</v>
      </c>
      <c r="V32" s="130">
        <v>5.3</v>
      </c>
      <c r="W32" s="130">
        <v>5.3</v>
      </c>
      <c r="X32" s="130">
        <v>5.35</v>
      </c>
      <c r="Y32" s="380">
        <f t="shared" si="4"/>
        <v>0.943396226415083</v>
      </c>
      <c r="Z32" s="105" t="s">
        <v>18</v>
      </c>
      <c r="AB32"/>
    </row>
    <row r="33" spans="1:28" ht="12.75" customHeight="1">
      <c r="A33" s="16"/>
      <c r="B33" s="18" t="s">
        <v>35</v>
      </c>
      <c r="C33" s="163" t="s">
        <v>39</v>
      </c>
      <c r="D33" s="163" t="s">
        <v>39</v>
      </c>
      <c r="E33" s="153" t="s">
        <v>39</v>
      </c>
      <c r="F33" s="153" t="s">
        <v>39</v>
      </c>
      <c r="G33" s="153" t="s">
        <v>39</v>
      </c>
      <c r="H33" s="153" t="s">
        <v>39</v>
      </c>
      <c r="I33" s="153" t="s">
        <v>39</v>
      </c>
      <c r="J33" s="153" t="s">
        <v>39</v>
      </c>
      <c r="K33" s="153" t="s">
        <v>39</v>
      </c>
      <c r="L33" s="153" t="s">
        <v>39</v>
      </c>
      <c r="M33" s="153" t="s">
        <v>39</v>
      </c>
      <c r="N33" s="153" t="s">
        <v>39</v>
      </c>
      <c r="O33" s="153" t="s">
        <v>39</v>
      </c>
      <c r="P33" s="153" t="s">
        <v>39</v>
      </c>
      <c r="Q33" s="153" t="s">
        <v>39</v>
      </c>
      <c r="R33" s="153" t="s">
        <v>39</v>
      </c>
      <c r="S33" s="153" t="s">
        <v>39</v>
      </c>
      <c r="T33" s="153" t="s">
        <v>39</v>
      </c>
      <c r="U33" s="153" t="s">
        <v>39</v>
      </c>
      <c r="V33" s="153" t="s">
        <v>39</v>
      </c>
      <c r="W33" s="153" t="s">
        <v>39</v>
      </c>
      <c r="X33" s="153" t="s">
        <v>39</v>
      </c>
      <c r="Y33" s="379"/>
      <c r="Z33" s="18" t="s">
        <v>35</v>
      </c>
      <c r="AB33"/>
    </row>
    <row r="34" spans="1:28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378"/>
      <c r="Z34" s="105" t="s">
        <v>36</v>
      </c>
      <c r="AB34"/>
    </row>
    <row r="35" spans="1:28" ht="12.75" customHeight="1">
      <c r="A35" s="16"/>
      <c r="B35" s="19" t="s">
        <v>24</v>
      </c>
      <c r="C35" s="163">
        <v>2.665</v>
      </c>
      <c r="D35" s="163">
        <v>10.078</v>
      </c>
      <c r="E35" s="153">
        <v>11.1</v>
      </c>
      <c r="F35" s="153">
        <v>11.07</v>
      </c>
      <c r="G35" s="153">
        <v>11</v>
      </c>
      <c r="H35" s="153">
        <v>11.6</v>
      </c>
      <c r="I35" s="153">
        <v>12</v>
      </c>
      <c r="J35" s="153">
        <v>11.1</v>
      </c>
      <c r="K35" s="153">
        <v>11.623</v>
      </c>
      <c r="L35" s="153">
        <v>11.235</v>
      </c>
      <c r="M35" s="153">
        <v>11.666</v>
      </c>
      <c r="N35" s="153">
        <v>11.637</v>
      </c>
      <c r="O35" s="153">
        <v>11.424</v>
      </c>
      <c r="P35" s="153">
        <v>11.562</v>
      </c>
      <c r="Q35" s="153">
        <v>10.935</v>
      </c>
      <c r="R35" s="153">
        <v>10.484</v>
      </c>
      <c r="S35" s="153">
        <v>10.657</v>
      </c>
      <c r="T35" s="153">
        <v>10.78</v>
      </c>
      <c r="U35" s="153">
        <v>10.777</v>
      </c>
      <c r="V35" s="153">
        <v>10.229</v>
      </c>
      <c r="W35" s="153">
        <v>10.18</v>
      </c>
      <c r="X35" s="153">
        <v>10.185</v>
      </c>
      <c r="Y35" s="382">
        <f t="shared" si="4"/>
        <v>0.049115913556008195</v>
      </c>
      <c r="Z35" s="19" t="s">
        <v>24</v>
      </c>
      <c r="AB35"/>
    </row>
    <row r="36" spans="1:28" ht="12.75" customHeight="1">
      <c r="A36" s="16"/>
      <c r="B36" s="105" t="s">
        <v>40</v>
      </c>
      <c r="C36" s="196" t="s">
        <v>38</v>
      </c>
      <c r="D36" s="196" t="s">
        <v>38</v>
      </c>
      <c r="E36" s="170">
        <v>3.6</v>
      </c>
      <c r="F36" s="170" t="s">
        <v>38</v>
      </c>
      <c r="G36" s="170"/>
      <c r="H36" s="170"/>
      <c r="I36" s="170"/>
      <c r="J36" s="170" t="s">
        <v>38</v>
      </c>
      <c r="K36" s="170"/>
      <c r="L36" s="170">
        <v>0.725</v>
      </c>
      <c r="M36" s="170">
        <v>0.951</v>
      </c>
      <c r="N36" s="170">
        <v>0.623</v>
      </c>
      <c r="O36" s="170">
        <v>0.428</v>
      </c>
      <c r="P36" s="170">
        <v>0.897</v>
      </c>
      <c r="Q36" s="170">
        <v>1.286</v>
      </c>
      <c r="R36" s="170">
        <v>1.335</v>
      </c>
      <c r="S36" s="170">
        <v>1.515</v>
      </c>
      <c r="T36" s="170">
        <v>1.507</v>
      </c>
      <c r="U36" s="170">
        <v>1.255</v>
      </c>
      <c r="V36" s="170">
        <v>1.406</v>
      </c>
      <c r="W36" s="170">
        <v>1.308</v>
      </c>
      <c r="X36" s="190">
        <v>1.445</v>
      </c>
      <c r="Y36" s="196">
        <f t="shared" si="4"/>
        <v>10.474006116207946</v>
      </c>
      <c r="Z36" s="105" t="s">
        <v>40</v>
      </c>
      <c r="AB36"/>
    </row>
    <row r="37" spans="1:28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2">
        <v>0.04</v>
      </c>
      <c r="R37" s="122">
        <v>0.121</v>
      </c>
      <c r="S37" s="122">
        <v>0.12</v>
      </c>
      <c r="T37" s="122">
        <v>0.149</v>
      </c>
      <c r="U37" s="121">
        <v>0.17</v>
      </c>
      <c r="V37" s="121">
        <v>0.164</v>
      </c>
      <c r="W37" s="121">
        <v>0.164</v>
      </c>
      <c r="X37" s="155">
        <v>0.144</v>
      </c>
      <c r="Y37" s="379">
        <f t="shared" si="4"/>
        <v>-12.195121951219523</v>
      </c>
      <c r="Z37" s="18" t="s">
        <v>4</v>
      </c>
      <c r="AB37"/>
    </row>
    <row r="38" spans="1:28" ht="12.75" customHeight="1">
      <c r="A38" s="16"/>
      <c r="B38" s="108" t="s">
        <v>20</v>
      </c>
      <c r="C38" s="179">
        <v>1.3</v>
      </c>
      <c r="D38" s="179">
        <v>13.8</v>
      </c>
      <c r="E38" s="132" t="s">
        <v>38</v>
      </c>
      <c r="F38" s="132" t="s">
        <v>1</v>
      </c>
      <c r="G38" s="132">
        <v>3.1</v>
      </c>
      <c r="H38" s="132">
        <v>3.1</v>
      </c>
      <c r="I38" s="132">
        <v>3.1</v>
      </c>
      <c r="J38" s="132">
        <v>3.2</v>
      </c>
      <c r="K38" s="132">
        <v>4</v>
      </c>
      <c r="L38" s="132">
        <v>21</v>
      </c>
      <c r="M38" s="132">
        <v>39.7</v>
      </c>
      <c r="N38" s="132">
        <v>43.478</v>
      </c>
      <c r="O38" s="132">
        <v>53.134</v>
      </c>
      <c r="P38" s="132">
        <v>43.518</v>
      </c>
      <c r="Q38" s="132">
        <v>47.691</v>
      </c>
      <c r="R38" s="132">
        <v>18.127734</v>
      </c>
      <c r="S38" s="132">
        <v>11.927373</v>
      </c>
      <c r="T38" s="132">
        <v>5.735652</v>
      </c>
      <c r="U38" s="132">
        <v>5.84076</v>
      </c>
      <c r="V38" s="132">
        <v>12.893485</v>
      </c>
      <c r="W38" s="132">
        <v>36.397749</v>
      </c>
      <c r="X38" s="191">
        <v>45.111153</v>
      </c>
      <c r="Y38" s="383">
        <f t="shared" si="4"/>
        <v>23.9394035054201</v>
      </c>
      <c r="Z38" s="108" t="s">
        <v>20</v>
      </c>
      <c r="AB38"/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379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>
        <v>2.055</v>
      </c>
      <c r="F40" s="129">
        <v>2.505</v>
      </c>
      <c r="G40" s="129">
        <v>3.071</v>
      </c>
      <c r="H40" s="129">
        <v>3.39</v>
      </c>
      <c r="I40" s="129">
        <v>4.049</v>
      </c>
      <c r="J40" s="129">
        <v>5.261</v>
      </c>
      <c r="K40" s="129">
        <v>5.126</v>
      </c>
      <c r="L40" s="129">
        <v>4.16</v>
      </c>
      <c r="M40" s="129">
        <v>4.136</v>
      </c>
      <c r="N40" s="129">
        <v>3.981</v>
      </c>
      <c r="O40" s="129">
        <v>3.485</v>
      </c>
      <c r="P40" s="129">
        <v>3.681</v>
      </c>
      <c r="Q40" s="129">
        <v>3.601</v>
      </c>
      <c r="R40" s="129">
        <v>3.494</v>
      </c>
      <c r="S40" s="129">
        <v>4.721</v>
      </c>
      <c r="T40" s="129">
        <v>4.59</v>
      </c>
      <c r="U40" s="129">
        <v>4.529</v>
      </c>
      <c r="V40" s="129">
        <v>4.192</v>
      </c>
      <c r="W40" s="129">
        <v>3.827</v>
      </c>
      <c r="X40" s="129">
        <v>3.854</v>
      </c>
      <c r="Y40" s="176">
        <f t="shared" si="4"/>
        <v>0.7055134570159494</v>
      </c>
      <c r="Z40" s="105" t="s">
        <v>37</v>
      </c>
    </row>
    <row r="41" spans="1:26" ht="12.75" customHeight="1">
      <c r="A41" s="16"/>
      <c r="B41" s="19" t="s">
        <v>7</v>
      </c>
      <c r="C41" s="164">
        <v>1.2</v>
      </c>
      <c r="D41" s="164">
        <v>1.1</v>
      </c>
      <c r="E41" s="124">
        <v>1.2</v>
      </c>
      <c r="F41" s="124">
        <v>1.227</v>
      </c>
      <c r="G41" s="124">
        <v>1.265</v>
      </c>
      <c r="H41" s="124">
        <v>1.221</v>
      </c>
      <c r="I41" s="124">
        <v>1.211</v>
      </c>
      <c r="J41" s="124">
        <v>1.248</v>
      </c>
      <c r="K41" s="124">
        <v>1.202</v>
      </c>
      <c r="L41" s="124">
        <v>0.289</v>
      </c>
      <c r="M41" s="124">
        <v>0.234</v>
      </c>
      <c r="N41" s="124">
        <v>0.233</v>
      </c>
      <c r="O41" s="124">
        <v>0.216</v>
      </c>
      <c r="P41" s="124">
        <v>0.23</v>
      </c>
      <c r="Q41" s="124">
        <v>0.226</v>
      </c>
      <c r="R41" s="124">
        <v>0.222</v>
      </c>
      <c r="S41" s="124">
        <v>0.238</v>
      </c>
      <c r="T41" s="124">
        <v>0.226</v>
      </c>
      <c r="U41" s="124">
        <v>0.256</v>
      </c>
      <c r="V41" s="124">
        <v>0.217</v>
      </c>
      <c r="W41" s="124">
        <v>0.248</v>
      </c>
      <c r="X41" s="124">
        <v>0.23</v>
      </c>
      <c r="Y41" s="164">
        <f t="shared" si="4"/>
        <v>-7.258064516129026</v>
      </c>
      <c r="Z41" s="19" t="s">
        <v>7</v>
      </c>
    </row>
    <row r="42" spans="2:19" ht="15" customHeight="1">
      <c r="B42" s="11" t="s">
        <v>96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 ht="12.75" customHeight="1">
      <c r="B43" s="393" t="s">
        <v>3</v>
      </c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</row>
    <row r="44" spans="2:27" ht="26.25" customHeight="1">
      <c r="B44" s="395" t="s">
        <v>112</v>
      </c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</row>
    <row r="45" spans="2:26" ht="12.75" customHeight="1">
      <c r="B45" s="137" t="s">
        <v>108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2:26" ht="12.75" customHeight="1">
      <c r="B46" s="137" t="s">
        <v>109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</sheetData>
  <mergeCells count="4">
    <mergeCell ref="B43:S43"/>
    <mergeCell ref="B2:Z2"/>
    <mergeCell ref="W3:X3"/>
    <mergeCell ref="B44:AA4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J64"/>
  <sheetViews>
    <sheetView workbookViewId="0" topLeftCell="A1">
      <selection activeCell="M32" sqref="M32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75"/>
      <c r="C1" s="36"/>
      <c r="D1" s="36"/>
      <c r="E1" s="36"/>
      <c r="F1" s="36"/>
      <c r="G1" s="21" t="s">
        <v>126</v>
      </c>
    </row>
    <row r="2" spans="1:7" s="95" customFormat="1" ht="30" customHeight="1">
      <c r="A2" s="96"/>
      <c r="B2" s="428" t="s">
        <v>74</v>
      </c>
      <c r="C2" s="428"/>
      <c r="D2" s="428"/>
      <c r="E2" s="428"/>
      <c r="F2" s="428"/>
      <c r="G2" s="428"/>
    </row>
    <row r="3" spans="2:7" ht="15" customHeight="1">
      <c r="B3" s="429" t="s">
        <v>75</v>
      </c>
      <c r="C3" s="429"/>
      <c r="D3" s="429"/>
      <c r="E3" s="429"/>
      <c r="F3" s="429"/>
      <c r="G3" s="429"/>
    </row>
    <row r="4" spans="2:7" ht="12" customHeight="1">
      <c r="B4" s="432" t="s">
        <v>135</v>
      </c>
      <c r="C4" s="432"/>
      <c r="D4" s="432"/>
      <c r="E4" s="432"/>
      <c r="F4" s="432"/>
      <c r="G4" s="432"/>
    </row>
    <row r="5" spans="2:7" ht="12.75">
      <c r="B5" s="40"/>
      <c r="C5" s="76" t="s">
        <v>76</v>
      </c>
      <c r="D5" s="430" t="s">
        <v>47</v>
      </c>
      <c r="E5" s="385" t="s">
        <v>54</v>
      </c>
      <c r="F5" s="385" t="s">
        <v>50</v>
      </c>
      <c r="G5" s="77" t="s">
        <v>49</v>
      </c>
    </row>
    <row r="6" spans="2:7" ht="21.75" customHeight="1">
      <c r="B6" s="40"/>
      <c r="C6" s="78" t="s">
        <v>77</v>
      </c>
      <c r="D6" s="431"/>
      <c r="E6" s="421"/>
      <c r="F6" s="422"/>
      <c r="G6" s="79"/>
    </row>
    <row r="7" spans="2:7" ht="12.75" customHeight="1">
      <c r="B7" s="290">
        <v>1990</v>
      </c>
      <c r="C7" s="146">
        <v>1238.995</v>
      </c>
      <c r="D7" s="292">
        <v>1554.005</v>
      </c>
      <c r="E7" s="292">
        <f>88.956+426.886</f>
        <v>515.842</v>
      </c>
      <c r="F7" s="294">
        <v>852.77</v>
      </c>
      <c r="G7" s="149">
        <f aca="true" t="shared" si="0" ref="G7:G24">SUM(C7:F7)</f>
        <v>4161.612</v>
      </c>
    </row>
    <row r="8" spans="2:7" ht="12.75" customHeight="1" hidden="1">
      <c r="B8" s="286">
        <v>1991</v>
      </c>
      <c r="C8" s="147">
        <v>1266.962</v>
      </c>
      <c r="D8" s="287">
        <v>1521.187</v>
      </c>
      <c r="E8" s="287">
        <f>80.793+423.332</f>
        <v>504.125</v>
      </c>
      <c r="F8" s="288">
        <v>844.594</v>
      </c>
      <c r="G8" s="149">
        <f t="shared" si="0"/>
        <v>4136.868</v>
      </c>
    </row>
    <row r="9" spans="2:7" ht="12.75" customHeight="1" hidden="1">
      <c r="B9" s="286">
        <v>1992</v>
      </c>
      <c r="C9" s="147">
        <v>1299.503</v>
      </c>
      <c r="D9" s="287">
        <v>1603.603</v>
      </c>
      <c r="E9" s="287">
        <f>81.443+434.543</f>
        <v>515.986</v>
      </c>
      <c r="F9" s="288">
        <v>858.632</v>
      </c>
      <c r="G9" s="149">
        <f t="shared" si="0"/>
        <v>4277.723999999999</v>
      </c>
    </row>
    <row r="10" spans="2:7" ht="12.75" customHeight="1" hidden="1">
      <c r="B10" s="286">
        <v>1993</v>
      </c>
      <c r="C10" s="147">
        <v>1354.607</v>
      </c>
      <c r="D10" s="287">
        <v>1657.092</v>
      </c>
      <c r="E10" s="287">
        <f>82.398+414.477</f>
        <v>496.875</v>
      </c>
      <c r="F10" s="288">
        <v>865.617</v>
      </c>
      <c r="G10" s="149">
        <f t="shared" si="0"/>
        <v>4374.191</v>
      </c>
    </row>
    <row r="11" spans="2:7" ht="12.75" customHeight="1" hidden="1">
      <c r="B11" s="286">
        <v>1994</v>
      </c>
      <c r="C11" s="147">
        <v>1442.108</v>
      </c>
      <c r="D11" s="287">
        <v>1782.732</v>
      </c>
      <c r="E11" s="287">
        <f>85.062+434.724</f>
        <v>519.786</v>
      </c>
      <c r="F11" s="288">
        <v>863.427</v>
      </c>
      <c r="G11" s="149">
        <f t="shared" si="0"/>
        <v>4608.053</v>
      </c>
    </row>
    <row r="12" spans="2:7" ht="12.75" customHeight="1">
      <c r="B12" s="295">
        <v>1995</v>
      </c>
      <c r="C12" s="296">
        <v>1509.428</v>
      </c>
      <c r="D12" s="297">
        <v>1922.797</v>
      </c>
      <c r="E12" s="297">
        <f>87.166+447.232</f>
        <v>534.398</v>
      </c>
      <c r="F12" s="298">
        <v>877.589</v>
      </c>
      <c r="G12" s="299">
        <f t="shared" si="0"/>
        <v>4844.212</v>
      </c>
    </row>
    <row r="13" spans="2:7" ht="12.75" customHeight="1">
      <c r="B13" s="81">
        <v>1996</v>
      </c>
      <c r="C13" s="147">
        <v>1550.171</v>
      </c>
      <c r="D13" s="151">
        <v>2010.52</v>
      </c>
      <c r="E13" s="151">
        <f>85.167+433.307</f>
        <v>518.474</v>
      </c>
      <c r="F13" s="152">
        <v>904.015</v>
      </c>
      <c r="G13" s="149">
        <f t="shared" si="0"/>
        <v>4983.18</v>
      </c>
    </row>
    <row r="14" spans="2:7" ht="12.75" customHeight="1">
      <c r="B14" s="81">
        <v>1997</v>
      </c>
      <c r="C14" s="147">
        <v>1621.117</v>
      </c>
      <c r="D14" s="151">
        <v>2030.951</v>
      </c>
      <c r="E14" s="151">
        <f>90.761+429.265</f>
        <v>520.026</v>
      </c>
      <c r="F14" s="152">
        <v>900.073</v>
      </c>
      <c r="G14" s="149">
        <f t="shared" si="0"/>
        <v>5072.167</v>
      </c>
    </row>
    <row r="15" spans="2:7" ht="12.75" customHeight="1">
      <c r="B15" s="81">
        <v>1998</v>
      </c>
      <c r="C15" s="147">
        <v>1663.775</v>
      </c>
      <c r="D15" s="151">
        <v>2114.554</v>
      </c>
      <c r="E15" s="151">
        <f>90.013+430.54</f>
        <v>520.553</v>
      </c>
      <c r="F15" s="152">
        <v>904.891</v>
      </c>
      <c r="G15" s="149">
        <f t="shared" si="0"/>
        <v>5203.773</v>
      </c>
    </row>
    <row r="16" spans="2:7" ht="12.75" customHeight="1">
      <c r="B16" s="81">
        <v>1999</v>
      </c>
      <c r="C16" s="147">
        <v>1717.218</v>
      </c>
      <c r="D16" s="151">
        <v>2195.309</v>
      </c>
      <c r="E16" s="151">
        <f>83.284+444.889</f>
        <v>528.173</v>
      </c>
      <c r="F16" s="152">
        <v>901.825</v>
      </c>
      <c r="G16" s="149">
        <f t="shared" si="0"/>
        <v>5342.525</v>
      </c>
    </row>
    <row r="17" spans="2:7" ht="12.75" customHeight="1">
      <c r="B17" s="81">
        <v>2000</v>
      </c>
      <c r="C17" s="147">
        <v>1741.211</v>
      </c>
      <c r="D17" s="151">
        <v>2257.582</v>
      </c>
      <c r="E17" s="151">
        <f>84.502+441.726</f>
        <v>526.228</v>
      </c>
      <c r="F17" s="152">
        <v>842.842</v>
      </c>
      <c r="G17" s="149">
        <f t="shared" si="0"/>
        <v>5367.862999999999</v>
      </c>
    </row>
    <row r="18" spans="2:7" ht="12.75" customHeight="1">
      <c r="B18" s="81">
        <v>2001</v>
      </c>
      <c r="C18" s="147">
        <v>1770.966</v>
      </c>
      <c r="D18" s="151">
        <v>2334.98</v>
      </c>
      <c r="E18" s="151">
        <f>74.245+430.489</f>
        <v>504.734</v>
      </c>
      <c r="F18" s="152">
        <v>841.09</v>
      </c>
      <c r="G18" s="149">
        <f t="shared" si="0"/>
        <v>5451.77</v>
      </c>
    </row>
    <row r="19" spans="2:7" ht="12.75" customHeight="1">
      <c r="B19" s="81">
        <v>2002</v>
      </c>
      <c r="C19" s="147">
        <v>1818.164</v>
      </c>
      <c r="D19" s="151">
        <v>2344.032</v>
      </c>
      <c r="E19" s="151">
        <f>78.332+428.37</f>
        <v>506.702</v>
      </c>
      <c r="F19" s="152">
        <v>855.836</v>
      </c>
      <c r="G19" s="149">
        <f t="shared" si="0"/>
        <v>5524.734</v>
      </c>
    </row>
    <row r="20" spans="2:7" ht="12.75" customHeight="1">
      <c r="B20" s="81">
        <v>2003</v>
      </c>
      <c r="C20" s="147">
        <v>1846.237</v>
      </c>
      <c r="D20" s="151">
        <v>2341.159</v>
      </c>
      <c r="E20" s="151">
        <f>69.406+406.386</f>
        <v>475.79200000000003</v>
      </c>
      <c r="F20" s="152">
        <v>861.675</v>
      </c>
      <c r="G20" s="149">
        <f t="shared" si="0"/>
        <v>5524.863000000001</v>
      </c>
    </row>
    <row r="21" spans="2:7" ht="12.75" customHeight="1">
      <c r="B21" s="81">
        <v>2004</v>
      </c>
      <c r="C21" s="147">
        <v>1870.76</v>
      </c>
      <c r="D21" s="151">
        <v>2459.187</v>
      </c>
      <c r="E21" s="151">
        <f>81.369+414.772</f>
        <v>496.14099999999996</v>
      </c>
      <c r="F21" s="152">
        <v>875.399</v>
      </c>
      <c r="G21" s="149">
        <f t="shared" si="0"/>
        <v>5701.487</v>
      </c>
    </row>
    <row r="22" spans="2:7" ht="12.75" customHeight="1">
      <c r="B22" s="81">
        <v>2005</v>
      </c>
      <c r="C22" s="147">
        <v>1885.273</v>
      </c>
      <c r="D22" s="151">
        <v>2530.612</v>
      </c>
      <c r="E22" s="151">
        <f>75.808+400.568</f>
        <v>476.376</v>
      </c>
      <c r="F22" s="152">
        <v>886.933</v>
      </c>
      <c r="G22" s="149">
        <f t="shared" si="0"/>
        <v>5779.194</v>
      </c>
    </row>
    <row r="23" spans="2:7" ht="12.75" customHeight="1">
      <c r="B23" s="81">
        <v>2006</v>
      </c>
      <c r="C23" s="147">
        <v>1885.18</v>
      </c>
      <c r="D23" s="151">
        <v>2709.565</v>
      </c>
      <c r="E23" s="151">
        <f>77.532+408.468</f>
        <v>486</v>
      </c>
      <c r="F23" s="152">
        <v>848.6852</v>
      </c>
      <c r="G23" s="149">
        <f t="shared" si="0"/>
        <v>5929.4302</v>
      </c>
    </row>
    <row r="24" spans="2:7" ht="12.75" customHeight="1">
      <c r="B24" s="289">
        <v>2007</v>
      </c>
      <c r="C24" s="148">
        <v>1922.873</v>
      </c>
      <c r="D24" s="291">
        <v>2656.613</v>
      </c>
      <c r="E24" s="291">
        <f>75.762+396.539</f>
        <v>472.301</v>
      </c>
      <c r="F24" s="293">
        <v>814.226</v>
      </c>
      <c r="G24" s="150">
        <f t="shared" si="0"/>
        <v>5866.013</v>
      </c>
    </row>
    <row r="25" spans="2:7" ht="15" customHeight="1">
      <c r="B25" s="82" t="s">
        <v>97</v>
      </c>
      <c r="C25" s="83"/>
      <c r="D25" s="83"/>
      <c r="E25" s="83"/>
      <c r="F25" s="83"/>
      <c r="G25" s="83"/>
    </row>
    <row r="26" ht="15" customHeight="1"/>
    <row r="27" spans="2:7" ht="15" customHeight="1">
      <c r="B27" s="427" t="s">
        <v>78</v>
      </c>
      <c r="C27" s="427"/>
      <c r="D27" s="427"/>
      <c r="E27" s="427"/>
      <c r="F27" s="427"/>
      <c r="G27" s="427"/>
    </row>
    <row r="28" spans="2:7" ht="12" customHeight="1">
      <c r="B28" s="409" t="s">
        <v>79</v>
      </c>
      <c r="C28" s="409"/>
      <c r="D28" s="409"/>
      <c r="E28" s="409"/>
      <c r="F28" s="409"/>
      <c r="G28" s="409"/>
    </row>
    <row r="29" spans="2:7" ht="12.75">
      <c r="B29" s="40"/>
      <c r="C29" s="84" t="s">
        <v>46</v>
      </c>
      <c r="D29" s="77" t="s">
        <v>47</v>
      </c>
      <c r="E29" s="385" t="s">
        <v>54</v>
      </c>
      <c r="F29" s="425" t="s">
        <v>50</v>
      </c>
      <c r="G29" s="84" t="s">
        <v>49</v>
      </c>
    </row>
    <row r="30" spans="2:7" ht="23.25" customHeight="1">
      <c r="B30" s="40"/>
      <c r="C30" s="300" t="s">
        <v>77</v>
      </c>
      <c r="D30" s="301" t="s">
        <v>38</v>
      </c>
      <c r="E30" s="424"/>
      <c r="F30" s="426"/>
      <c r="G30" s="175"/>
    </row>
    <row r="31" spans="2:7" ht="12.75" customHeight="1">
      <c r="B31" s="80">
        <v>2001</v>
      </c>
      <c r="C31" s="144">
        <f aca="true" t="shared" si="1" ref="C31:G37">(C18/C17-1)*100</f>
        <v>1.7088681383244042</v>
      </c>
      <c r="D31" s="144">
        <f t="shared" si="1"/>
        <v>3.428358305479051</v>
      </c>
      <c r="E31" s="144">
        <f t="shared" si="1"/>
        <v>-4.084541301489086</v>
      </c>
      <c r="F31" s="144">
        <f t="shared" si="1"/>
        <v>-0.2078681413598238</v>
      </c>
      <c r="G31" s="302">
        <f t="shared" si="1"/>
        <v>1.563136018933431</v>
      </c>
    </row>
    <row r="32" spans="2:7" ht="12.75" customHeight="1">
      <c r="B32" s="81">
        <v>2002</v>
      </c>
      <c r="C32" s="68">
        <f t="shared" si="1"/>
        <v>2.6650991605711383</v>
      </c>
      <c r="D32" s="68">
        <f t="shared" si="1"/>
        <v>0.3876692733984832</v>
      </c>
      <c r="E32" s="68">
        <f t="shared" si="1"/>
        <v>0.3899083477633791</v>
      </c>
      <c r="F32" s="68">
        <f t="shared" si="1"/>
        <v>1.7532012032006161</v>
      </c>
      <c r="G32" s="86">
        <f t="shared" si="1"/>
        <v>1.3383543326295877</v>
      </c>
    </row>
    <row r="33" spans="2:7" ht="12.75" customHeight="1">
      <c r="B33" s="81">
        <v>2003</v>
      </c>
      <c r="C33" s="68">
        <f t="shared" si="1"/>
        <v>1.5440301314952887</v>
      </c>
      <c r="D33" s="68">
        <f t="shared" si="1"/>
        <v>-0.12256658612169735</v>
      </c>
      <c r="E33" s="68">
        <f t="shared" si="1"/>
        <v>-6.1002324837873045</v>
      </c>
      <c r="F33" s="68">
        <f t="shared" si="1"/>
        <v>0.6822568809912166</v>
      </c>
      <c r="G33" s="86">
        <f t="shared" si="1"/>
        <v>0.002334954044869164</v>
      </c>
    </row>
    <row r="34" spans="2:7" ht="12.75" customHeight="1">
      <c r="B34" s="81">
        <v>2004</v>
      </c>
      <c r="C34" s="68">
        <f t="shared" si="1"/>
        <v>1.3282693392018485</v>
      </c>
      <c r="D34" s="68">
        <f t="shared" si="1"/>
        <v>5.041434605680339</v>
      </c>
      <c r="E34" s="68">
        <f t="shared" si="1"/>
        <v>4.276868883882012</v>
      </c>
      <c r="F34" s="68">
        <f t="shared" si="1"/>
        <v>1.5927118693242814</v>
      </c>
      <c r="G34" s="86">
        <f t="shared" si="1"/>
        <v>3.1968937510305384</v>
      </c>
    </row>
    <row r="35" spans="2:7" ht="12.75" customHeight="1">
      <c r="B35" s="81">
        <v>2005</v>
      </c>
      <c r="C35" s="68">
        <f t="shared" si="1"/>
        <v>0.7757809660245085</v>
      </c>
      <c r="D35" s="68">
        <f t="shared" si="1"/>
        <v>2.904415158342988</v>
      </c>
      <c r="E35" s="68">
        <f t="shared" si="1"/>
        <v>-3.983746555918577</v>
      </c>
      <c r="F35" s="68">
        <f t="shared" si="1"/>
        <v>1.317570616370367</v>
      </c>
      <c r="G35" s="86">
        <f t="shared" si="1"/>
        <v>1.3629251456681368</v>
      </c>
    </row>
    <row r="36" spans="2:7" ht="12.75" customHeight="1">
      <c r="B36" s="81">
        <v>2006</v>
      </c>
      <c r="C36" s="68">
        <f t="shared" si="1"/>
        <v>-0.004932972572135874</v>
      </c>
      <c r="D36" s="68">
        <f t="shared" si="1"/>
        <v>7.071530523051339</v>
      </c>
      <c r="E36" s="68">
        <f t="shared" si="1"/>
        <v>2.02025290946648</v>
      </c>
      <c r="F36" s="68">
        <f t="shared" si="1"/>
        <v>-4.312366323048078</v>
      </c>
      <c r="G36" s="86">
        <f t="shared" si="1"/>
        <v>2.59960471996612</v>
      </c>
    </row>
    <row r="37" spans="2:7" ht="12.75" customHeight="1">
      <c r="B37" s="87">
        <v>2007</v>
      </c>
      <c r="C37" s="145">
        <f t="shared" si="1"/>
        <v>1.9994377194750612</v>
      </c>
      <c r="D37" s="145">
        <f t="shared" si="1"/>
        <v>-1.954262030990228</v>
      </c>
      <c r="E37" s="145">
        <f t="shared" si="1"/>
        <v>-2.818724279835394</v>
      </c>
      <c r="F37" s="145">
        <f t="shared" si="1"/>
        <v>-4.060304103335377</v>
      </c>
      <c r="G37" s="88">
        <f t="shared" si="1"/>
        <v>-1.0695327857978665</v>
      </c>
    </row>
    <row r="38" spans="2:7" ht="19.5" customHeight="1">
      <c r="B38" s="89" t="s">
        <v>81</v>
      </c>
      <c r="C38" s="68">
        <f>100*(POWER((C12/C7),1/5)-1)</f>
        <v>4.027597736060207</v>
      </c>
      <c r="D38" s="68">
        <f>100*(POWER((D12/D7),1/5)-1)</f>
        <v>4.350901372779448</v>
      </c>
      <c r="E38" s="68">
        <f>100*(POWER((E12/E7),1/5)-1)</f>
        <v>0.7093110311219952</v>
      </c>
      <c r="F38" s="68">
        <f>100*(POWER((F12/F7),1/5)-1)</f>
        <v>0.5754192156397719</v>
      </c>
      <c r="G38" s="86">
        <f>100*(POWER((G12/G7),1/5)-1)</f>
        <v>3.084248880679352</v>
      </c>
    </row>
    <row r="39" spans="2:7" ht="19.5" customHeight="1">
      <c r="B39" s="89" t="s">
        <v>80</v>
      </c>
      <c r="C39" s="68">
        <f>100*(POWER((C17/C12),1/5)-1)</f>
        <v>2.898205291160849</v>
      </c>
      <c r="D39" s="68">
        <f>100*(POWER((D17/D12),1/5)-1)</f>
        <v>3.262353629670245</v>
      </c>
      <c r="E39" s="68">
        <f>100*(POWER((E17/E12),1/5)-1)</f>
        <v>-0.3076517950500124</v>
      </c>
      <c r="F39" s="68">
        <f>100*(POWER((F17/F12),1/5)-1)</f>
        <v>-0.8047218400886291</v>
      </c>
      <c r="G39" s="86">
        <f>100*(POWER((G17/G12),1/5)-1)</f>
        <v>2.074122800416389</v>
      </c>
    </row>
    <row r="40" spans="2:7" ht="19.5" customHeight="1">
      <c r="B40" s="90" t="s">
        <v>101</v>
      </c>
      <c r="C40" s="69">
        <f>100*(POWER((C24/C17),1/7)-1)</f>
        <v>1.4278053368580679</v>
      </c>
      <c r="D40" s="69">
        <f>100*(POWER((D24/D17),1/7)-1)</f>
        <v>2.3523510259016778</v>
      </c>
      <c r="E40" s="69">
        <f>100*(POWER((E24/E17),1/7)-1)</f>
        <v>-1.5326771603432987</v>
      </c>
      <c r="F40" s="69">
        <f>100*(POWER((F24/F17),1/7)-1)</f>
        <v>-0.49223518704353264</v>
      </c>
      <c r="G40" s="91">
        <f>100*(POWER((G24/G17),1/7)-1)</f>
        <v>1.2758606570525188</v>
      </c>
    </row>
    <row r="41" ht="15" customHeight="1"/>
    <row r="42" spans="2:7" ht="15" customHeight="1">
      <c r="B42" s="427" t="s">
        <v>56</v>
      </c>
      <c r="C42" s="427"/>
      <c r="D42" s="427"/>
      <c r="E42" s="427"/>
      <c r="F42" s="427"/>
      <c r="G42" s="427"/>
    </row>
    <row r="43" spans="2:7" ht="12" customHeight="1">
      <c r="B43" s="384" t="s">
        <v>82</v>
      </c>
      <c r="C43" s="384"/>
      <c r="D43" s="384"/>
      <c r="E43" s="384"/>
      <c r="F43" s="384"/>
      <c r="G43" s="384"/>
    </row>
    <row r="44" spans="2:7" ht="15.75" customHeight="1">
      <c r="B44" s="40"/>
      <c r="C44" s="84" t="s">
        <v>46</v>
      </c>
      <c r="D44" s="92" t="s">
        <v>47</v>
      </c>
      <c r="E44" s="385" t="s">
        <v>54</v>
      </c>
      <c r="F44" s="385" t="s">
        <v>50</v>
      </c>
      <c r="G44" s="39"/>
    </row>
    <row r="45" spans="2:7" ht="18.75" customHeight="1">
      <c r="B45" s="40"/>
      <c r="C45" s="78" t="s">
        <v>77</v>
      </c>
      <c r="D45" s="85" t="s">
        <v>38</v>
      </c>
      <c r="E45" s="421"/>
      <c r="F45" s="422"/>
      <c r="G45" s="39"/>
    </row>
    <row r="46" spans="2:7" ht="12.75" customHeight="1">
      <c r="B46" s="303">
        <v>1990</v>
      </c>
      <c r="C46" s="304">
        <f aca="true" t="shared" si="2" ref="C46:F61">100*C7/$G7</f>
        <v>29.77199700500671</v>
      </c>
      <c r="D46" s="305">
        <f t="shared" si="2"/>
        <v>37.34141962297302</v>
      </c>
      <c r="E46" s="305">
        <f t="shared" si="2"/>
        <v>12.395244919516763</v>
      </c>
      <c r="F46" s="306">
        <f t="shared" si="2"/>
        <v>20.491338452503502</v>
      </c>
      <c r="G46" s="39"/>
    </row>
    <row r="47" spans="2:10" ht="12.75" customHeight="1" hidden="1">
      <c r="B47" s="81">
        <v>1991</v>
      </c>
      <c r="C47" s="138">
        <f t="shared" si="2"/>
        <v>30.626116182580635</v>
      </c>
      <c r="D47" s="139">
        <f t="shared" si="2"/>
        <v>36.771465756219435</v>
      </c>
      <c r="E47" s="139">
        <f t="shared" si="2"/>
        <v>12.186151455642287</v>
      </c>
      <c r="F47" s="140">
        <f t="shared" si="2"/>
        <v>20.416266605557635</v>
      </c>
      <c r="G47" s="39"/>
      <c r="J47" s="3"/>
    </row>
    <row r="48" spans="2:10" ht="12.75" customHeight="1" hidden="1">
      <c r="B48" s="81">
        <v>1992</v>
      </c>
      <c r="C48" s="138">
        <f t="shared" si="2"/>
        <v>30.378374107352418</v>
      </c>
      <c r="D48" s="139">
        <f t="shared" si="2"/>
        <v>37.48729464547036</v>
      </c>
      <c r="E48" s="139">
        <f t="shared" si="2"/>
        <v>12.062162028218745</v>
      </c>
      <c r="F48" s="140">
        <f t="shared" si="2"/>
        <v>20.072169218958496</v>
      </c>
      <c r="G48" s="39"/>
      <c r="J48" s="3"/>
    </row>
    <row r="49" spans="2:10" ht="12.75" customHeight="1" hidden="1">
      <c r="B49" s="81">
        <v>1993</v>
      </c>
      <c r="C49" s="138">
        <f t="shared" si="2"/>
        <v>30.96817217172273</v>
      </c>
      <c r="D49" s="139">
        <f t="shared" si="2"/>
        <v>37.88339375212468</v>
      </c>
      <c r="E49" s="139">
        <f t="shared" si="2"/>
        <v>11.359243343511977</v>
      </c>
      <c r="F49" s="140">
        <f t="shared" si="2"/>
        <v>19.78919073264062</v>
      </c>
      <c r="G49" s="39"/>
      <c r="J49" s="3"/>
    </row>
    <row r="50" spans="2:10" ht="12.75" customHeight="1" hidden="1">
      <c r="B50" s="81">
        <v>1994</v>
      </c>
      <c r="C50" s="138">
        <f t="shared" si="2"/>
        <v>31.29538657649988</v>
      </c>
      <c r="D50" s="139">
        <f t="shared" si="2"/>
        <v>38.68731544537357</v>
      </c>
      <c r="E50" s="139">
        <f t="shared" si="2"/>
        <v>11.279948386010316</v>
      </c>
      <c r="F50" s="140">
        <f t="shared" si="2"/>
        <v>18.737349592116235</v>
      </c>
      <c r="J50" s="3"/>
    </row>
    <row r="51" spans="2:10" ht="12.75" customHeight="1">
      <c r="B51" s="81">
        <v>1995</v>
      </c>
      <c r="C51" s="138">
        <f t="shared" si="2"/>
        <v>31.15941251126086</v>
      </c>
      <c r="D51" s="139">
        <f t="shared" si="2"/>
        <v>39.69266828123955</v>
      </c>
      <c r="E51" s="139">
        <f t="shared" si="2"/>
        <v>11.03168069440396</v>
      </c>
      <c r="F51" s="140">
        <f t="shared" si="2"/>
        <v>18.116238513095627</v>
      </c>
      <c r="G51" s="67"/>
      <c r="J51" s="3"/>
    </row>
    <row r="52" spans="2:10" ht="12.75" customHeight="1">
      <c r="B52" s="81">
        <v>1996</v>
      </c>
      <c r="C52" s="138">
        <f t="shared" si="2"/>
        <v>31.108067539201876</v>
      </c>
      <c r="D52" s="139">
        <f t="shared" si="2"/>
        <v>40.346124362354956</v>
      </c>
      <c r="E52" s="139">
        <f t="shared" si="2"/>
        <v>10.404480672983917</v>
      </c>
      <c r="F52" s="140">
        <f t="shared" si="2"/>
        <v>18.141327425459245</v>
      </c>
      <c r="G52" s="67"/>
      <c r="J52" s="3"/>
    </row>
    <row r="53" spans="2:10" ht="12.75" customHeight="1">
      <c r="B53" s="81">
        <v>1997</v>
      </c>
      <c r="C53" s="138">
        <f t="shared" si="2"/>
        <v>31.961033617386803</v>
      </c>
      <c r="D53" s="139">
        <f t="shared" si="2"/>
        <v>40.04109091833924</v>
      </c>
      <c r="E53" s="139">
        <f t="shared" si="2"/>
        <v>10.252540975090133</v>
      </c>
      <c r="F53" s="140">
        <f t="shared" si="2"/>
        <v>17.745334489183815</v>
      </c>
      <c r="G53" s="93"/>
      <c r="J53" s="3"/>
    </row>
    <row r="54" spans="2:10" ht="12.75" customHeight="1">
      <c r="B54" s="81">
        <v>1998</v>
      </c>
      <c r="C54" s="138">
        <f t="shared" si="2"/>
        <v>31.972474587188948</v>
      </c>
      <c r="D54" s="139">
        <f t="shared" si="2"/>
        <v>40.635016169998195</v>
      </c>
      <c r="E54" s="139">
        <f t="shared" si="2"/>
        <v>10.003376396318595</v>
      </c>
      <c r="F54" s="140">
        <f t="shared" si="2"/>
        <v>17.389132846494263</v>
      </c>
      <c r="G54" s="93"/>
      <c r="J54" s="3"/>
    </row>
    <row r="55" spans="2:10" ht="12.75" customHeight="1">
      <c r="B55" s="81">
        <v>1999</v>
      </c>
      <c r="C55" s="138">
        <f t="shared" si="2"/>
        <v>32.14244201009823</v>
      </c>
      <c r="D55" s="139">
        <f t="shared" si="2"/>
        <v>41.0912255908957</v>
      </c>
      <c r="E55" s="139">
        <f t="shared" si="2"/>
        <v>9.886205492721139</v>
      </c>
      <c r="F55" s="140">
        <f t="shared" si="2"/>
        <v>16.88012690628495</v>
      </c>
      <c r="G55" s="93"/>
      <c r="J55" s="3"/>
    </row>
    <row r="56" spans="2:10" ht="12.75" customHeight="1">
      <c r="B56" s="81">
        <v>2000</v>
      </c>
      <c r="C56" s="138">
        <f t="shared" si="2"/>
        <v>32.43769447916238</v>
      </c>
      <c r="D56" s="139">
        <f t="shared" si="2"/>
        <v>42.05736994405409</v>
      </c>
      <c r="E56" s="139">
        <f t="shared" si="2"/>
        <v>9.803305337710743</v>
      </c>
      <c r="F56" s="140">
        <f t="shared" si="2"/>
        <v>15.701630239072795</v>
      </c>
      <c r="G56" s="93"/>
      <c r="J56" s="3"/>
    </row>
    <row r="57" spans="2:10" ht="12.75" customHeight="1">
      <c r="B57" s="81">
        <v>2001</v>
      </c>
      <c r="C57" s="138">
        <f t="shared" si="2"/>
        <v>32.48423906364354</v>
      </c>
      <c r="D57" s="139">
        <f t="shared" si="2"/>
        <v>42.82975987615031</v>
      </c>
      <c r="E57" s="139">
        <f t="shared" si="2"/>
        <v>9.258167530911978</v>
      </c>
      <c r="F57" s="140">
        <f t="shared" si="2"/>
        <v>15.427833529294155</v>
      </c>
      <c r="G57" s="93"/>
      <c r="J57" s="3"/>
    </row>
    <row r="58" spans="2:10" ht="12.75" customHeight="1">
      <c r="B58" s="81">
        <v>2002</v>
      </c>
      <c r="C58" s="138">
        <f t="shared" si="2"/>
        <v>32.90953012398425</v>
      </c>
      <c r="D58" s="139">
        <f t="shared" si="2"/>
        <v>42.42796123759081</v>
      </c>
      <c r="E58" s="139">
        <f t="shared" si="2"/>
        <v>9.171518483966828</v>
      </c>
      <c r="F58" s="140">
        <f t="shared" si="2"/>
        <v>15.490990154458116</v>
      </c>
      <c r="G58" s="93"/>
      <c r="J58" s="3"/>
    </row>
    <row r="59" spans="2:10" ht="12.75" customHeight="1">
      <c r="B59" s="81">
        <v>2003</v>
      </c>
      <c r="C59" s="138">
        <f t="shared" si="2"/>
        <v>33.416882916372764</v>
      </c>
      <c r="D59" s="139">
        <f t="shared" si="2"/>
        <v>42.37496929788123</v>
      </c>
      <c r="E59" s="139">
        <f t="shared" si="2"/>
        <v>8.611833451797809</v>
      </c>
      <c r="F59" s="140">
        <f t="shared" si="2"/>
        <v>15.596314333948186</v>
      </c>
      <c r="G59" s="93"/>
      <c r="J59" s="3"/>
    </row>
    <row r="60" spans="2:10" ht="12.75" customHeight="1">
      <c r="B60" s="81">
        <v>2004</v>
      </c>
      <c r="C60" s="138">
        <f t="shared" si="2"/>
        <v>32.81179102925255</v>
      </c>
      <c r="D60" s="139">
        <f t="shared" si="2"/>
        <v>43.13237932490243</v>
      </c>
      <c r="E60" s="139">
        <f t="shared" si="2"/>
        <v>8.701957927817778</v>
      </c>
      <c r="F60" s="140">
        <f t="shared" si="2"/>
        <v>15.353871718027243</v>
      </c>
      <c r="G60" s="93"/>
      <c r="J60" s="3"/>
    </row>
    <row r="61" spans="2:10" ht="12.75" customHeight="1">
      <c r="B61" s="81">
        <v>2005</v>
      </c>
      <c r="C61" s="138">
        <f t="shared" si="2"/>
        <v>32.62172891237082</v>
      </c>
      <c r="D61" s="139">
        <f t="shared" si="2"/>
        <v>43.78832065509481</v>
      </c>
      <c r="E61" s="139">
        <f t="shared" si="2"/>
        <v>8.24294875721424</v>
      </c>
      <c r="F61" s="140">
        <f t="shared" si="2"/>
        <v>15.347001675320122</v>
      </c>
      <c r="G61" s="93"/>
      <c r="J61" s="3"/>
    </row>
    <row r="62" spans="2:10" ht="12.75" customHeight="1">
      <c r="B62" s="81">
        <v>2006</v>
      </c>
      <c r="C62" s="138">
        <f aca="true" t="shared" si="3" ref="C62:F63">100*C23/$G23</f>
        <v>31.793611467084983</v>
      </c>
      <c r="D62" s="139">
        <f t="shared" si="3"/>
        <v>45.69688669241776</v>
      </c>
      <c r="E62" s="139">
        <f t="shared" si="3"/>
        <v>8.196403087770559</v>
      </c>
      <c r="F62" s="140">
        <f t="shared" si="3"/>
        <v>14.313098752726697</v>
      </c>
      <c r="G62" s="93"/>
      <c r="J62" s="3"/>
    </row>
    <row r="63" spans="2:10" ht="12.75" customHeight="1">
      <c r="B63" s="289">
        <v>2007</v>
      </c>
      <c r="C63" s="141">
        <f t="shared" si="3"/>
        <v>32.77989666916865</v>
      </c>
      <c r="D63" s="142">
        <f t="shared" si="3"/>
        <v>45.288222170663445</v>
      </c>
      <c r="E63" s="142">
        <f t="shared" si="3"/>
        <v>8.051482327093376</v>
      </c>
      <c r="F63" s="143">
        <f t="shared" si="3"/>
        <v>13.880398833074528</v>
      </c>
      <c r="G63" s="94"/>
      <c r="J63" s="3"/>
    </row>
    <row r="64" spans="2:7" ht="15" customHeight="1">
      <c r="B64" s="423" t="s">
        <v>145</v>
      </c>
      <c r="C64" s="423"/>
      <c r="D64" s="423"/>
      <c r="E64" s="423"/>
      <c r="F64" s="423"/>
      <c r="G64" s="423"/>
    </row>
  </sheetData>
  <mergeCells count="15">
    <mergeCell ref="B27:G27"/>
    <mergeCell ref="B2:G2"/>
    <mergeCell ref="B3:G3"/>
    <mergeCell ref="D5:D6"/>
    <mergeCell ref="E5:E6"/>
    <mergeCell ref="B4:G4"/>
    <mergeCell ref="F5:F6"/>
    <mergeCell ref="B28:G28"/>
    <mergeCell ref="E29:E30"/>
    <mergeCell ref="F29:F30"/>
    <mergeCell ref="B42:G42"/>
    <mergeCell ref="B43:G43"/>
    <mergeCell ref="E44:E45"/>
    <mergeCell ref="F44:F45"/>
    <mergeCell ref="B64:G6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S44"/>
  <sheetViews>
    <sheetView workbookViewId="0" topLeftCell="A10">
      <selection activeCell="Q44" sqref="Q44"/>
    </sheetView>
  </sheetViews>
  <sheetFormatPr defaultColWidth="9.140625" defaultRowHeight="12.75"/>
  <cols>
    <col min="1" max="1" width="0.71875" style="0" customWidth="1"/>
    <col min="2" max="2" width="9.7109375" style="0" customWidth="1"/>
    <col min="3" max="17" width="6.7109375" style="0" customWidth="1"/>
  </cols>
  <sheetData>
    <row r="1" spans="2:14" ht="14.25" customHeight="1">
      <c r="B1" s="403"/>
      <c r="C1" s="403"/>
      <c r="F1" s="20"/>
      <c r="N1" s="20" t="s">
        <v>117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5" customHeight="1">
      <c r="B32" s="11" t="s">
        <v>127</v>
      </c>
    </row>
    <row r="34" spans="7:19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7" spans="3:17" ht="12.75">
      <c r="C37" s="24">
        <v>1995</v>
      </c>
      <c r="D37" s="25">
        <v>1996</v>
      </c>
      <c r="E37" s="25">
        <v>1997</v>
      </c>
      <c r="F37" s="25">
        <v>1998</v>
      </c>
      <c r="G37" s="25">
        <v>1999</v>
      </c>
      <c r="H37" s="25">
        <v>2000</v>
      </c>
      <c r="I37" s="25">
        <v>2001</v>
      </c>
      <c r="J37" s="25">
        <v>2002</v>
      </c>
      <c r="K37" s="25">
        <v>2003</v>
      </c>
      <c r="L37" s="25">
        <v>2004</v>
      </c>
      <c r="M37" s="25">
        <v>2005</v>
      </c>
      <c r="N37" s="25">
        <v>2006</v>
      </c>
      <c r="O37" s="25">
        <v>2007</v>
      </c>
      <c r="P37" s="25">
        <v>2008</v>
      </c>
      <c r="Q37" s="15">
        <v>2009</v>
      </c>
    </row>
    <row r="38" spans="2:17" ht="24.75" customHeight="1">
      <c r="B38" s="118" t="s">
        <v>46</v>
      </c>
      <c r="C38" s="248">
        <v>1288.66</v>
      </c>
      <c r="D38" s="249">
        <v>1302.5789999999997</v>
      </c>
      <c r="E38" s="249">
        <v>1351.678</v>
      </c>
      <c r="F38" s="249">
        <v>1414.2039999999997</v>
      </c>
      <c r="G38" s="249">
        <v>1469.9409999999998</v>
      </c>
      <c r="H38" s="249">
        <v>1518.7060000000001</v>
      </c>
      <c r="I38" s="249">
        <v>1556.2670000000003</v>
      </c>
      <c r="J38" s="249">
        <v>1605.8980000000001</v>
      </c>
      <c r="K38" s="249">
        <v>1625.4370000000001</v>
      </c>
      <c r="L38" s="249">
        <v>1742.101</v>
      </c>
      <c r="M38" s="249">
        <v>1794.0060000000003</v>
      </c>
      <c r="N38" s="250">
        <v>1847.572</v>
      </c>
      <c r="O38" s="250">
        <v>1914.4559999999997</v>
      </c>
      <c r="P38" s="250">
        <v>1880.5010000000002</v>
      </c>
      <c r="Q38" s="251">
        <v>1691.431</v>
      </c>
    </row>
    <row r="39" spans="2:17" ht="24.75" customHeight="1">
      <c r="B39" s="119" t="s">
        <v>45</v>
      </c>
      <c r="C39" s="252">
        <v>1146</v>
      </c>
      <c r="D39" s="65">
        <v>1160</v>
      </c>
      <c r="E39" s="65">
        <v>1193</v>
      </c>
      <c r="F39" s="65">
        <v>1232</v>
      </c>
      <c r="G39" s="65">
        <v>1268</v>
      </c>
      <c r="H39" s="65">
        <v>1314</v>
      </c>
      <c r="I39" s="65">
        <v>1334</v>
      </c>
      <c r="J39" s="65">
        <v>1355</v>
      </c>
      <c r="K39" s="65">
        <v>1378</v>
      </c>
      <c r="L39" s="65">
        <v>1427</v>
      </c>
      <c r="M39" s="65">
        <v>1461</v>
      </c>
      <c r="N39" s="253">
        <v>1505</v>
      </c>
      <c r="O39" s="253">
        <v>1532</v>
      </c>
      <c r="P39" s="253">
        <v>1498</v>
      </c>
      <c r="Q39" s="254">
        <v>1336</v>
      </c>
    </row>
    <row r="40" spans="2:17" ht="24.75" customHeight="1">
      <c r="B40" s="119" t="s">
        <v>47</v>
      </c>
      <c r="C40" s="255">
        <v>386.14406800000006</v>
      </c>
      <c r="D40" s="253">
        <v>392.1460000000001</v>
      </c>
      <c r="E40" s="253">
        <v>409.5369999999999</v>
      </c>
      <c r="F40" s="253">
        <v>392.506525</v>
      </c>
      <c r="G40" s="253">
        <v>383.62501500293985</v>
      </c>
      <c r="H40" s="253">
        <v>403.6757546422241</v>
      </c>
      <c r="I40" s="253">
        <v>385.9743022522569</v>
      </c>
      <c r="J40" s="253">
        <v>383.777192553031</v>
      </c>
      <c r="K40" s="253">
        <v>391.888268754624</v>
      </c>
      <c r="L40" s="253">
        <v>416.271370260433</v>
      </c>
      <c r="M40" s="253">
        <v>414.13418045013304</v>
      </c>
      <c r="N40" s="253">
        <v>440.39892025294506</v>
      </c>
      <c r="O40" s="253">
        <v>453.135</v>
      </c>
      <c r="P40" s="253">
        <v>442.8209999999999</v>
      </c>
      <c r="Q40" s="254">
        <v>361.64</v>
      </c>
    </row>
    <row r="41" spans="2:17" ht="24.75" customHeight="1">
      <c r="B41" s="119" t="s">
        <v>52</v>
      </c>
      <c r="C41" s="255">
        <v>122.08520799999998</v>
      </c>
      <c r="D41" s="253">
        <v>119.75649199999998</v>
      </c>
      <c r="E41" s="253">
        <v>127.84812699999999</v>
      </c>
      <c r="F41" s="253">
        <v>131.011354551</v>
      </c>
      <c r="G41" s="253">
        <v>128.726899</v>
      </c>
      <c r="H41" s="253">
        <v>133.8613496</v>
      </c>
      <c r="I41" s="253">
        <v>132.5287596</v>
      </c>
      <c r="J41" s="253">
        <v>132.504278</v>
      </c>
      <c r="K41" s="253">
        <v>123.5149852</v>
      </c>
      <c r="L41" s="253">
        <v>136.73445100000004</v>
      </c>
      <c r="M41" s="253">
        <v>138.66237439999995</v>
      </c>
      <c r="N41" s="253">
        <v>138.4605691</v>
      </c>
      <c r="O41" s="253">
        <v>144.92859039899997</v>
      </c>
      <c r="P41" s="253">
        <v>143.1656144</v>
      </c>
      <c r="Q41" s="254">
        <v>119.82700000000001</v>
      </c>
    </row>
    <row r="42" spans="2:17" ht="24.75" customHeight="1">
      <c r="B42" s="119" t="s">
        <v>84</v>
      </c>
      <c r="C42" s="255">
        <v>114.90729999999999</v>
      </c>
      <c r="D42" s="253">
        <v>119.3301</v>
      </c>
      <c r="E42" s="253">
        <v>118.179</v>
      </c>
      <c r="F42" s="253">
        <v>125.38799999999999</v>
      </c>
      <c r="G42" s="253">
        <v>124.228</v>
      </c>
      <c r="H42" s="253">
        <v>126.67869999999999</v>
      </c>
      <c r="I42" s="253">
        <v>133.0403</v>
      </c>
      <c r="J42" s="253">
        <v>128.44559999999998</v>
      </c>
      <c r="K42" s="253">
        <v>130.3528</v>
      </c>
      <c r="L42" s="253">
        <v>131.6473606</v>
      </c>
      <c r="M42" s="253">
        <v>136.0025038</v>
      </c>
      <c r="N42" s="253">
        <v>135.3792498</v>
      </c>
      <c r="O42" s="253">
        <v>127.35617599999999</v>
      </c>
      <c r="P42" s="253">
        <v>123.74551739999998</v>
      </c>
      <c r="Q42" s="254">
        <v>120.189279</v>
      </c>
    </row>
    <row r="43" spans="2:17" ht="24.75" customHeight="1">
      <c r="B43" s="120" t="s">
        <v>48</v>
      </c>
      <c r="C43" s="256">
        <v>2</v>
      </c>
      <c r="D43" s="66">
        <v>2.06</v>
      </c>
      <c r="E43" s="66">
        <v>2.18</v>
      </c>
      <c r="F43" s="66">
        <v>2.25</v>
      </c>
      <c r="G43" s="66">
        <v>2.3</v>
      </c>
      <c r="H43" s="66">
        <v>2.45</v>
      </c>
      <c r="I43" s="66">
        <v>2.46</v>
      </c>
      <c r="J43" s="66">
        <v>2.4</v>
      </c>
      <c r="K43" s="66">
        <v>2.42</v>
      </c>
      <c r="L43" s="66">
        <v>2.51</v>
      </c>
      <c r="M43" s="66">
        <v>2.58</v>
      </c>
      <c r="N43" s="257">
        <v>2.66</v>
      </c>
      <c r="O43" s="257">
        <v>2.75</v>
      </c>
      <c r="P43" s="257">
        <v>2.7</v>
      </c>
      <c r="Q43" s="258">
        <v>2.48</v>
      </c>
    </row>
    <row r="44" spans="2:17" ht="24.75" customHeight="1">
      <c r="B44" s="341" t="s">
        <v>49</v>
      </c>
      <c r="C44" s="259">
        <f aca="true" t="shared" si="0" ref="C44:Q44">SUM(C38:C43)</f>
        <v>3059.7965759999997</v>
      </c>
      <c r="D44" s="260">
        <f t="shared" si="0"/>
        <v>3095.871592</v>
      </c>
      <c r="E44" s="260">
        <f t="shared" si="0"/>
        <v>3202.422127</v>
      </c>
      <c r="F44" s="260">
        <f t="shared" si="0"/>
        <v>3297.3598795509993</v>
      </c>
      <c r="G44" s="260">
        <f t="shared" si="0"/>
        <v>3376.8209140029403</v>
      </c>
      <c r="H44" s="260">
        <f t="shared" si="0"/>
        <v>3499.371804242224</v>
      </c>
      <c r="I44" s="260">
        <f t="shared" si="0"/>
        <v>3544.2703618522573</v>
      </c>
      <c r="J44" s="260">
        <f t="shared" si="0"/>
        <v>3608.025070553031</v>
      </c>
      <c r="K44" s="260">
        <f t="shared" si="0"/>
        <v>3651.613053954624</v>
      </c>
      <c r="L44" s="260">
        <f t="shared" si="0"/>
        <v>3856.2641818604334</v>
      </c>
      <c r="M44" s="260">
        <f t="shared" si="0"/>
        <v>3946.385058650133</v>
      </c>
      <c r="N44" s="260">
        <f t="shared" si="0"/>
        <v>4069.470739152945</v>
      </c>
      <c r="O44" s="260">
        <f t="shared" si="0"/>
        <v>4174.625766398999</v>
      </c>
      <c r="P44" s="260">
        <f t="shared" si="0"/>
        <v>4090.9331318</v>
      </c>
      <c r="Q44" s="261">
        <f t="shared" si="0"/>
        <v>3631.5672790000003</v>
      </c>
    </row>
  </sheetData>
  <mergeCells count="1">
    <mergeCell ref="B1:C1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54"/>
  <sheetViews>
    <sheetView workbookViewId="0" topLeftCell="A4">
      <selection activeCell="H48" sqref="H48"/>
    </sheetView>
  </sheetViews>
  <sheetFormatPr defaultColWidth="9.140625" defaultRowHeight="12.75"/>
  <cols>
    <col min="2" max="2" width="4.7109375" style="0" customWidth="1"/>
    <col min="3" max="9" width="6.7109375" style="0" customWidth="1"/>
    <col min="11" max="11" width="2.28125" style="0" customWidth="1"/>
    <col min="12" max="12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118</v>
      </c>
    </row>
    <row r="2" spans="1:11" s="95" customFormat="1" ht="30" customHeight="1">
      <c r="A2"/>
      <c r="B2" s="407" t="s">
        <v>98</v>
      </c>
      <c r="C2" s="407"/>
      <c r="D2" s="407"/>
      <c r="E2" s="407"/>
      <c r="F2" s="407"/>
      <c r="G2" s="407"/>
      <c r="H2" s="407"/>
      <c r="I2" s="407"/>
      <c r="J2"/>
      <c r="K2"/>
    </row>
    <row r="3" spans="2:9" ht="15" customHeight="1">
      <c r="B3" s="401" t="s">
        <v>51</v>
      </c>
      <c r="C3" s="401"/>
      <c r="D3" s="401"/>
      <c r="E3" s="401"/>
      <c r="F3" s="401"/>
      <c r="G3" s="401"/>
      <c r="H3" s="401"/>
      <c r="I3" s="401"/>
    </row>
    <row r="4" spans="2:9" ht="12" customHeight="1">
      <c r="B4" s="409" t="s">
        <v>133</v>
      </c>
      <c r="C4" s="409"/>
      <c r="D4" s="409"/>
      <c r="E4" s="409"/>
      <c r="F4" s="409"/>
      <c r="G4" s="409"/>
      <c r="H4" s="409"/>
      <c r="I4" s="409"/>
    </row>
    <row r="5" spans="1:11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238"/>
      <c r="H5" s="238"/>
      <c r="I5" s="404" t="s">
        <v>49</v>
      </c>
      <c r="J5"/>
      <c r="K5"/>
    </row>
    <row r="6" spans="1:11" s="28" customFormat="1" ht="12" customHeight="1">
      <c r="A6"/>
      <c r="B6" s="4"/>
      <c r="C6" s="405"/>
      <c r="D6" s="405"/>
      <c r="E6" s="405"/>
      <c r="F6" s="405"/>
      <c r="G6" s="240" t="s">
        <v>45</v>
      </c>
      <c r="H6" s="240" t="s">
        <v>48</v>
      </c>
      <c r="I6" s="405"/>
      <c r="J6"/>
      <c r="K6"/>
    </row>
    <row r="7" spans="1:11" s="28" customFormat="1" ht="12" customHeight="1">
      <c r="A7"/>
      <c r="B7" s="37"/>
      <c r="C7" s="406"/>
      <c r="D7" s="406"/>
      <c r="E7" s="406"/>
      <c r="F7" s="406"/>
      <c r="G7" s="239"/>
      <c r="H7" s="239"/>
      <c r="I7" s="406"/>
      <c r="J7"/>
      <c r="K7"/>
    </row>
    <row r="8" spans="1:11" s="28" customFormat="1" ht="12" customHeight="1">
      <c r="A8"/>
      <c r="B8" s="241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00">
        <v>1146</v>
      </c>
      <c r="H8" s="201">
        <v>2</v>
      </c>
      <c r="I8" s="335">
        <f aca="true" t="shared" si="0" ref="I8:I22">SUM(C8:H8)</f>
        <v>3059.796576</v>
      </c>
      <c r="J8"/>
      <c r="K8"/>
    </row>
    <row r="9" spans="1:11" s="28" customFormat="1" ht="12.75" customHeight="1">
      <c r="A9"/>
      <c r="B9" s="242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06">
        <v>1160</v>
      </c>
      <c r="H9" s="207">
        <v>2.06</v>
      </c>
      <c r="I9" s="202">
        <f t="shared" si="0"/>
        <v>3095.871592</v>
      </c>
      <c r="J9"/>
      <c r="K9"/>
    </row>
    <row r="10" spans="1:11" s="28" customFormat="1" ht="12.75" customHeight="1">
      <c r="A10"/>
      <c r="B10" s="242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06">
        <v>1193</v>
      </c>
      <c r="H10" s="207">
        <v>2.18</v>
      </c>
      <c r="I10" s="202">
        <f t="shared" si="0"/>
        <v>3202.4221270000003</v>
      </c>
      <c r="J10"/>
      <c r="K10"/>
    </row>
    <row r="11" spans="1:11" s="29" customFormat="1" ht="12.75" customHeight="1">
      <c r="A11"/>
      <c r="B11" s="242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06">
        <v>1232</v>
      </c>
      <c r="H11" s="207">
        <v>2.25</v>
      </c>
      <c r="I11" s="202">
        <f t="shared" si="0"/>
        <v>3297.3598795509997</v>
      </c>
      <c r="J11"/>
      <c r="K11"/>
    </row>
    <row r="12" spans="1:11" s="29" customFormat="1" ht="12.75" customHeight="1">
      <c r="A12"/>
      <c r="B12" s="242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06">
        <v>1268</v>
      </c>
      <c r="H12" s="207">
        <v>2.3</v>
      </c>
      <c r="I12" s="202">
        <f t="shared" si="0"/>
        <v>3376.82091400294</v>
      </c>
      <c r="J12"/>
      <c r="K12"/>
    </row>
    <row r="13" spans="1:11" s="29" customFormat="1" ht="12.75" customHeight="1">
      <c r="A13"/>
      <c r="B13" s="242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06">
        <v>1314</v>
      </c>
      <c r="H13" s="207">
        <v>2.45</v>
      </c>
      <c r="I13" s="202">
        <f t="shared" si="0"/>
        <v>3499.371804242224</v>
      </c>
      <c r="J13"/>
      <c r="K13"/>
    </row>
    <row r="14" spans="1:11" s="29" customFormat="1" ht="12.75" customHeight="1">
      <c r="A14"/>
      <c r="B14" s="242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06">
        <v>1334</v>
      </c>
      <c r="H14" s="207">
        <v>2.46</v>
      </c>
      <c r="I14" s="202">
        <f t="shared" si="0"/>
        <v>3544.2703618522573</v>
      </c>
      <c r="J14"/>
      <c r="K14"/>
    </row>
    <row r="15" spans="1:11" s="29" customFormat="1" ht="12.75" customHeight="1">
      <c r="A15"/>
      <c r="B15" s="242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06">
        <v>1355</v>
      </c>
      <c r="H15" s="207">
        <v>2.4</v>
      </c>
      <c r="I15" s="202">
        <f t="shared" si="0"/>
        <v>3608.025070553031</v>
      </c>
      <c r="J15"/>
      <c r="K15"/>
    </row>
    <row r="16" spans="1:11" s="29" customFormat="1" ht="12.7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06">
        <v>1378</v>
      </c>
      <c r="H16" s="207">
        <v>2.42</v>
      </c>
      <c r="I16" s="202">
        <f t="shared" si="0"/>
        <v>3651.6130539546243</v>
      </c>
      <c r="J16"/>
      <c r="K16"/>
    </row>
    <row r="17" spans="1:11" s="29" customFormat="1" ht="12.75" customHeight="1">
      <c r="A17"/>
      <c r="B17" s="242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06">
        <v>1427</v>
      </c>
      <c r="H17" s="207">
        <v>2.51</v>
      </c>
      <c r="I17" s="202">
        <f t="shared" si="0"/>
        <v>3856.2641818604334</v>
      </c>
      <c r="J17"/>
      <c r="K17"/>
    </row>
    <row r="18" spans="1:11" s="29" customFormat="1" ht="12.75" customHeight="1">
      <c r="A18"/>
      <c r="B18" s="242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06">
        <v>1461</v>
      </c>
      <c r="H18" s="207">
        <v>2.58</v>
      </c>
      <c r="I18" s="202">
        <f t="shared" si="0"/>
        <v>3946.385058650133</v>
      </c>
      <c r="J18"/>
      <c r="K18"/>
    </row>
    <row r="19" spans="1:11" s="29" customFormat="1" ht="12.75" customHeight="1">
      <c r="A19"/>
      <c r="B19" s="242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06">
        <v>1505</v>
      </c>
      <c r="H19" s="207">
        <v>2.66</v>
      </c>
      <c r="I19" s="202">
        <f t="shared" si="0"/>
        <v>4069.4707391529446</v>
      </c>
      <c r="J19"/>
      <c r="K19"/>
    </row>
    <row r="20" spans="1:11" s="29" customFormat="1" ht="12.75" customHeight="1">
      <c r="A20"/>
      <c r="B20" s="242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06">
        <v>1532</v>
      </c>
      <c r="H20" s="207">
        <v>2.75</v>
      </c>
      <c r="I20" s="202">
        <f t="shared" si="0"/>
        <v>4174.625766398999</v>
      </c>
      <c r="J20"/>
      <c r="K20"/>
    </row>
    <row r="21" spans="1:11" s="29" customFormat="1" ht="12.75" customHeight="1">
      <c r="A21"/>
      <c r="B21" s="242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06">
        <v>1498</v>
      </c>
      <c r="H21" s="207">
        <v>2.7</v>
      </c>
      <c r="I21" s="202">
        <f t="shared" si="0"/>
        <v>4090.9331318</v>
      </c>
      <c r="J21"/>
      <c r="K21"/>
    </row>
    <row r="22" spans="1:11" s="29" customFormat="1" ht="12.75" customHeight="1">
      <c r="A22"/>
      <c r="B22" s="242">
        <v>2009</v>
      </c>
      <c r="C22" s="208">
        <v>1691.431</v>
      </c>
      <c r="D22" s="209">
        <v>361.64</v>
      </c>
      <c r="E22" s="209">
        <v>119.82700000000001</v>
      </c>
      <c r="F22" s="210">
        <v>120.189279</v>
      </c>
      <c r="G22" s="211">
        <v>1336</v>
      </c>
      <c r="H22" s="212">
        <v>2.48</v>
      </c>
      <c r="I22" s="336">
        <f t="shared" si="0"/>
        <v>3631.5672790000003</v>
      </c>
      <c r="J22"/>
      <c r="K22"/>
    </row>
    <row r="23" spans="1:11" s="29" customFormat="1" ht="22.5" customHeight="1">
      <c r="A23"/>
      <c r="B23" s="244" t="s">
        <v>128</v>
      </c>
      <c r="C23" s="213">
        <f>C22/C8-1</f>
        <v>0.3125502459919607</v>
      </c>
      <c r="D23" s="214">
        <f aca="true" t="shared" si="1" ref="D23:I23">D22/D8-1</f>
        <v>-0.06345835668774291</v>
      </c>
      <c r="E23" s="214">
        <f t="shared" si="1"/>
        <v>-0.018496982861346822</v>
      </c>
      <c r="F23" s="214">
        <f t="shared" si="1"/>
        <v>0.045967305819560655</v>
      </c>
      <c r="G23" s="214">
        <f t="shared" si="1"/>
        <v>0.1657940663176265</v>
      </c>
      <c r="H23" s="214">
        <f t="shared" si="1"/>
        <v>0.24</v>
      </c>
      <c r="I23" s="331">
        <f t="shared" si="1"/>
        <v>0.18686559344656262</v>
      </c>
      <c r="J23"/>
      <c r="K23"/>
    </row>
    <row r="24" spans="1:11" s="38" customFormat="1" ht="22.5" customHeight="1">
      <c r="A24"/>
      <c r="B24" s="245" t="s">
        <v>55</v>
      </c>
      <c r="C24" s="216">
        <f aca="true" t="shared" si="2" ref="C24:I24">(POWER((C22/C8),1/14)-1)</f>
        <v>0.019616494940662088</v>
      </c>
      <c r="D24" s="217">
        <f t="shared" si="2"/>
        <v>-0.004672001454655517</v>
      </c>
      <c r="E24" s="217">
        <f t="shared" si="2"/>
        <v>-0.0013326962607395076</v>
      </c>
      <c r="F24" s="217">
        <f t="shared" si="2"/>
        <v>0.003215308677674944</v>
      </c>
      <c r="G24" s="217">
        <f t="shared" si="2"/>
        <v>0.011017569620119128</v>
      </c>
      <c r="H24" s="217">
        <f t="shared" si="2"/>
        <v>0.015483748581644585</v>
      </c>
      <c r="I24" s="218">
        <f t="shared" si="2"/>
        <v>0.012312024919747255</v>
      </c>
      <c r="J24"/>
      <c r="K24"/>
    </row>
    <row r="25" spans="1:11" s="29" customFormat="1" ht="22.5" customHeight="1">
      <c r="A25"/>
      <c r="B25" s="244" t="s">
        <v>129</v>
      </c>
      <c r="C25" s="213">
        <f aca="true" t="shared" si="3" ref="C25:I25">C22/C13-1</f>
        <v>0.11373169000451688</v>
      </c>
      <c r="D25" s="214">
        <f t="shared" si="3"/>
        <v>-0.10413247305248785</v>
      </c>
      <c r="E25" s="214">
        <f t="shared" si="3"/>
        <v>-0.10484243317385467</v>
      </c>
      <c r="F25" s="214">
        <f t="shared" si="3"/>
        <v>-0.05122740444920881</v>
      </c>
      <c r="G25" s="214">
        <f t="shared" si="3"/>
        <v>0.016742770167427645</v>
      </c>
      <c r="H25" s="214">
        <f t="shared" si="3"/>
        <v>0.012244897959183598</v>
      </c>
      <c r="I25" s="331">
        <f t="shared" si="3"/>
        <v>0.037776916016045714</v>
      </c>
      <c r="J25"/>
      <c r="K25"/>
    </row>
    <row r="26" spans="1:11" s="38" customFormat="1" ht="22.5" customHeight="1">
      <c r="A26"/>
      <c r="B26" s="240" t="s">
        <v>55</v>
      </c>
      <c r="C26" s="213">
        <f aca="true" t="shared" si="4" ref="C26:I26">(POWER((C22/C13),1/9)-1)</f>
        <v>0.012040382071486055</v>
      </c>
      <c r="D26" s="214">
        <f t="shared" si="4"/>
        <v>-0.0121437430175797</v>
      </c>
      <c r="E26" s="214">
        <f t="shared" si="4"/>
        <v>-0.012230758076808623</v>
      </c>
      <c r="F26" s="214">
        <f t="shared" si="4"/>
        <v>-0.005825867259995676</v>
      </c>
      <c r="G26" s="214">
        <f t="shared" si="4"/>
        <v>0.0018466090032436266</v>
      </c>
      <c r="H26" s="214">
        <f t="shared" si="4"/>
        <v>0.0013531964808146668</v>
      </c>
      <c r="I26" s="331">
        <f t="shared" si="4"/>
        <v>0.004128593089926191</v>
      </c>
      <c r="J26"/>
      <c r="K26"/>
    </row>
    <row r="27" spans="1:11" s="38" customFormat="1" ht="22.5" customHeight="1">
      <c r="A27"/>
      <c r="B27" s="337" t="s">
        <v>130</v>
      </c>
      <c r="C27" s="338">
        <f aca="true" t="shared" si="5" ref="C27:I27">C22/C21-1</f>
        <v>-0.10054235546803758</v>
      </c>
      <c r="D27" s="339">
        <f t="shared" si="5"/>
        <v>-0.18332689732420082</v>
      </c>
      <c r="E27" s="339">
        <f t="shared" si="5"/>
        <v>-0.16301829526462042</v>
      </c>
      <c r="F27" s="339">
        <f t="shared" si="5"/>
        <v>-0.02873832098907192</v>
      </c>
      <c r="G27" s="339">
        <f t="shared" si="5"/>
        <v>-0.10814419225634175</v>
      </c>
      <c r="H27" s="339">
        <f t="shared" si="5"/>
        <v>-0.0814814814814816</v>
      </c>
      <c r="I27" s="340">
        <f t="shared" si="5"/>
        <v>-0.11228877080126698</v>
      </c>
      <c r="J27"/>
      <c r="K27"/>
    </row>
    <row r="28" spans="1:11" s="38" customFormat="1" ht="22.5" customHeight="1">
      <c r="A28"/>
      <c r="B28" s="344"/>
      <c r="C28" s="214"/>
      <c r="D28" s="214"/>
      <c r="E28" s="214"/>
      <c r="F28" s="214"/>
      <c r="G28" s="214"/>
      <c r="H28" s="214"/>
      <c r="I28" s="343"/>
      <c r="J28"/>
      <c r="K28"/>
    </row>
    <row r="29" spans="2:9" ht="22.5" customHeight="1">
      <c r="B29" s="408" t="s">
        <v>56</v>
      </c>
      <c r="C29" s="408"/>
      <c r="D29" s="408"/>
      <c r="E29" s="408"/>
      <c r="F29" s="408"/>
      <c r="G29" s="408"/>
      <c r="H29" s="408"/>
      <c r="I29" s="408"/>
    </row>
    <row r="30" spans="2:9" ht="15" customHeight="1">
      <c r="B30" s="411" t="s">
        <v>57</v>
      </c>
      <c r="C30" s="411"/>
      <c r="D30" s="411"/>
      <c r="E30" s="411"/>
      <c r="F30" s="411"/>
      <c r="G30" s="411"/>
      <c r="H30" s="411"/>
      <c r="I30" s="411"/>
    </row>
    <row r="31" spans="2:9" ht="11.25" customHeight="1">
      <c r="B31" s="4"/>
      <c r="C31" s="404" t="s">
        <v>46</v>
      </c>
      <c r="D31" s="404" t="s">
        <v>47</v>
      </c>
      <c r="E31" s="404" t="s">
        <v>54</v>
      </c>
      <c r="F31" s="404" t="s">
        <v>99</v>
      </c>
      <c r="G31" s="404" t="s">
        <v>45</v>
      </c>
      <c r="H31" s="404" t="s">
        <v>48</v>
      </c>
      <c r="I31" s="39"/>
    </row>
    <row r="32" spans="2:9" ht="12.75" customHeight="1">
      <c r="B32" s="4"/>
      <c r="C32" s="405"/>
      <c r="D32" s="405"/>
      <c r="E32" s="405"/>
      <c r="F32" s="405"/>
      <c r="G32" s="405"/>
      <c r="H32" s="405"/>
      <c r="I32" s="39"/>
    </row>
    <row r="33" spans="2:9" ht="15.75" customHeight="1">
      <c r="B33" s="4"/>
      <c r="C33" s="406"/>
      <c r="D33" s="406"/>
      <c r="E33" s="406"/>
      <c r="F33" s="406"/>
      <c r="G33" s="406"/>
      <c r="H33" s="406"/>
      <c r="I33" s="39"/>
    </row>
    <row r="34" spans="2:9" ht="12.75">
      <c r="B34" s="241">
        <v>1995</v>
      </c>
      <c r="C34" s="222">
        <f aca="true" t="shared" si="6" ref="C34:H48">C8/$I8*100</f>
        <v>42.115871692510844</v>
      </c>
      <c r="D34" s="223">
        <f t="shared" si="6"/>
        <v>12.619926142436471</v>
      </c>
      <c r="E34" s="223">
        <f t="shared" si="6"/>
        <v>3.9899779272123737</v>
      </c>
      <c r="F34" s="223">
        <f t="shared" si="6"/>
        <v>3.755390175323864</v>
      </c>
      <c r="G34" s="223">
        <f t="shared" si="6"/>
        <v>37.45347024010788</v>
      </c>
      <c r="H34" s="224">
        <f t="shared" si="6"/>
        <v>0.06536382240856524</v>
      </c>
      <c r="I34" s="39"/>
    </row>
    <row r="35" spans="2:9" ht="12.75" customHeight="1">
      <c r="B35" s="242">
        <v>1996</v>
      </c>
      <c r="C35" s="225">
        <f t="shared" si="6"/>
        <v>42.07471018390997</v>
      </c>
      <c r="D35" s="226">
        <f t="shared" si="6"/>
        <v>12.666739829046502</v>
      </c>
      <c r="E35" s="226">
        <f t="shared" si="6"/>
        <v>3.8682641847763035</v>
      </c>
      <c r="F35" s="226">
        <f t="shared" si="6"/>
        <v>3.8544912621169205</v>
      </c>
      <c r="G35" s="226">
        <f t="shared" si="6"/>
        <v>37.46925431266401</v>
      </c>
      <c r="H35" s="227">
        <f t="shared" si="6"/>
        <v>0.06654022748628265</v>
      </c>
      <c r="I35" s="32"/>
    </row>
    <row r="36" spans="2:9" ht="12.75" customHeight="1">
      <c r="B36" s="242">
        <v>1997</v>
      </c>
      <c r="C36" s="225">
        <f t="shared" si="6"/>
        <v>42.20798965270202</v>
      </c>
      <c r="D36" s="226">
        <f t="shared" si="6"/>
        <v>12.78835155887617</v>
      </c>
      <c r="E36" s="226">
        <f t="shared" si="6"/>
        <v>3.992232189569804</v>
      </c>
      <c r="F36" s="226">
        <f t="shared" si="6"/>
        <v>3.6903005073447015</v>
      </c>
      <c r="G36" s="226">
        <f t="shared" si="6"/>
        <v>37.25305261731974</v>
      </c>
      <c r="H36" s="227">
        <f t="shared" si="6"/>
        <v>0.06807347418755828</v>
      </c>
      <c r="I36" s="32"/>
    </row>
    <row r="37" spans="2:9" ht="12.75" customHeight="1">
      <c r="B37" s="242">
        <v>1998</v>
      </c>
      <c r="C37" s="225">
        <f t="shared" si="6"/>
        <v>42.88897941563392</v>
      </c>
      <c r="D37" s="226">
        <f t="shared" si="6"/>
        <v>11.903660484079387</v>
      </c>
      <c r="E37" s="226">
        <f t="shared" si="6"/>
        <v>3.973219767835587</v>
      </c>
      <c r="F37" s="226">
        <f t="shared" si="6"/>
        <v>3.8026786453492614</v>
      </c>
      <c r="G37" s="226">
        <f t="shared" si="6"/>
        <v>37.363225277301574</v>
      </c>
      <c r="H37" s="227">
        <f t="shared" si="6"/>
        <v>0.06823640980026668</v>
      </c>
      <c r="I37" s="32"/>
    </row>
    <row r="38" spans="2:9" ht="12.75" customHeight="1">
      <c r="B38" s="242">
        <v>1999</v>
      </c>
      <c r="C38" s="225">
        <f t="shared" si="6"/>
        <v>43.53032148979163</v>
      </c>
      <c r="D38" s="226">
        <f t="shared" si="6"/>
        <v>11.360537759409468</v>
      </c>
      <c r="E38" s="226">
        <f t="shared" si="6"/>
        <v>3.812073612378958</v>
      </c>
      <c r="F38" s="226">
        <f t="shared" si="6"/>
        <v>3.678844782228562</v>
      </c>
      <c r="G38" s="226">
        <f t="shared" si="6"/>
        <v>37.55011095619198</v>
      </c>
      <c r="H38" s="227">
        <f t="shared" si="6"/>
        <v>0.06811139999940184</v>
      </c>
      <c r="I38" s="32"/>
    </row>
    <row r="39" spans="2:9" ht="12.75" customHeight="1">
      <c r="B39" s="242">
        <v>2000</v>
      </c>
      <c r="C39" s="225">
        <f t="shared" si="6"/>
        <v>43.39938951782434</v>
      </c>
      <c r="D39" s="226">
        <f t="shared" si="6"/>
        <v>11.535663462592211</v>
      </c>
      <c r="E39" s="226">
        <f t="shared" si="6"/>
        <v>3.8252965700221497</v>
      </c>
      <c r="F39" s="226">
        <f t="shared" si="6"/>
        <v>3.620041169858823</v>
      </c>
      <c r="G39" s="226">
        <f t="shared" si="6"/>
        <v>37.549596713531905</v>
      </c>
      <c r="H39" s="227">
        <f t="shared" si="6"/>
        <v>0.0700125661705884</v>
      </c>
      <c r="I39" s="32"/>
    </row>
    <row r="40" spans="2:9" ht="12.75" customHeight="1">
      <c r="B40" s="242">
        <v>2001</v>
      </c>
      <c r="C40" s="225">
        <f t="shared" si="6"/>
        <v>43.90937601009325</v>
      </c>
      <c r="D40" s="226">
        <f t="shared" si="6"/>
        <v>10.890091975109494</v>
      </c>
      <c r="E40" s="226">
        <f t="shared" si="6"/>
        <v>3.739239563280372</v>
      </c>
      <c r="F40" s="226">
        <f t="shared" si="6"/>
        <v>3.753672446434711</v>
      </c>
      <c r="G40" s="226">
        <f t="shared" si="6"/>
        <v>37.638212207458224</v>
      </c>
      <c r="H40" s="227">
        <f t="shared" si="6"/>
        <v>0.06940779762394844</v>
      </c>
      <c r="I40" s="93"/>
    </row>
    <row r="41" spans="2:9" ht="12.75" customHeight="1">
      <c r="B41" s="242">
        <v>2002</v>
      </c>
      <c r="C41" s="225">
        <f t="shared" si="6"/>
        <v>44.5090587952553</v>
      </c>
      <c r="D41" s="226">
        <f t="shared" si="6"/>
        <v>10.636766237719252</v>
      </c>
      <c r="E41" s="226">
        <f t="shared" si="6"/>
        <v>3.672487729684484</v>
      </c>
      <c r="F41" s="226">
        <f t="shared" si="6"/>
        <v>3.5599974359466433</v>
      </c>
      <c r="G41" s="226">
        <f t="shared" si="6"/>
        <v>37.555171416597396</v>
      </c>
      <c r="H41" s="227">
        <f t="shared" si="6"/>
        <v>0.06651838479692528</v>
      </c>
      <c r="I41" s="93"/>
    </row>
    <row r="42" spans="2:9" ht="12.75" customHeight="1">
      <c r="B42" s="242">
        <v>2003</v>
      </c>
      <c r="C42" s="225">
        <f t="shared" si="6"/>
        <v>44.51284886934239</v>
      </c>
      <c r="D42" s="226">
        <f t="shared" si="6"/>
        <v>10.73192211124935</v>
      </c>
      <c r="E42" s="226">
        <f t="shared" si="6"/>
        <v>3.3824773702743705</v>
      </c>
      <c r="F42" s="226">
        <f t="shared" si="6"/>
        <v>3.5697320081280384</v>
      </c>
      <c r="G42" s="226">
        <f t="shared" si="6"/>
        <v>37.736747558935726</v>
      </c>
      <c r="H42" s="227">
        <f t="shared" si="6"/>
        <v>0.06627208207011934</v>
      </c>
      <c r="I42" s="93"/>
    </row>
    <row r="43" spans="2:9" ht="12.75" customHeight="1">
      <c r="B43" s="242">
        <v>2004</v>
      </c>
      <c r="C43" s="225">
        <f t="shared" si="6"/>
        <v>45.17587275775108</v>
      </c>
      <c r="D43" s="226">
        <f t="shared" si="6"/>
        <v>10.794679789277433</v>
      </c>
      <c r="E43" s="226">
        <f t="shared" si="6"/>
        <v>3.5457749923666606</v>
      </c>
      <c r="F43" s="226">
        <f t="shared" si="6"/>
        <v>3.4138574120325824</v>
      </c>
      <c r="G43" s="226">
        <f t="shared" si="6"/>
        <v>37.00472614694027</v>
      </c>
      <c r="H43" s="227">
        <f t="shared" si="6"/>
        <v>0.0650889016319692</v>
      </c>
      <c r="I43" s="93"/>
    </row>
    <row r="44" spans="2:9" ht="12.75" customHeight="1">
      <c r="B44" s="242">
        <v>2005</v>
      </c>
      <c r="C44" s="225">
        <f t="shared" si="6"/>
        <v>45.45947679554723</v>
      </c>
      <c r="D44" s="226">
        <f t="shared" si="6"/>
        <v>10.494013490710618</v>
      </c>
      <c r="E44" s="226">
        <f t="shared" si="6"/>
        <v>3.5136554679595715</v>
      </c>
      <c r="F44" s="226">
        <f t="shared" si="6"/>
        <v>3.4462552887963716</v>
      </c>
      <c r="G44" s="226">
        <f t="shared" si="6"/>
        <v>37.02122267054541</v>
      </c>
      <c r="H44" s="227">
        <f t="shared" si="6"/>
        <v>0.06537628644079889</v>
      </c>
      <c r="I44" s="93"/>
    </row>
    <row r="45" spans="2:9" ht="12.75" customHeight="1">
      <c r="B45" s="242">
        <v>2006</v>
      </c>
      <c r="C45" s="225">
        <f t="shared" si="6"/>
        <v>45.40079333226929</v>
      </c>
      <c r="D45" s="226">
        <f t="shared" si="6"/>
        <v>10.8220195814607</v>
      </c>
      <c r="E45" s="226">
        <f t="shared" si="6"/>
        <v>3.4024220340952835</v>
      </c>
      <c r="F45" s="226">
        <f t="shared" si="6"/>
        <v>3.3267040968619677</v>
      </c>
      <c r="G45" s="226">
        <f t="shared" si="6"/>
        <v>36.98269618995378</v>
      </c>
      <c r="H45" s="227">
        <f t="shared" si="6"/>
        <v>0.06536476535898808</v>
      </c>
      <c r="I45" s="41"/>
    </row>
    <row r="46" spans="2:9" ht="12.75" customHeight="1">
      <c r="B46" s="242">
        <v>2007</v>
      </c>
      <c r="C46" s="225">
        <f t="shared" si="6"/>
        <v>45.859344217371486</v>
      </c>
      <c r="D46" s="226">
        <f t="shared" si="6"/>
        <v>10.85450589720455</v>
      </c>
      <c r="E46" s="226">
        <f t="shared" si="6"/>
        <v>3.471654670593726</v>
      </c>
      <c r="F46" s="226">
        <f t="shared" si="6"/>
        <v>3.050720786161785</v>
      </c>
      <c r="G46" s="226">
        <f t="shared" si="6"/>
        <v>36.69790026044638</v>
      </c>
      <c r="H46" s="227">
        <f t="shared" si="6"/>
        <v>0.06587416822208064</v>
      </c>
      <c r="I46" s="41"/>
    </row>
    <row r="47" spans="2:9" ht="12.75" customHeight="1">
      <c r="B47" s="242">
        <v>2008</v>
      </c>
      <c r="C47" s="225">
        <f t="shared" si="6"/>
        <v>45.96753208656297</v>
      </c>
      <c r="D47" s="226">
        <f t="shared" si="6"/>
        <v>10.824449721698576</v>
      </c>
      <c r="E47" s="226">
        <f t="shared" si="6"/>
        <v>3.4995833416863382</v>
      </c>
      <c r="F47" s="226">
        <f t="shared" si="6"/>
        <v>3.0248726491785085</v>
      </c>
      <c r="G47" s="226">
        <f t="shared" si="6"/>
        <v>36.61756258873105</v>
      </c>
      <c r="H47" s="227">
        <f t="shared" si="6"/>
        <v>0.06599961214257265</v>
      </c>
      <c r="I47" s="41"/>
    </row>
    <row r="48" spans="2:9" ht="12.75" customHeight="1">
      <c r="B48" s="243">
        <v>2009</v>
      </c>
      <c r="C48" s="228">
        <f t="shared" si="6"/>
        <v>46.57578588123412</v>
      </c>
      <c r="D48" s="229">
        <f t="shared" si="6"/>
        <v>9.958234894648085</v>
      </c>
      <c r="E48" s="229">
        <f t="shared" si="6"/>
        <v>3.2995946596642964</v>
      </c>
      <c r="F48" s="229">
        <f t="shared" si="6"/>
        <v>3.3095704902676535</v>
      </c>
      <c r="G48" s="229">
        <f t="shared" si="6"/>
        <v>36.788523999695386</v>
      </c>
      <c r="H48" s="230">
        <f t="shared" si="6"/>
        <v>0.06829007449045252</v>
      </c>
      <c r="I48" s="41"/>
    </row>
    <row r="49" spans="2:9" ht="15" customHeight="1">
      <c r="B49" s="11" t="s">
        <v>136</v>
      </c>
      <c r="G49" s="41"/>
      <c r="H49" s="41"/>
      <c r="I49" s="41"/>
    </row>
    <row r="50" spans="2:9" ht="12.75" customHeight="1">
      <c r="B50" s="11" t="s">
        <v>100</v>
      </c>
      <c r="C50" s="12"/>
      <c r="D50" s="12"/>
      <c r="E50" s="12"/>
      <c r="F50" s="12"/>
      <c r="G50" s="30"/>
      <c r="H50" s="30"/>
      <c r="I50" s="30"/>
    </row>
    <row r="51" spans="2:10" ht="12.75" customHeight="1">
      <c r="B51" s="410" t="s">
        <v>110</v>
      </c>
      <c r="C51" s="410"/>
      <c r="D51" s="410"/>
      <c r="E51" s="410"/>
      <c r="F51" s="410"/>
      <c r="G51" s="410"/>
      <c r="H51" s="410"/>
      <c r="I51" s="410"/>
      <c r="J51" s="410"/>
    </row>
    <row r="52" spans="2:10" ht="12.75" customHeight="1">
      <c r="B52" s="410" t="s">
        <v>111</v>
      </c>
      <c r="C52" s="410"/>
      <c r="D52" s="410"/>
      <c r="E52" s="410"/>
      <c r="F52" s="410"/>
      <c r="G52" s="410"/>
      <c r="H52" s="410"/>
      <c r="I52" s="410"/>
      <c r="J52" s="410"/>
    </row>
    <row r="53" spans="2:9" ht="12.75" customHeight="1">
      <c r="B53" s="12"/>
      <c r="C53" s="12"/>
      <c r="D53" s="12"/>
      <c r="E53" s="12"/>
      <c r="F53" s="12"/>
      <c r="G53" s="12"/>
      <c r="H53" s="12"/>
      <c r="I53" s="12"/>
    </row>
    <row r="54" spans="3:9" ht="12.75">
      <c r="C54" s="12"/>
      <c r="D54" s="12"/>
      <c r="E54" s="12"/>
      <c r="F54" s="12"/>
      <c r="G54" s="12"/>
      <c r="H54" s="12"/>
      <c r="I54" s="12"/>
    </row>
  </sheetData>
  <mergeCells count="18">
    <mergeCell ref="I5:I7"/>
    <mergeCell ref="B30:I30"/>
    <mergeCell ref="B51:J51"/>
    <mergeCell ref="B52:J52"/>
    <mergeCell ref="D31:D33"/>
    <mergeCell ref="E31:E33"/>
    <mergeCell ref="F31:F33"/>
    <mergeCell ref="G31:G33"/>
    <mergeCell ref="C31:C33"/>
    <mergeCell ref="B2:I2"/>
    <mergeCell ref="B3:I3"/>
    <mergeCell ref="B29:I29"/>
    <mergeCell ref="C5:C7"/>
    <mergeCell ref="D5:D7"/>
    <mergeCell ref="E5:E7"/>
    <mergeCell ref="F5:F7"/>
    <mergeCell ref="B4:I4"/>
    <mergeCell ref="H31:H3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H52"/>
  <sheetViews>
    <sheetView workbookViewId="0" topLeftCell="A16">
      <selection activeCell="G22" sqref="G22"/>
    </sheetView>
  </sheetViews>
  <sheetFormatPr defaultColWidth="9.140625" defaultRowHeight="12.75"/>
  <cols>
    <col min="2" max="2" width="4.7109375" style="0" customWidth="1"/>
    <col min="3" max="7" width="7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119</v>
      </c>
    </row>
    <row r="2" spans="1:8" s="95" customFormat="1" ht="30" customHeight="1">
      <c r="A2"/>
      <c r="B2" s="407" t="s">
        <v>98</v>
      </c>
      <c r="C2" s="407"/>
      <c r="D2" s="407"/>
      <c r="E2" s="407"/>
      <c r="F2" s="407"/>
      <c r="G2" s="407"/>
      <c r="H2"/>
    </row>
    <row r="3" spans="2:7" ht="15" customHeight="1">
      <c r="B3" s="401" t="s">
        <v>5</v>
      </c>
      <c r="C3" s="401"/>
      <c r="D3" s="401"/>
      <c r="E3" s="401"/>
      <c r="F3" s="401"/>
      <c r="G3" s="401"/>
    </row>
    <row r="4" spans="2:7" ht="12" customHeight="1">
      <c r="B4" s="409" t="s">
        <v>53</v>
      </c>
      <c r="C4" s="409"/>
      <c r="D4" s="409"/>
      <c r="E4" s="409"/>
      <c r="F4" s="409"/>
      <c r="G4" s="409"/>
    </row>
    <row r="5" spans="1:8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404" t="s">
        <v>49</v>
      </c>
      <c r="H5"/>
    </row>
    <row r="6" spans="1:8" s="28" customFormat="1" ht="12" customHeight="1">
      <c r="A6"/>
      <c r="B6" s="4"/>
      <c r="C6" s="405"/>
      <c r="D6" s="405"/>
      <c r="E6" s="405"/>
      <c r="F6" s="405"/>
      <c r="G6" s="405"/>
      <c r="H6"/>
    </row>
    <row r="7" spans="1:8" s="28" customFormat="1" ht="12" customHeight="1">
      <c r="A7"/>
      <c r="B7" s="37"/>
      <c r="C7" s="405"/>
      <c r="D7" s="405"/>
      <c r="E7" s="405"/>
      <c r="F7" s="405"/>
      <c r="G7" s="405"/>
      <c r="H7"/>
    </row>
    <row r="8" spans="1:8" s="28" customFormat="1" ht="15" customHeight="1">
      <c r="A8"/>
      <c r="B8" s="247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31">
        <f aca="true" t="shared" si="0" ref="G8:G22">SUM(C8:F8)</f>
        <v>1911.7965760000002</v>
      </c>
      <c r="H8"/>
    </row>
    <row r="9" spans="1:8" s="28" customFormat="1" ht="15" customHeight="1">
      <c r="A9"/>
      <c r="B9" s="64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32">
        <f t="shared" si="0"/>
        <v>1933.8115919999998</v>
      </c>
      <c r="H9"/>
    </row>
    <row r="10" spans="1:8" s="28" customFormat="1" ht="15" customHeight="1">
      <c r="A10"/>
      <c r="B10" s="64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32">
        <f t="shared" si="0"/>
        <v>2007.2421270000002</v>
      </c>
      <c r="H10"/>
    </row>
    <row r="11" spans="1:8" s="29" customFormat="1" ht="15" customHeight="1">
      <c r="A11"/>
      <c r="B11" s="64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32">
        <f t="shared" si="0"/>
        <v>2063.1098795509997</v>
      </c>
      <c r="H11"/>
    </row>
    <row r="12" spans="1:8" s="29" customFormat="1" ht="15" customHeight="1">
      <c r="A12"/>
      <c r="B12" s="64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32">
        <f t="shared" si="0"/>
        <v>2106.5209140029397</v>
      </c>
      <c r="H12"/>
    </row>
    <row r="13" spans="1:8" s="29" customFormat="1" ht="15" customHeight="1">
      <c r="A13"/>
      <c r="B13" s="64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32">
        <f t="shared" si="0"/>
        <v>2182.921804242224</v>
      </c>
      <c r="H13"/>
    </row>
    <row r="14" spans="1:8" s="29" customFormat="1" ht="15" customHeight="1">
      <c r="A14"/>
      <c r="B14" s="64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32">
        <f t="shared" si="0"/>
        <v>2207.8103618522573</v>
      </c>
      <c r="H14"/>
    </row>
    <row r="15" spans="1:8" s="29" customFormat="1" ht="15" customHeight="1">
      <c r="A15"/>
      <c r="B15" s="64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32">
        <f t="shared" si="0"/>
        <v>2250.625070553031</v>
      </c>
      <c r="H15"/>
    </row>
    <row r="16" spans="1:8" s="29" customFormat="1" ht="1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32">
        <f t="shared" si="0"/>
        <v>2271.1930539546242</v>
      </c>
      <c r="H16"/>
    </row>
    <row r="17" spans="1:8" s="29" customFormat="1" ht="15" customHeight="1">
      <c r="A17"/>
      <c r="B17" s="64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32">
        <f t="shared" si="0"/>
        <v>2426.754181860433</v>
      </c>
      <c r="H17"/>
    </row>
    <row r="18" spans="1:8" s="29" customFormat="1" ht="15" customHeight="1">
      <c r="A18"/>
      <c r="B18" s="64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32">
        <f t="shared" si="0"/>
        <v>2482.805058650133</v>
      </c>
      <c r="H18"/>
    </row>
    <row r="19" spans="1:8" s="29" customFormat="1" ht="15" customHeight="1">
      <c r="A19"/>
      <c r="B19" s="64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32">
        <f t="shared" si="0"/>
        <v>2561.8107391529447</v>
      </c>
      <c r="H19"/>
    </row>
    <row r="20" spans="1:8" s="29" customFormat="1" ht="15" customHeight="1">
      <c r="A20"/>
      <c r="B20" s="64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32">
        <f t="shared" si="0"/>
        <v>2639.875766398999</v>
      </c>
      <c r="H20"/>
    </row>
    <row r="21" spans="1:8" s="29" customFormat="1" ht="15" customHeight="1">
      <c r="A21"/>
      <c r="B21" s="64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32">
        <f t="shared" si="0"/>
        <v>2590.2331318</v>
      </c>
      <c r="H21"/>
    </row>
    <row r="22" spans="1:8" s="29" customFormat="1" ht="15" customHeight="1">
      <c r="A22"/>
      <c r="B22" s="64">
        <v>2009</v>
      </c>
      <c r="C22" s="203">
        <v>1691.431</v>
      </c>
      <c r="D22" s="204">
        <v>361.64</v>
      </c>
      <c r="E22" s="204">
        <v>119.82700000000001</v>
      </c>
      <c r="F22" s="205">
        <v>120.189279</v>
      </c>
      <c r="G22" s="232">
        <f t="shared" si="0"/>
        <v>2293.0872790000003</v>
      </c>
      <c r="H22"/>
    </row>
    <row r="23" spans="2:7" ht="22.5" customHeight="1">
      <c r="B23" s="244" t="s">
        <v>128</v>
      </c>
      <c r="C23" s="233">
        <f>C22/C8-1</f>
        <v>0.3125502459919607</v>
      </c>
      <c r="D23" s="234">
        <f>D22/D8-1</f>
        <v>-0.06345835668774291</v>
      </c>
      <c r="E23" s="234">
        <f>E22/E8-1</f>
        <v>-0.018496982861346822</v>
      </c>
      <c r="F23" s="235">
        <f>F22/F8-1</f>
        <v>0.045967305819560655</v>
      </c>
      <c r="G23" s="215">
        <f>G22/G8-1</f>
        <v>0.19944104293656828</v>
      </c>
    </row>
    <row r="24" spans="2:7" ht="22.5" customHeight="1">
      <c r="B24" s="245" t="s">
        <v>55</v>
      </c>
      <c r="C24" s="216">
        <f>(POWER((C22/C8),1/14)-1)</f>
        <v>0.019616494940662088</v>
      </c>
      <c r="D24" s="217">
        <f>(POWER((D22/D8),1/14)-1)</f>
        <v>-0.004672001454655517</v>
      </c>
      <c r="E24" s="217">
        <f>(POWER((E22/E8),1/14)-1)</f>
        <v>-0.0013326962607395076</v>
      </c>
      <c r="F24" s="236">
        <f>(POWER((F22/F8),1/14)-1)</f>
        <v>0.003215308677674944</v>
      </c>
      <c r="G24" s="218">
        <f>(POWER((G22/G8),1/14)-1)</f>
        <v>0.013074421837415251</v>
      </c>
    </row>
    <row r="25" spans="1:8" s="29" customFormat="1" ht="22.5" customHeight="1">
      <c r="A25"/>
      <c r="B25" s="329" t="s">
        <v>129</v>
      </c>
      <c r="C25" s="213">
        <f>C22/C13-1</f>
        <v>0.11373169000451688</v>
      </c>
      <c r="D25" s="214">
        <f>D22/D13-1</f>
        <v>-0.10413247305248785</v>
      </c>
      <c r="E25" s="214">
        <f>E22/E13-1</f>
        <v>-0.10484243317385467</v>
      </c>
      <c r="F25" s="330">
        <f>F22/F13-1</f>
        <v>-0.05122740444920881</v>
      </c>
      <c r="G25" s="331">
        <f>G22/G13-1</f>
        <v>0.050466981704834435</v>
      </c>
      <c r="H25"/>
    </row>
    <row r="26" spans="1:8" s="29" customFormat="1" ht="22.5" customHeight="1">
      <c r="A26"/>
      <c r="B26" s="246" t="s">
        <v>55</v>
      </c>
      <c r="C26" s="332">
        <f>(POWER((C22/C13),1/9)-1)</f>
        <v>0.012040382071486055</v>
      </c>
      <c r="D26" s="333">
        <f>(POWER((D22/D13),1/9)-1)</f>
        <v>-0.0121437430175797</v>
      </c>
      <c r="E26" s="333">
        <f>(POWER((E22/E13),1/9)-1)</f>
        <v>-0.012230758076808623</v>
      </c>
      <c r="F26" s="334">
        <f>(POWER((F22/F13),1/9)-1)</f>
        <v>-0.005825867259995676</v>
      </c>
      <c r="G26" s="221">
        <f>(POWER((G22/G13),1/9)-1)</f>
        <v>0.005485525116740941</v>
      </c>
      <c r="H26"/>
    </row>
    <row r="27" spans="1:8" s="38" customFormat="1" ht="22.5" customHeight="1">
      <c r="A27"/>
      <c r="B27" s="246" t="s">
        <v>130</v>
      </c>
      <c r="C27" s="219">
        <f>C22/C21-1</f>
        <v>-0.10054235546803758</v>
      </c>
      <c r="D27" s="220">
        <f>D22/D21-1</f>
        <v>-0.18332689732420082</v>
      </c>
      <c r="E27" s="220">
        <f>E22/E21-1</f>
        <v>-0.16301829526462042</v>
      </c>
      <c r="F27" s="237">
        <f>F22/F21-1</f>
        <v>-0.02873832098907192</v>
      </c>
      <c r="G27" s="221">
        <f>G22/G21-1</f>
        <v>-0.11471780248348062</v>
      </c>
      <c r="H27"/>
    </row>
    <row r="28" ht="6" customHeight="1"/>
    <row r="29" spans="2:7" ht="15" customHeight="1">
      <c r="B29" s="412" t="s">
        <v>56</v>
      </c>
      <c r="C29" s="412"/>
      <c r="D29" s="412"/>
      <c r="E29" s="412"/>
      <c r="F29" s="412"/>
      <c r="G29" s="412"/>
    </row>
    <row r="30" spans="2:7" ht="11.25" customHeight="1">
      <c r="B30" s="414" t="s">
        <v>57</v>
      </c>
      <c r="C30" s="414"/>
      <c r="D30" s="414"/>
      <c r="E30" s="414"/>
      <c r="F30" s="414"/>
      <c r="G30" s="414"/>
    </row>
    <row r="31" ht="12.75" customHeight="1"/>
    <row r="32" spans="3:6" ht="12.75" customHeight="1">
      <c r="C32" s="404" t="s">
        <v>46</v>
      </c>
      <c r="D32" s="404" t="s">
        <v>47</v>
      </c>
      <c r="E32" s="404" t="s">
        <v>54</v>
      </c>
      <c r="F32" s="404" t="s">
        <v>99</v>
      </c>
    </row>
    <row r="33" spans="3:6" ht="12.75">
      <c r="C33" s="405"/>
      <c r="D33" s="405"/>
      <c r="E33" s="405"/>
      <c r="F33" s="405"/>
    </row>
    <row r="34" spans="3:6" ht="15" customHeight="1">
      <c r="C34" s="406"/>
      <c r="D34" s="406"/>
      <c r="E34" s="406"/>
      <c r="F34" s="406"/>
    </row>
    <row r="35" spans="2:6" ht="15" customHeight="1">
      <c r="B35" s="241">
        <v>1995</v>
      </c>
      <c r="C35" s="354">
        <f aca="true" t="shared" si="1" ref="C35:F49">C8/$G8*100</f>
        <v>67.40570708083537</v>
      </c>
      <c r="D35" s="355">
        <f t="shared" si="1"/>
        <v>20.19796838468655</v>
      </c>
      <c r="E35" s="355">
        <f t="shared" si="1"/>
        <v>6.3858890392740175</v>
      </c>
      <c r="F35" s="356">
        <f t="shared" si="1"/>
        <v>6.010435495204066</v>
      </c>
    </row>
    <row r="36" spans="2:7" ht="15" customHeight="1">
      <c r="B36" s="242">
        <v>1996</v>
      </c>
      <c r="C36" s="357">
        <f t="shared" si="1"/>
        <v>67.35811313721817</v>
      </c>
      <c r="D36" s="358">
        <f t="shared" si="1"/>
        <v>20.278397421045145</v>
      </c>
      <c r="E36" s="358">
        <f t="shared" si="1"/>
        <v>6.192769372953474</v>
      </c>
      <c r="F36" s="359">
        <f t="shared" si="1"/>
        <v>6.170720068783206</v>
      </c>
      <c r="G36" s="32"/>
    </row>
    <row r="37" spans="2:7" ht="15" customHeight="1">
      <c r="B37" s="242">
        <v>1997</v>
      </c>
      <c r="C37" s="357">
        <f t="shared" si="1"/>
        <v>67.34005737614733</v>
      </c>
      <c r="D37" s="358">
        <f t="shared" si="1"/>
        <v>20.40296955166485</v>
      </c>
      <c r="E37" s="358">
        <f t="shared" si="1"/>
        <v>6.369342556150924</v>
      </c>
      <c r="F37" s="359">
        <f t="shared" si="1"/>
        <v>5.887630516036892</v>
      </c>
      <c r="G37" s="32"/>
    </row>
    <row r="38" spans="2:7" ht="15" customHeight="1">
      <c r="B38" s="242">
        <v>1998</v>
      </c>
      <c r="C38" s="357">
        <f t="shared" si="1"/>
        <v>68.54719731688633</v>
      </c>
      <c r="D38" s="358">
        <f t="shared" si="1"/>
        <v>19.02499371896868</v>
      </c>
      <c r="E38" s="358">
        <f t="shared" si="1"/>
        <v>6.350187929860157</v>
      </c>
      <c r="F38" s="359">
        <f t="shared" si="1"/>
        <v>6.07762103428483</v>
      </c>
      <c r="G38" s="32"/>
    </row>
    <row r="39" spans="2:7" ht="15" customHeight="1">
      <c r="B39" s="242">
        <v>1999</v>
      </c>
      <c r="C39" s="357">
        <f t="shared" si="1"/>
        <v>69.78050824127486</v>
      </c>
      <c r="D39" s="358">
        <f t="shared" si="1"/>
        <v>18.211308155206122</v>
      </c>
      <c r="E39" s="358">
        <f t="shared" si="1"/>
        <v>6.110876855971266</v>
      </c>
      <c r="F39" s="359">
        <f t="shared" si="1"/>
        <v>5.897306747547755</v>
      </c>
      <c r="G39" s="32"/>
    </row>
    <row r="40" spans="2:7" ht="15" customHeight="1">
      <c r="B40" s="242">
        <v>2000</v>
      </c>
      <c r="C40" s="357">
        <f t="shared" si="1"/>
        <v>69.57216685676019</v>
      </c>
      <c r="D40" s="358">
        <f t="shared" si="1"/>
        <v>18.492451440895998</v>
      </c>
      <c r="E40" s="358">
        <f t="shared" si="1"/>
        <v>6.132210019610318</v>
      </c>
      <c r="F40" s="359">
        <f t="shared" si="1"/>
        <v>5.803171682733502</v>
      </c>
      <c r="G40" s="93"/>
    </row>
    <row r="41" spans="2:7" ht="15" customHeight="1">
      <c r="B41" s="242">
        <v>2001</v>
      </c>
      <c r="C41" s="357">
        <f t="shared" si="1"/>
        <v>70.48916097550877</v>
      </c>
      <c r="D41" s="358">
        <f t="shared" si="1"/>
        <v>17.482221703518103</v>
      </c>
      <c r="E41" s="358">
        <f t="shared" si="1"/>
        <v>6.002723870215652</v>
      </c>
      <c r="F41" s="359">
        <f t="shared" si="1"/>
        <v>6.025893450757471</v>
      </c>
      <c r="G41" s="93"/>
    </row>
    <row r="42" spans="2:7" ht="15" customHeight="1">
      <c r="B42" s="242">
        <v>2002</v>
      </c>
      <c r="C42" s="357">
        <f t="shared" si="1"/>
        <v>71.35342181207434</v>
      </c>
      <c r="D42" s="358">
        <f t="shared" si="1"/>
        <v>17.052026904629123</v>
      </c>
      <c r="E42" s="358">
        <f t="shared" si="1"/>
        <v>5.887443436655604</v>
      </c>
      <c r="F42" s="359">
        <f t="shared" si="1"/>
        <v>5.707107846640929</v>
      </c>
      <c r="G42" s="93"/>
    </row>
    <row r="43" spans="2:7" ht="15" customHeight="1">
      <c r="B43" s="242">
        <v>2003</v>
      </c>
      <c r="C43" s="357">
        <f t="shared" si="1"/>
        <v>71.56754011596561</v>
      </c>
      <c r="D43" s="358">
        <f t="shared" si="1"/>
        <v>17.254731739878483</v>
      </c>
      <c r="E43" s="358">
        <f t="shared" si="1"/>
        <v>5.438330527866596</v>
      </c>
      <c r="F43" s="359">
        <f t="shared" si="1"/>
        <v>5.739397616289306</v>
      </c>
      <c r="G43" s="93"/>
    </row>
    <row r="44" spans="2:7" ht="15" customHeight="1">
      <c r="B44" s="242">
        <v>2004</v>
      </c>
      <c r="C44" s="357">
        <f t="shared" si="1"/>
        <v>71.78728744023202</v>
      </c>
      <c r="D44" s="358">
        <f t="shared" si="1"/>
        <v>17.153421363069622</v>
      </c>
      <c r="E44" s="358">
        <f t="shared" si="1"/>
        <v>5.634458241467816</v>
      </c>
      <c r="F44" s="359">
        <f t="shared" si="1"/>
        <v>5.4248329552305385</v>
      </c>
      <c r="G44" s="93"/>
    </row>
    <row r="45" spans="2:6" ht="15" customHeight="1">
      <c r="B45" s="242">
        <v>2005</v>
      </c>
      <c r="C45" s="357">
        <f t="shared" si="1"/>
        <v>72.25722348799212</v>
      </c>
      <c r="D45" s="358">
        <f t="shared" si="1"/>
        <v>16.68009250292458</v>
      </c>
      <c r="E45" s="358">
        <f t="shared" si="1"/>
        <v>5.58490784110891</v>
      </c>
      <c r="F45" s="359">
        <f t="shared" si="1"/>
        <v>5.477776167974407</v>
      </c>
    </row>
    <row r="46" spans="2:6" ht="15" customHeight="1">
      <c r="B46" s="242">
        <v>2006</v>
      </c>
      <c r="C46" s="357">
        <f t="shared" si="1"/>
        <v>72.11976949596574</v>
      </c>
      <c r="D46" s="358">
        <f t="shared" si="1"/>
        <v>17.19092333880065</v>
      </c>
      <c r="E46" s="358">
        <f t="shared" si="1"/>
        <v>5.404793062339241</v>
      </c>
      <c r="F46" s="359">
        <f t="shared" si="1"/>
        <v>5.2845141028943745</v>
      </c>
    </row>
    <row r="47" spans="2:6" ht="15" customHeight="1">
      <c r="B47" s="242">
        <v>2007</v>
      </c>
      <c r="C47" s="357">
        <f t="shared" si="1"/>
        <v>72.52068541890023</v>
      </c>
      <c r="D47" s="358">
        <f t="shared" si="1"/>
        <v>17.165012299730765</v>
      </c>
      <c r="E47" s="358">
        <f t="shared" si="1"/>
        <v>5.489977681665457</v>
      </c>
      <c r="F47" s="359">
        <f t="shared" si="1"/>
        <v>4.8243245997035675</v>
      </c>
    </row>
    <row r="48" spans="2:6" ht="15" customHeight="1">
      <c r="B48" s="242">
        <v>2008</v>
      </c>
      <c r="C48" s="357">
        <f t="shared" si="1"/>
        <v>72.59968135351608</v>
      </c>
      <c r="D48" s="358">
        <f t="shared" si="1"/>
        <v>17.095797075697025</v>
      </c>
      <c r="E48" s="358">
        <f t="shared" si="1"/>
        <v>5.5271323898367255</v>
      </c>
      <c r="F48" s="359">
        <f t="shared" si="1"/>
        <v>4.777389180950171</v>
      </c>
    </row>
    <row r="49" spans="2:6" ht="15" customHeight="1">
      <c r="B49" s="243">
        <v>2009</v>
      </c>
      <c r="C49" s="360">
        <f t="shared" si="1"/>
        <v>73.76217274807009</v>
      </c>
      <c r="D49" s="361">
        <f t="shared" si="1"/>
        <v>15.770878121905099</v>
      </c>
      <c r="E49" s="361">
        <f t="shared" si="1"/>
        <v>5.225575192770497</v>
      </c>
      <c r="F49" s="362">
        <f t="shared" si="1"/>
        <v>5.241373937254308</v>
      </c>
    </row>
    <row r="50" ht="15" customHeight="1">
      <c r="B50" s="342" t="s">
        <v>137</v>
      </c>
    </row>
    <row r="51" spans="2:7" ht="11.25" customHeight="1">
      <c r="B51" s="413" t="s">
        <v>100</v>
      </c>
      <c r="C51" s="413"/>
      <c r="D51" s="413"/>
      <c r="E51" s="413"/>
      <c r="F51" s="413"/>
      <c r="G51" s="413"/>
    </row>
    <row r="52" ht="12.75">
      <c r="B52" s="11" t="s">
        <v>138</v>
      </c>
    </row>
  </sheetData>
  <mergeCells count="15">
    <mergeCell ref="B51:G51"/>
    <mergeCell ref="B30:G30"/>
    <mergeCell ref="C32:C34"/>
    <mergeCell ref="D32:D34"/>
    <mergeCell ref="E32:E34"/>
    <mergeCell ref="F32:F34"/>
    <mergeCell ref="B3:G3"/>
    <mergeCell ref="B2:G2"/>
    <mergeCell ref="B4:G4"/>
    <mergeCell ref="G5:G7"/>
    <mergeCell ref="B29:G29"/>
    <mergeCell ref="C5:C7"/>
    <mergeCell ref="D5:D7"/>
    <mergeCell ref="E5:E7"/>
    <mergeCell ref="F5:F7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E46"/>
  <sheetViews>
    <sheetView workbookViewId="0" topLeftCell="A7">
      <selection activeCell="T1" sqref="T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2.140625" style="0" customWidth="1"/>
    <col min="19" max="19" width="6.00390625" style="0" customWidth="1"/>
    <col min="20" max="20" width="6.421875" style="0" customWidth="1"/>
  </cols>
  <sheetData>
    <row r="1" spans="2:20" ht="14.25" customHeight="1">
      <c r="B1" s="42"/>
      <c r="C1" s="43"/>
      <c r="D1" s="43"/>
      <c r="E1" s="43"/>
      <c r="F1" s="43"/>
      <c r="G1" s="43"/>
      <c r="H1" s="43"/>
      <c r="I1" s="43"/>
      <c r="J1" s="43"/>
      <c r="T1" s="44" t="s">
        <v>120</v>
      </c>
    </row>
    <row r="2" spans="2:31" s="95" customFormat="1" ht="15" customHeight="1">
      <c r="B2" s="415" t="s">
        <v>44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20" ht="28.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0.5" customHeight="1">
      <c r="B4" s="4"/>
      <c r="D4" s="27"/>
      <c r="E4" s="27"/>
      <c r="F4" s="27"/>
      <c r="G4" s="27"/>
      <c r="H4" s="27"/>
      <c r="Q4" s="23" t="s">
        <v>134</v>
      </c>
      <c r="R4" s="386"/>
      <c r="S4" s="6"/>
    </row>
    <row r="5" spans="2:20" ht="34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269">
        <v>2009</v>
      </c>
      <c r="R5" s="387" t="s">
        <v>132</v>
      </c>
      <c r="S5" s="174" t="s">
        <v>131</v>
      </c>
      <c r="T5" s="72"/>
    </row>
    <row r="6" spans="2:20" ht="19.5" customHeight="1">
      <c r="B6" s="4"/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270"/>
      <c r="R6" s="363">
        <v>2009</v>
      </c>
      <c r="S6" s="175" t="s">
        <v>82</v>
      </c>
      <c r="T6" s="72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267">
        <f>SUM(H10:H36)</f>
        <v>1088.8449999999998</v>
      </c>
      <c r="I7" s="267">
        <f aca="true" t="shared" si="0" ref="I7:N7">SUM(I10:I36)</f>
        <v>1103.404</v>
      </c>
      <c r="J7" s="267">
        <f t="shared" si="0"/>
        <v>1130.511</v>
      </c>
      <c r="K7" s="267">
        <f t="shared" si="0"/>
        <v>1139.0559999999998</v>
      </c>
      <c r="L7" s="267">
        <f t="shared" si="0"/>
        <v>1195.259</v>
      </c>
      <c r="M7" s="267">
        <f t="shared" si="0"/>
        <v>1229.3290000000002</v>
      </c>
      <c r="N7" s="267">
        <f t="shared" si="0"/>
        <v>1246.6749999999995</v>
      </c>
      <c r="O7" s="267">
        <f>SUM(O10:O36)</f>
        <v>1292.65</v>
      </c>
      <c r="P7" s="267">
        <f>SUM(P10:P36)</f>
        <v>1269.385</v>
      </c>
      <c r="Q7" s="267">
        <f>SUM(Q10:Q36)</f>
        <v>1154.2890000000002</v>
      </c>
      <c r="R7" s="277">
        <v>68.24333951547537</v>
      </c>
      <c r="S7" s="277">
        <f aca="true" t="shared" si="1" ref="S7:S37">100*(Q7/P7-1)</f>
        <v>-9.0670679108387</v>
      </c>
      <c r="T7" s="104" t="s">
        <v>70</v>
      </c>
    </row>
    <row r="8" spans="1:20" ht="12.75" customHeight="1">
      <c r="A8" s="16"/>
      <c r="B8" s="105" t="s">
        <v>25</v>
      </c>
      <c r="C8" s="106">
        <f aca="true" t="shared" si="2" ref="C8:N8">C10+C13+C14+SUM(C16:C20)+C24+C27+C28+C30+SUM(C34:C36)</f>
        <v>869.9449999999999</v>
      </c>
      <c r="D8" s="107">
        <f t="shared" si="2"/>
        <v>873.323</v>
      </c>
      <c r="E8" s="107">
        <f t="shared" si="2"/>
        <v>896.0040000000001</v>
      </c>
      <c r="F8" s="107">
        <f t="shared" si="2"/>
        <v>925.233</v>
      </c>
      <c r="G8" s="107">
        <f t="shared" si="2"/>
        <v>961.4859999999999</v>
      </c>
      <c r="H8" s="107">
        <f t="shared" si="2"/>
        <v>989.376</v>
      </c>
      <c r="I8" s="107">
        <f t="shared" si="2"/>
        <v>1001.161</v>
      </c>
      <c r="J8" s="107">
        <f t="shared" si="2"/>
        <v>1024.918</v>
      </c>
      <c r="K8" s="107">
        <f t="shared" si="2"/>
        <v>1025.1409999999998</v>
      </c>
      <c r="L8" s="107">
        <f t="shared" si="2"/>
        <v>1075.0859999999998</v>
      </c>
      <c r="M8" s="107">
        <f t="shared" si="2"/>
        <v>1100.759</v>
      </c>
      <c r="N8" s="314">
        <f t="shared" si="2"/>
        <v>1114.463</v>
      </c>
      <c r="O8" s="314">
        <f>O10+O13+O14+SUM(O16:O20)+O24+O27+O28+O30+SUM(O34:O36)</f>
        <v>1150.8159999999998</v>
      </c>
      <c r="P8" s="314">
        <f>P10+P13+P14+SUM(P16:P20)+P24+P27+P28+P30+SUM(P34:P36)</f>
        <v>1120.9859999999999</v>
      </c>
      <c r="Q8" s="314">
        <f>Q10+Q13+Q14+SUM(Q16:Q20)+Q24+Q27+Q28+Q30+SUM(Q34:Q36)</f>
        <v>1007.199</v>
      </c>
      <c r="R8" s="313">
        <v>77.27130448391893</v>
      </c>
      <c r="S8" s="313">
        <f t="shared" si="1"/>
        <v>-10.150617402893513</v>
      </c>
      <c r="T8" s="105" t="s">
        <v>25</v>
      </c>
    </row>
    <row r="9" spans="1:20" ht="12.75" customHeight="1">
      <c r="A9" s="16"/>
      <c r="B9" s="108" t="s">
        <v>83</v>
      </c>
      <c r="C9" s="117"/>
      <c r="D9" s="109"/>
      <c r="E9" s="109"/>
      <c r="F9" s="109"/>
      <c r="G9" s="109"/>
      <c r="H9" s="109">
        <f>H7-H8</f>
        <v>99.46899999999982</v>
      </c>
      <c r="I9" s="109">
        <f aca="true" t="shared" si="3" ref="I9:Q9">I7-I8</f>
        <v>102.24300000000005</v>
      </c>
      <c r="J9" s="109">
        <f t="shared" si="3"/>
        <v>105.59300000000007</v>
      </c>
      <c r="K9" s="109">
        <f t="shared" si="3"/>
        <v>113.91499999999996</v>
      </c>
      <c r="L9" s="109">
        <f t="shared" si="3"/>
        <v>120.17300000000023</v>
      </c>
      <c r="M9" s="109">
        <f t="shared" si="3"/>
        <v>128.57000000000016</v>
      </c>
      <c r="N9" s="109">
        <f t="shared" si="3"/>
        <v>132.21199999999953</v>
      </c>
      <c r="O9" s="109">
        <f t="shared" si="3"/>
        <v>141.8340000000003</v>
      </c>
      <c r="P9" s="109">
        <f t="shared" si="3"/>
        <v>148.39900000000011</v>
      </c>
      <c r="Q9" s="109">
        <f t="shared" si="3"/>
        <v>147.09000000000026</v>
      </c>
      <c r="R9" s="279">
        <v>37.91243205068401</v>
      </c>
      <c r="S9" s="279">
        <f t="shared" si="1"/>
        <v>-0.8820814156428658</v>
      </c>
      <c r="T9" s="108" t="s">
        <v>83</v>
      </c>
    </row>
    <row r="10" spans="1:20" ht="12.75" customHeight="1">
      <c r="A10" s="16"/>
      <c r="B10" s="18" t="s">
        <v>26</v>
      </c>
      <c r="C10" s="262">
        <v>18.616</v>
      </c>
      <c r="D10" s="183">
        <v>16.615</v>
      </c>
      <c r="E10" s="183">
        <v>18.426</v>
      </c>
      <c r="F10" s="183">
        <v>16.693</v>
      </c>
      <c r="G10" s="183">
        <v>15.758</v>
      </c>
      <c r="H10" s="183">
        <v>19.754</v>
      </c>
      <c r="I10" s="183">
        <v>20.565</v>
      </c>
      <c r="J10" s="183">
        <v>20.392</v>
      </c>
      <c r="K10" s="183">
        <v>19.584</v>
      </c>
      <c r="L10" s="183">
        <v>19.416</v>
      </c>
      <c r="M10" s="183">
        <v>19.283</v>
      </c>
      <c r="N10" s="183">
        <v>19.615</v>
      </c>
      <c r="O10" s="183">
        <v>19.65</v>
      </c>
      <c r="P10" s="183">
        <v>18.207</v>
      </c>
      <c r="Q10" s="183">
        <v>17.603</v>
      </c>
      <c r="R10" s="280">
        <v>48.6620224470614</v>
      </c>
      <c r="S10" s="280">
        <f t="shared" si="1"/>
        <v>-3.3174053935299597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3.061</v>
      </c>
      <c r="I11" s="129">
        <v>3.31</v>
      </c>
      <c r="J11" s="129">
        <v>3.931</v>
      </c>
      <c r="K11" s="129">
        <v>4.586</v>
      </c>
      <c r="L11" s="129">
        <v>4.612</v>
      </c>
      <c r="M11" s="129">
        <v>5.045</v>
      </c>
      <c r="N11" s="129">
        <v>5.806</v>
      </c>
      <c r="O11" s="129">
        <v>5.89</v>
      </c>
      <c r="P11" s="129">
        <v>7.122</v>
      </c>
      <c r="Q11" s="129">
        <v>6.306</v>
      </c>
      <c r="R11" s="192">
        <v>35.54277984443693</v>
      </c>
      <c r="S11" s="192">
        <f t="shared" si="1"/>
        <v>-11.457455770850878</v>
      </c>
      <c r="T11" s="105" t="s">
        <v>8</v>
      </c>
    </row>
    <row r="12" spans="1:20" ht="12.75" customHeight="1">
      <c r="A12" s="16"/>
      <c r="B12" s="18" t="s">
        <v>10</v>
      </c>
      <c r="C12" s="125" t="s">
        <v>38</v>
      </c>
      <c r="D12" s="121" t="s">
        <v>38</v>
      </c>
      <c r="E12" s="121" t="s">
        <v>38</v>
      </c>
      <c r="F12" s="121" t="s">
        <v>38</v>
      </c>
      <c r="G12" s="121"/>
      <c r="H12" s="121">
        <v>14.214</v>
      </c>
      <c r="I12" s="121">
        <v>15.007</v>
      </c>
      <c r="J12" s="121">
        <v>16.318</v>
      </c>
      <c r="K12" s="121">
        <v>17.362</v>
      </c>
      <c r="L12" s="121">
        <v>16.046</v>
      </c>
      <c r="M12" s="121">
        <v>15.518</v>
      </c>
      <c r="N12" s="121">
        <v>16.082</v>
      </c>
      <c r="O12" s="121">
        <v>15.831</v>
      </c>
      <c r="P12" s="121">
        <v>15.748</v>
      </c>
      <c r="Q12" s="121">
        <v>13.48</v>
      </c>
      <c r="R12" s="281">
        <v>29.985541096652206</v>
      </c>
      <c r="S12" s="281">
        <f t="shared" si="1"/>
        <v>-14.401828803657601</v>
      </c>
      <c r="T12" s="18" t="s">
        <v>10</v>
      </c>
    </row>
    <row r="13" spans="1:20" ht="12.75" customHeight="1">
      <c r="A13" s="16"/>
      <c r="B13" s="105" t="s">
        <v>21</v>
      </c>
      <c r="C13" s="128">
        <v>9.327</v>
      </c>
      <c r="D13" s="129">
        <v>9.432</v>
      </c>
      <c r="E13" s="129">
        <v>9.712</v>
      </c>
      <c r="F13" s="129">
        <v>10.108</v>
      </c>
      <c r="G13" s="129">
        <v>10.421</v>
      </c>
      <c r="H13" s="129">
        <v>11</v>
      </c>
      <c r="I13" s="129">
        <v>10.887</v>
      </c>
      <c r="J13" s="129">
        <v>11.057</v>
      </c>
      <c r="K13" s="129">
        <v>11.012</v>
      </c>
      <c r="L13" s="129">
        <v>10.538</v>
      </c>
      <c r="M13" s="129">
        <v>11.058</v>
      </c>
      <c r="N13" s="129">
        <v>11.495</v>
      </c>
      <c r="O13" s="129">
        <v>11.8</v>
      </c>
      <c r="P13" s="129">
        <v>10.718</v>
      </c>
      <c r="Q13" s="129">
        <v>10.002</v>
      </c>
      <c r="R13" s="192">
        <v>59.26759895709884</v>
      </c>
      <c r="S13" s="192">
        <f t="shared" si="1"/>
        <v>-6.6803508117185935</v>
      </c>
      <c r="T13" s="105" t="s">
        <v>21</v>
      </c>
    </row>
    <row r="14" spans="1:20" ht="12.75" customHeight="1">
      <c r="A14" s="16"/>
      <c r="B14" s="18" t="s">
        <v>27</v>
      </c>
      <c r="C14" s="125">
        <v>201.299</v>
      </c>
      <c r="D14" s="121">
        <v>199.195</v>
      </c>
      <c r="E14" s="121">
        <v>203.119</v>
      </c>
      <c r="F14" s="121">
        <v>210.402</v>
      </c>
      <c r="G14" s="121">
        <v>226.887</v>
      </c>
      <c r="H14" s="121">
        <v>226.529</v>
      </c>
      <c r="I14" s="121">
        <v>230.016</v>
      </c>
      <c r="J14" s="121">
        <v>225.474</v>
      </c>
      <c r="K14" s="121">
        <v>227.205</v>
      </c>
      <c r="L14" s="121">
        <v>232.303</v>
      </c>
      <c r="M14" s="121">
        <v>237.617</v>
      </c>
      <c r="N14" s="121">
        <v>251.379</v>
      </c>
      <c r="O14" s="121">
        <v>261.44</v>
      </c>
      <c r="P14" s="121">
        <v>264.545</v>
      </c>
      <c r="Q14" s="121">
        <v>245.568</v>
      </c>
      <c r="R14" s="281">
        <v>79.8473078911516</v>
      </c>
      <c r="S14" s="281">
        <f t="shared" si="1"/>
        <v>-7.173448751630163</v>
      </c>
      <c r="T14" s="18" t="s">
        <v>27</v>
      </c>
    </row>
    <row r="15" spans="1:20" ht="12.75" customHeight="1">
      <c r="A15" s="16"/>
      <c r="B15" s="105" t="s">
        <v>11</v>
      </c>
      <c r="C15" s="128">
        <v>0.449</v>
      </c>
      <c r="D15" s="129">
        <v>0.442</v>
      </c>
      <c r="E15" s="129">
        <v>0.51</v>
      </c>
      <c r="F15" s="129">
        <v>0.538</v>
      </c>
      <c r="G15" s="129">
        <v>0.734</v>
      </c>
      <c r="H15" s="129">
        <v>0.715</v>
      </c>
      <c r="I15" s="129">
        <v>0.548</v>
      </c>
      <c r="J15" s="172">
        <v>0.762</v>
      </c>
      <c r="K15" s="129">
        <v>1.568</v>
      </c>
      <c r="L15" s="129">
        <v>1.478</v>
      </c>
      <c r="M15" s="129">
        <v>1.847</v>
      </c>
      <c r="N15" s="129">
        <v>1.979</v>
      </c>
      <c r="O15" s="129">
        <v>1.942</v>
      </c>
      <c r="P15" s="129">
        <v>1.832</v>
      </c>
      <c r="Q15" s="129">
        <v>1.326</v>
      </c>
      <c r="R15" s="282">
        <v>24.831460674157306</v>
      </c>
      <c r="S15" s="282">
        <f t="shared" si="1"/>
        <v>-27.620087336244538</v>
      </c>
      <c r="T15" s="105" t="s">
        <v>11</v>
      </c>
    </row>
    <row r="16" spans="1:20" ht="12.75" customHeight="1">
      <c r="A16" s="16"/>
      <c r="B16" s="18" t="s">
        <v>30</v>
      </c>
      <c r="C16" s="263">
        <v>4.7</v>
      </c>
      <c r="D16" s="153">
        <v>4.7</v>
      </c>
      <c r="E16" s="153">
        <v>4.7</v>
      </c>
      <c r="F16" s="153">
        <v>4.7</v>
      </c>
      <c r="G16" s="153">
        <v>7.737</v>
      </c>
      <c r="H16" s="153">
        <v>8.337</v>
      </c>
      <c r="I16" s="153">
        <v>9.122</v>
      </c>
      <c r="J16" s="153">
        <v>10.731</v>
      </c>
      <c r="K16" s="153">
        <v>11.935</v>
      </c>
      <c r="L16" s="153">
        <v>13.216</v>
      </c>
      <c r="M16" s="153">
        <v>13.983</v>
      </c>
      <c r="N16" s="153">
        <v>13.832</v>
      </c>
      <c r="O16" s="153">
        <v>14.428</v>
      </c>
      <c r="P16" s="153">
        <v>13.265</v>
      </c>
      <c r="Q16" s="153">
        <v>9.192</v>
      </c>
      <c r="R16" s="280">
        <v>71.88550871979353</v>
      </c>
      <c r="S16" s="280">
        <f t="shared" si="1"/>
        <v>-30.704862419902</v>
      </c>
      <c r="T16" s="18" t="s">
        <v>30</v>
      </c>
    </row>
    <row r="17" spans="1:20" ht="12.75" customHeight="1">
      <c r="A17" s="16"/>
      <c r="B17" s="105" t="s">
        <v>22</v>
      </c>
      <c r="C17" s="264">
        <v>20</v>
      </c>
      <c r="D17" s="130">
        <v>21</v>
      </c>
      <c r="E17" s="130">
        <v>22</v>
      </c>
      <c r="F17" s="130">
        <v>23</v>
      </c>
      <c r="G17" s="130">
        <v>23.8</v>
      </c>
      <c r="H17" s="130">
        <v>24.5</v>
      </c>
      <c r="I17" s="130">
        <v>25.4</v>
      </c>
      <c r="J17" s="130">
        <v>26.3</v>
      </c>
      <c r="K17" s="130">
        <v>28.2</v>
      </c>
      <c r="L17" s="129">
        <v>31.745</v>
      </c>
      <c r="M17" s="130">
        <v>27.5</v>
      </c>
      <c r="N17" s="129">
        <v>26.137</v>
      </c>
      <c r="O17" s="129">
        <v>21.729</v>
      </c>
      <c r="P17" s="129">
        <v>24.346</v>
      </c>
      <c r="Q17" s="129">
        <v>24.228</v>
      </c>
      <c r="R17" s="192">
        <v>84.7577400734651</v>
      </c>
      <c r="S17" s="192">
        <f t="shared" si="1"/>
        <v>-0.48467920808346054</v>
      </c>
      <c r="T17" s="105" t="s">
        <v>22</v>
      </c>
    </row>
    <row r="18" spans="1:20" ht="12.75" customHeight="1">
      <c r="A18" s="16"/>
      <c r="B18" s="18" t="s">
        <v>28</v>
      </c>
      <c r="C18" s="263">
        <v>78.744</v>
      </c>
      <c r="D18" s="153">
        <v>76.257</v>
      </c>
      <c r="E18" s="153">
        <v>80.634</v>
      </c>
      <c r="F18" s="153">
        <v>91.329</v>
      </c>
      <c r="G18" s="153">
        <v>98.134</v>
      </c>
      <c r="H18" s="153">
        <v>106.936</v>
      </c>
      <c r="I18" s="153">
        <v>114.004</v>
      </c>
      <c r="J18" s="153">
        <v>129.51</v>
      </c>
      <c r="K18" s="153">
        <v>138.413</v>
      </c>
      <c r="L18" s="153">
        <v>155.014</v>
      </c>
      <c r="M18" s="153">
        <v>166.386</v>
      </c>
      <c r="N18" s="153">
        <v>174.588</v>
      </c>
      <c r="O18" s="153">
        <v>190.611</v>
      </c>
      <c r="P18" s="153">
        <v>175.184</v>
      </c>
      <c r="Q18" s="153">
        <v>151.06</v>
      </c>
      <c r="R18" s="166">
        <v>71.29002572028598</v>
      </c>
      <c r="S18" s="166">
        <f t="shared" si="1"/>
        <v>-13.770663987578768</v>
      </c>
      <c r="T18" s="18" t="s">
        <v>28</v>
      </c>
    </row>
    <row r="19" spans="1:20" ht="12.75" customHeight="1">
      <c r="A19" s="16"/>
      <c r="B19" s="105" t="s">
        <v>29</v>
      </c>
      <c r="C19" s="128">
        <v>135.3</v>
      </c>
      <c r="D19" s="129">
        <v>136.502</v>
      </c>
      <c r="E19" s="129">
        <v>138.96</v>
      </c>
      <c r="F19" s="129">
        <v>145.459</v>
      </c>
      <c r="G19" s="129">
        <v>159.026</v>
      </c>
      <c r="H19" s="129">
        <v>163.163</v>
      </c>
      <c r="I19" s="129">
        <v>168.572</v>
      </c>
      <c r="J19" s="129">
        <v>169.742</v>
      </c>
      <c r="K19" s="129">
        <v>170.896</v>
      </c>
      <c r="L19" s="129">
        <v>179.183</v>
      </c>
      <c r="M19" s="129">
        <v>177.331</v>
      </c>
      <c r="N19" s="129">
        <v>182.753</v>
      </c>
      <c r="O19" s="129">
        <v>191.388</v>
      </c>
      <c r="P19" s="129">
        <v>181.879</v>
      </c>
      <c r="Q19" s="129">
        <v>156.021</v>
      </c>
      <c r="R19" s="282">
        <v>89.86297740480701</v>
      </c>
      <c r="S19" s="282">
        <f t="shared" si="1"/>
        <v>-14.217144365209844</v>
      </c>
      <c r="T19" s="105" t="s">
        <v>29</v>
      </c>
    </row>
    <row r="20" spans="1:20" ht="12.75" customHeight="1">
      <c r="A20" s="16"/>
      <c r="B20" s="18" t="s">
        <v>31</v>
      </c>
      <c r="C20" s="125">
        <v>150.301</v>
      </c>
      <c r="D20" s="121">
        <v>151.025</v>
      </c>
      <c r="E20" s="121">
        <v>153.6</v>
      </c>
      <c r="F20" s="122">
        <v>154.151</v>
      </c>
      <c r="G20" s="121">
        <v>151.967</v>
      </c>
      <c r="H20" s="121">
        <v>158.25</v>
      </c>
      <c r="I20" s="121">
        <v>154.749</v>
      </c>
      <c r="J20" s="121">
        <v>160.082</v>
      </c>
      <c r="K20" s="121">
        <v>143.184</v>
      </c>
      <c r="L20" s="121">
        <v>158.172</v>
      </c>
      <c r="M20" s="121">
        <v>171.587</v>
      </c>
      <c r="N20" s="121">
        <v>155.425</v>
      </c>
      <c r="O20" s="121">
        <v>152.406</v>
      </c>
      <c r="P20" s="121">
        <v>151.823</v>
      </c>
      <c r="Q20" s="121">
        <v>145.61</v>
      </c>
      <c r="R20" s="165">
        <v>86.86548109791381</v>
      </c>
      <c r="S20" s="165">
        <f t="shared" si="1"/>
        <v>-4.092265335291745</v>
      </c>
      <c r="T20" s="18" t="s">
        <v>31</v>
      </c>
    </row>
    <row r="21" spans="1:20" ht="12.75" customHeight="1">
      <c r="A21" s="16"/>
      <c r="B21" s="105" t="s">
        <v>9</v>
      </c>
      <c r="C21" s="264"/>
      <c r="D21" s="130"/>
      <c r="E21" s="130"/>
      <c r="F21" s="130"/>
      <c r="G21" s="130"/>
      <c r="H21" s="130">
        <v>1.28</v>
      </c>
      <c r="I21" s="130">
        <v>1.29</v>
      </c>
      <c r="J21" s="129">
        <v>1.286</v>
      </c>
      <c r="K21" s="129">
        <v>1.37</v>
      </c>
      <c r="L21" s="129">
        <v>1.102</v>
      </c>
      <c r="M21" s="129">
        <v>1.374</v>
      </c>
      <c r="N21" s="129">
        <v>1.145</v>
      </c>
      <c r="O21" s="129">
        <v>1.184</v>
      </c>
      <c r="P21" s="129">
        <v>1.296</v>
      </c>
      <c r="Q21" s="129">
        <v>0.944</v>
      </c>
      <c r="R21" s="282">
        <v>98.0269989615784</v>
      </c>
      <c r="S21" s="282">
        <f t="shared" si="1"/>
        <v>-27.160493827160504</v>
      </c>
      <c r="T21" s="105" t="s">
        <v>9</v>
      </c>
    </row>
    <row r="22" spans="1:20" ht="12.75" customHeight="1">
      <c r="A22" s="16"/>
      <c r="B22" s="18" t="s">
        <v>13</v>
      </c>
      <c r="C22" s="125" t="s">
        <v>38</v>
      </c>
      <c r="D22" s="121"/>
      <c r="E22" s="121"/>
      <c r="F22" s="121"/>
      <c r="G22" s="121"/>
      <c r="H22" s="121">
        <v>1.484</v>
      </c>
      <c r="I22" s="121">
        <v>1.645</v>
      </c>
      <c r="J22" s="121">
        <v>1.967</v>
      </c>
      <c r="K22" s="121">
        <v>2.365</v>
      </c>
      <c r="L22" s="121">
        <v>2.38</v>
      </c>
      <c r="M22" s="121">
        <v>2.734</v>
      </c>
      <c r="N22" s="121">
        <v>2.718</v>
      </c>
      <c r="O22" s="121">
        <v>3.006</v>
      </c>
      <c r="P22" s="121">
        <v>2.536</v>
      </c>
      <c r="Q22" s="121">
        <v>2.149</v>
      </c>
      <c r="R22" s="281">
        <v>26.48182378311768</v>
      </c>
      <c r="S22" s="281">
        <f t="shared" si="1"/>
        <v>-15.260252365930604</v>
      </c>
      <c r="T22" s="18" t="s">
        <v>13</v>
      </c>
    </row>
    <row r="23" spans="1:20" ht="12.75" customHeight="1">
      <c r="A23" s="16"/>
      <c r="B23" s="105" t="s">
        <v>14</v>
      </c>
      <c r="C23" s="128" t="s">
        <v>38</v>
      </c>
      <c r="D23" s="129"/>
      <c r="E23" s="129"/>
      <c r="F23" s="129"/>
      <c r="G23" s="129"/>
      <c r="H23" s="129">
        <v>1.534</v>
      </c>
      <c r="I23" s="129">
        <v>1.518</v>
      </c>
      <c r="J23" s="129">
        <v>1.518</v>
      </c>
      <c r="K23" s="129">
        <v>1.958</v>
      </c>
      <c r="L23" s="129">
        <v>2.213</v>
      </c>
      <c r="M23" s="129">
        <v>2.137</v>
      </c>
      <c r="N23" s="129">
        <v>2.232</v>
      </c>
      <c r="O23" s="129">
        <v>2.704</v>
      </c>
      <c r="P23" s="129">
        <v>2.56</v>
      </c>
      <c r="Q23" s="129">
        <v>2.633</v>
      </c>
      <c r="R23" s="282">
        <v>14.827955172607984</v>
      </c>
      <c r="S23" s="282">
        <f t="shared" si="1"/>
        <v>2.8515625000000044</v>
      </c>
      <c r="T23" s="105" t="s">
        <v>14</v>
      </c>
    </row>
    <row r="24" spans="1:20" ht="12.75" customHeight="1">
      <c r="A24" s="16"/>
      <c r="B24" s="18" t="s">
        <v>32</v>
      </c>
      <c r="C24" s="125">
        <v>0.531</v>
      </c>
      <c r="D24" s="121">
        <v>0.392</v>
      </c>
      <c r="E24" s="121">
        <v>0.394</v>
      </c>
      <c r="F24" s="121">
        <v>0.395</v>
      </c>
      <c r="G24" s="121">
        <v>0.377</v>
      </c>
      <c r="H24" s="121">
        <v>0.415</v>
      </c>
      <c r="I24" s="121">
        <v>0.487</v>
      </c>
      <c r="J24" s="121">
        <v>0.583</v>
      </c>
      <c r="K24" s="121">
        <v>0.565</v>
      </c>
      <c r="L24" s="121">
        <v>0.549</v>
      </c>
      <c r="M24" s="121">
        <v>0.494</v>
      </c>
      <c r="N24" s="121">
        <v>0.544</v>
      </c>
      <c r="O24" s="121">
        <v>0.548</v>
      </c>
      <c r="P24" s="121">
        <v>0.603</v>
      </c>
      <c r="Q24" s="121">
        <v>0.53</v>
      </c>
      <c r="R24" s="165">
        <v>6.309523809523809</v>
      </c>
      <c r="S24" s="165">
        <f t="shared" si="1"/>
        <v>-12.10613598673299</v>
      </c>
      <c r="T24" s="18" t="s">
        <v>32</v>
      </c>
    </row>
    <row r="25" spans="1:20" ht="12.75" customHeight="1">
      <c r="A25" s="16"/>
      <c r="B25" s="105" t="s">
        <v>12</v>
      </c>
      <c r="C25" s="128" t="s">
        <v>38</v>
      </c>
      <c r="D25" s="129"/>
      <c r="E25" s="129"/>
      <c r="F25" s="129"/>
      <c r="G25" s="129"/>
      <c r="H25" s="129">
        <v>12.145</v>
      </c>
      <c r="I25" s="129">
        <v>11.835</v>
      </c>
      <c r="J25" s="129">
        <v>11.166</v>
      </c>
      <c r="K25" s="129">
        <v>10.67</v>
      </c>
      <c r="L25" s="129">
        <v>10.977</v>
      </c>
      <c r="M25" s="129">
        <v>11.394</v>
      </c>
      <c r="N25" s="129">
        <v>12.425</v>
      </c>
      <c r="O25" s="129">
        <v>13.186</v>
      </c>
      <c r="P25" s="129">
        <v>13.043</v>
      </c>
      <c r="Q25" s="129">
        <v>12.171</v>
      </c>
      <c r="R25" s="282">
        <v>34.407599016198795</v>
      </c>
      <c r="S25" s="282">
        <f t="shared" si="1"/>
        <v>-6.685578471210607</v>
      </c>
      <c r="T25" s="105" t="s">
        <v>12</v>
      </c>
    </row>
    <row r="26" spans="1:20" ht="12.75" customHeight="1">
      <c r="A26" s="16"/>
      <c r="B26" s="18" t="s">
        <v>15</v>
      </c>
      <c r="C26" s="125" t="s">
        <v>38</v>
      </c>
      <c r="D26" s="121"/>
      <c r="E26" s="121"/>
      <c r="F26" s="121"/>
      <c r="G26" s="122"/>
      <c r="H26" s="122">
        <v>0.2</v>
      </c>
      <c r="I26" s="122">
        <v>0.2</v>
      </c>
      <c r="J26" s="122">
        <v>0.2</v>
      </c>
      <c r="K26" s="122">
        <v>0.2</v>
      </c>
      <c r="L26" s="122">
        <v>0.2</v>
      </c>
      <c r="M26" s="122">
        <v>0.2</v>
      </c>
      <c r="N26" s="122">
        <v>0.2</v>
      </c>
      <c r="O26" s="122">
        <v>0.2</v>
      </c>
      <c r="P26" s="122">
        <v>0.2</v>
      </c>
      <c r="Q26" s="122">
        <v>0.2</v>
      </c>
      <c r="R26" s="283">
        <v>80</v>
      </c>
      <c r="S26" s="283">
        <f t="shared" si="1"/>
        <v>0</v>
      </c>
      <c r="T26" s="18" t="s">
        <v>15</v>
      </c>
    </row>
    <row r="27" spans="1:20" ht="12.75" customHeight="1">
      <c r="A27" s="16"/>
      <c r="B27" s="64" t="s">
        <v>23</v>
      </c>
      <c r="C27" s="128">
        <v>26.683</v>
      </c>
      <c r="D27" s="129">
        <v>27.303</v>
      </c>
      <c r="E27" s="129">
        <v>27.384</v>
      </c>
      <c r="F27" s="129">
        <v>28.24</v>
      </c>
      <c r="G27" s="129">
        <v>32.682</v>
      </c>
      <c r="H27" s="129">
        <v>31.538</v>
      </c>
      <c r="I27" s="129">
        <v>31</v>
      </c>
      <c r="J27" s="129">
        <v>30.257</v>
      </c>
      <c r="K27" s="129">
        <v>31.785</v>
      </c>
      <c r="L27" s="129">
        <v>33.938</v>
      </c>
      <c r="M27" s="129">
        <v>31.827</v>
      </c>
      <c r="N27" s="129">
        <v>31.009</v>
      </c>
      <c r="O27" s="129">
        <v>30.686</v>
      </c>
      <c r="P27" s="129">
        <v>32.009</v>
      </c>
      <c r="Q27" s="129">
        <v>31.337</v>
      </c>
      <c r="R27" s="282">
        <v>43.11936704506364</v>
      </c>
      <c r="S27" s="282">
        <f t="shared" si="1"/>
        <v>-2.099409541066577</v>
      </c>
      <c r="T27" s="64" t="s">
        <v>23</v>
      </c>
    </row>
    <row r="28" spans="1:20" ht="12.75" customHeight="1">
      <c r="A28" s="16"/>
      <c r="B28" s="18" t="s">
        <v>33</v>
      </c>
      <c r="C28" s="125">
        <v>11.069</v>
      </c>
      <c r="D28" s="121">
        <v>11.444</v>
      </c>
      <c r="E28" s="121">
        <v>11.559</v>
      </c>
      <c r="F28" s="121">
        <v>11.715</v>
      </c>
      <c r="G28" s="121">
        <v>12.28</v>
      </c>
      <c r="H28" s="121">
        <v>12.389</v>
      </c>
      <c r="I28" s="121">
        <v>12.454</v>
      </c>
      <c r="J28" s="121">
        <v>12.663</v>
      </c>
      <c r="K28" s="121">
        <v>13.036</v>
      </c>
      <c r="L28" s="121">
        <v>12.376</v>
      </c>
      <c r="M28" s="121">
        <v>12.514</v>
      </c>
      <c r="N28" s="121">
        <v>14.437</v>
      </c>
      <c r="O28" s="121">
        <v>14.744</v>
      </c>
      <c r="P28" s="121">
        <v>14.581</v>
      </c>
      <c r="Q28" s="121">
        <v>13.491</v>
      </c>
      <c r="R28" s="281">
        <v>46.40068787618229</v>
      </c>
      <c r="S28" s="281">
        <f t="shared" si="1"/>
        <v>-7.47548179137233</v>
      </c>
      <c r="T28" s="18" t="s">
        <v>33</v>
      </c>
    </row>
    <row r="29" spans="1:20" ht="12.75" customHeight="1">
      <c r="A29" s="16"/>
      <c r="B29" s="105" t="s">
        <v>16</v>
      </c>
      <c r="C29" s="128" t="s">
        <v>38</v>
      </c>
      <c r="D29" s="129" t="s">
        <v>38</v>
      </c>
      <c r="E29" s="129" t="s">
        <v>38</v>
      </c>
      <c r="F29" s="129" t="s">
        <v>38</v>
      </c>
      <c r="G29" s="129"/>
      <c r="H29" s="130">
        <v>48</v>
      </c>
      <c r="I29" s="130">
        <v>49</v>
      </c>
      <c r="J29" s="130">
        <v>50.5</v>
      </c>
      <c r="K29" s="130">
        <v>53</v>
      </c>
      <c r="L29" s="129">
        <v>58.825</v>
      </c>
      <c r="M29" s="129">
        <v>60.94</v>
      </c>
      <c r="N29" s="129">
        <v>59.42</v>
      </c>
      <c r="O29" s="129">
        <v>65.769</v>
      </c>
      <c r="P29" s="129">
        <v>71.917</v>
      </c>
      <c r="Q29" s="129">
        <v>79.207</v>
      </c>
      <c r="R29" s="282">
        <v>43.82323975611645</v>
      </c>
      <c r="S29" s="282">
        <f t="shared" si="1"/>
        <v>10.136685345606722</v>
      </c>
      <c r="T29" s="105" t="s">
        <v>16</v>
      </c>
    </row>
    <row r="30" spans="1:20" ht="12.75" customHeight="1">
      <c r="A30" s="16"/>
      <c r="B30" s="18" t="s">
        <v>34</v>
      </c>
      <c r="C30" s="265">
        <v>16.5</v>
      </c>
      <c r="D30" s="122">
        <v>16.79</v>
      </c>
      <c r="E30" s="122">
        <v>17.33</v>
      </c>
      <c r="F30" s="122">
        <v>17.63</v>
      </c>
      <c r="G30" s="122">
        <v>17.17</v>
      </c>
      <c r="H30" s="122">
        <v>17.06</v>
      </c>
      <c r="I30" s="122">
        <v>17.5</v>
      </c>
      <c r="J30" s="122">
        <v>17.3</v>
      </c>
      <c r="K30" s="122">
        <v>17.03</v>
      </c>
      <c r="L30" s="121">
        <v>17.435</v>
      </c>
      <c r="M30" s="121">
        <v>17.445</v>
      </c>
      <c r="N30" s="121">
        <v>17.54</v>
      </c>
      <c r="O30" s="121">
        <v>18.319</v>
      </c>
      <c r="P30" s="121">
        <v>17.114</v>
      </c>
      <c r="Q30" s="121">
        <v>14.424</v>
      </c>
      <c r="R30" s="165">
        <v>40.28150134048257</v>
      </c>
      <c r="S30" s="165">
        <f t="shared" si="1"/>
        <v>-15.718125511277325</v>
      </c>
      <c r="T30" s="18" t="s">
        <v>34</v>
      </c>
    </row>
    <row r="31" spans="1:20" ht="12.75" customHeight="1">
      <c r="A31" s="16"/>
      <c r="B31" s="105" t="s">
        <v>17</v>
      </c>
      <c r="C31" s="128" t="s">
        <v>38</v>
      </c>
      <c r="D31" s="129"/>
      <c r="E31" s="129"/>
      <c r="F31" s="129"/>
      <c r="G31" s="129">
        <v>9.727</v>
      </c>
      <c r="H31" s="129">
        <v>9.88</v>
      </c>
      <c r="I31" s="129">
        <v>10.645</v>
      </c>
      <c r="J31" s="129">
        <v>10.98</v>
      </c>
      <c r="K31" s="129">
        <v>13.637</v>
      </c>
      <c r="L31" s="129">
        <v>14.651</v>
      </c>
      <c r="M31" s="129">
        <v>19.399</v>
      </c>
      <c r="N31" s="129">
        <v>22.723</v>
      </c>
      <c r="O31" s="129">
        <v>23.932</v>
      </c>
      <c r="P31" s="129">
        <v>23.19</v>
      </c>
      <c r="Q31" s="129">
        <v>20.879</v>
      </c>
      <c r="R31" s="192">
        <v>60.926785141089624</v>
      </c>
      <c r="S31" s="192">
        <f t="shared" si="1"/>
        <v>-9.965502371711942</v>
      </c>
      <c r="T31" s="105" t="s">
        <v>17</v>
      </c>
    </row>
    <row r="32" spans="1:20" ht="12.75" customHeight="1">
      <c r="A32" s="16"/>
      <c r="B32" s="18" t="s">
        <v>19</v>
      </c>
      <c r="C32" s="263" t="s">
        <v>38</v>
      </c>
      <c r="D32" s="153" t="s">
        <v>38</v>
      </c>
      <c r="E32" s="153" t="s">
        <v>38</v>
      </c>
      <c r="F32" s="153" t="s">
        <v>38</v>
      </c>
      <c r="G32" s="153"/>
      <c r="H32" s="154">
        <v>1.9</v>
      </c>
      <c r="I32" s="153">
        <v>1.927</v>
      </c>
      <c r="J32" s="153">
        <v>1.945</v>
      </c>
      <c r="K32" s="153">
        <v>1.995</v>
      </c>
      <c r="L32" s="153">
        <v>2.267</v>
      </c>
      <c r="M32" s="153">
        <v>2.361</v>
      </c>
      <c r="N32" s="153">
        <v>2.279</v>
      </c>
      <c r="O32" s="153">
        <v>2.573</v>
      </c>
      <c r="P32" s="153">
        <v>2.636</v>
      </c>
      <c r="Q32" s="153">
        <v>2.276</v>
      </c>
      <c r="R32" s="280">
        <v>15.417965045386802</v>
      </c>
      <c r="S32" s="280">
        <f t="shared" si="1"/>
        <v>-13.657056145675273</v>
      </c>
      <c r="T32" s="18" t="s">
        <v>19</v>
      </c>
    </row>
    <row r="33" spans="1:20" ht="12.75" customHeight="1">
      <c r="A33" s="16"/>
      <c r="B33" s="105" t="s">
        <v>18</v>
      </c>
      <c r="C33" s="128" t="s">
        <v>38</v>
      </c>
      <c r="D33" s="129"/>
      <c r="E33" s="129"/>
      <c r="F33" s="129"/>
      <c r="G33" s="129"/>
      <c r="H33" s="129">
        <v>5.056</v>
      </c>
      <c r="I33" s="129">
        <v>5.318</v>
      </c>
      <c r="J33" s="129">
        <v>5.02</v>
      </c>
      <c r="K33" s="129">
        <v>5.204</v>
      </c>
      <c r="L33" s="129">
        <v>5.422</v>
      </c>
      <c r="M33" s="129">
        <v>5.621</v>
      </c>
      <c r="N33" s="129">
        <v>5.203</v>
      </c>
      <c r="O33" s="129">
        <v>5.617</v>
      </c>
      <c r="P33" s="129">
        <v>6.319</v>
      </c>
      <c r="Q33" s="129">
        <v>5.519</v>
      </c>
      <c r="R33" s="282">
        <v>19.92059195091139</v>
      </c>
      <c r="S33" s="282">
        <f t="shared" si="1"/>
        <v>-12.660231049216641</v>
      </c>
      <c r="T33" s="105" t="s">
        <v>18</v>
      </c>
    </row>
    <row r="34" spans="1:20" ht="12.75" customHeight="1">
      <c r="A34" s="16"/>
      <c r="B34" s="18" t="s">
        <v>35</v>
      </c>
      <c r="C34" s="263">
        <v>21.804</v>
      </c>
      <c r="D34" s="153">
        <v>22.185</v>
      </c>
      <c r="E34" s="153">
        <v>23.508</v>
      </c>
      <c r="F34" s="153">
        <v>25.611</v>
      </c>
      <c r="G34" s="153">
        <v>25.806</v>
      </c>
      <c r="H34" s="153">
        <v>27.717</v>
      </c>
      <c r="I34" s="153">
        <v>26.678</v>
      </c>
      <c r="J34" s="153">
        <v>28.071</v>
      </c>
      <c r="K34" s="153">
        <v>26.896</v>
      </c>
      <c r="L34" s="153">
        <v>27.331</v>
      </c>
      <c r="M34" s="153">
        <v>27.815</v>
      </c>
      <c r="N34" s="153">
        <v>25.465</v>
      </c>
      <c r="O34" s="153">
        <v>25.964</v>
      </c>
      <c r="P34" s="153">
        <v>27.615</v>
      </c>
      <c r="Q34" s="153">
        <v>24.394</v>
      </c>
      <c r="R34" s="280">
        <v>87.7324222262183</v>
      </c>
      <c r="S34" s="280">
        <f t="shared" si="1"/>
        <v>-11.66395075140323</v>
      </c>
      <c r="T34" s="18" t="s">
        <v>35</v>
      </c>
    </row>
    <row r="35" spans="1:20" ht="12.75" customHeight="1">
      <c r="A35" s="16"/>
      <c r="B35" s="105" t="s">
        <v>36</v>
      </c>
      <c r="C35" s="128">
        <v>28.357</v>
      </c>
      <c r="D35" s="129">
        <v>30.288</v>
      </c>
      <c r="E35" s="129">
        <v>32.176</v>
      </c>
      <c r="F35" s="129">
        <v>30.369</v>
      </c>
      <c r="G35" s="129">
        <v>30.422</v>
      </c>
      <c r="H35" s="129">
        <v>31.451</v>
      </c>
      <c r="I35" s="129">
        <v>29.967</v>
      </c>
      <c r="J35" s="129">
        <v>31.836</v>
      </c>
      <c r="K35" s="129">
        <v>31.467</v>
      </c>
      <c r="L35" s="129">
        <v>32.691</v>
      </c>
      <c r="M35" s="129">
        <v>34.701</v>
      </c>
      <c r="N35" s="129">
        <v>35.474</v>
      </c>
      <c r="O35" s="129">
        <v>36.395</v>
      </c>
      <c r="P35" s="129">
        <v>37.952</v>
      </c>
      <c r="Q35" s="129">
        <v>32.123</v>
      </c>
      <c r="R35" s="282">
        <v>91.65691785316861</v>
      </c>
      <c r="S35" s="282">
        <f t="shared" si="1"/>
        <v>-15.358874367622267</v>
      </c>
      <c r="T35" s="105" t="s">
        <v>36</v>
      </c>
    </row>
    <row r="36" spans="1:20" ht="12.75" customHeight="1">
      <c r="A36" s="16"/>
      <c r="B36" s="19" t="s">
        <v>24</v>
      </c>
      <c r="C36" s="266">
        <v>146.714</v>
      </c>
      <c r="D36" s="187">
        <v>150.195</v>
      </c>
      <c r="E36" s="187">
        <v>152.502</v>
      </c>
      <c r="F36" s="187">
        <v>155.431</v>
      </c>
      <c r="G36" s="187">
        <v>149.019</v>
      </c>
      <c r="H36" s="187">
        <v>150.337</v>
      </c>
      <c r="I36" s="187">
        <v>149.76</v>
      </c>
      <c r="J36" s="187">
        <v>150.92</v>
      </c>
      <c r="K36" s="187">
        <v>153.933</v>
      </c>
      <c r="L36" s="187">
        <v>151.179</v>
      </c>
      <c r="M36" s="187">
        <v>151.218</v>
      </c>
      <c r="N36" s="187">
        <v>154.77</v>
      </c>
      <c r="O36" s="187">
        <v>160.708</v>
      </c>
      <c r="P36" s="187">
        <v>151.145</v>
      </c>
      <c r="Q36" s="187">
        <v>131.616</v>
      </c>
      <c r="R36" s="284">
        <v>94.32404540763675</v>
      </c>
      <c r="S36" s="284">
        <f t="shared" si="1"/>
        <v>-12.920705283006384</v>
      </c>
      <c r="T36" s="19" t="s">
        <v>24</v>
      </c>
    </row>
    <row r="37" spans="1:20" ht="12.75" customHeight="1">
      <c r="A37" s="16"/>
      <c r="B37" s="105" t="s">
        <v>40</v>
      </c>
      <c r="C37" s="189" t="s">
        <v>38</v>
      </c>
      <c r="D37" s="170"/>
      <c r="E37" s="170"/>
      <c r="F37" s="170"/>
      <c r="G37" s="170">
        <v>1.606</v>
      </c>
      <c r="H37" s="170">
        <v>1.906</v>
      </c>
      <c r="I37" s="170">
        <v>3.213</v>
      </c>
      <c r="J37" s="170">
        <v>3.663</v>
      </c>
      <c r="K37" s="170">
        <v>4.124</v>
      </c>
      <c r="L37" s="170">
        <v>4.373</v>
      </c>
      <c r="M37" s="170">
        <v>4.387</v>
      </c>
      <c r="N37" s="170">
        <v>5.291</v>
      </c>
      <c r="O37" s="170">
        <v>5.122</v>
      </c>
      <c r="P37" s="170">
        <v>6.447</v>
      </c>
      <c r="Q37" s="170">
        <v>5.125</v>
      </c>
      <c r="R37" s="194">
        <v>54.37088903034161</v>
      </c>
      <c r="S37" s="194">
        <f t="shared" si="1"/>
        <v>-20.505661548006827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/>
      <c r="S38" s="165"/>
      <c r="T38" s="18" t="s">
        <v>4</v>
      </c>
    </row>
    <row r="39" spans="1:20" ht="12.75" customHeight="1">
      <c r="A39" s="16"/>
      <c r="B39" s="108" t="s">
        <v>20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v>176.455</v>
      </c>
      <c r="R39" s="285"/>
      <c r="S39" s="285">
        <f>100*(Q39/P39-1)</f>
        <v>-3.012064748399146</v>
      </c>
      <c r="T39" s="108" t="s">
        <v>20</v>
      </c>
    </row>
    <row r="40" spans="1:20" ht="12.75" customHeight="1">
      <c r="A40" s="16"/>
      <c r="B40" s="17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3">
        <v>0.642</v>
      </c>
      <c r="J40" s="123">
        <v>0.66</v>
      </c>
      <c r="K40" s="123">
        <v>0.679</v>
      </c>
      <c r="L40" s="123">
        <v>0.699</v>
      </c>
      <c r="M40" s="123">
        <v>0.741</v>
      </c>
      <c r="N40" s="123">
        <v>0.786</v>
      </c>
      <c r="O40" s="123">
        <v>0.825</v>
      </c>
      <c r="P40" s="123">
        <v>0.805</v>
      </c>
      <c r="Q40" s="123">
        <v>0.813</v>
      </c>
      <c r="R40" s="280"/>
      <c r="S40" s="280">
        <f>100*(Q40/P40-1)</f>
        <v>0.9937888198757738</v>
      </c>
      <c r="T40" s="17" t="s">
        <v>6</v>
      </c>
    </row>
    <row r="41" spans="1:20" ht="12.75" customHeight="1">
      <c r="A41" s="16"/>
      <c r="B41" s="105" t="s">
        <v>37</v>
      </c>
      <c r="C41" s="129" t="s">
        <v>38</v>
      </c>
      <c r="D41" s="129"/>
      <c r="E41" s="129"/>
      <c r="F41" s="129"/>
      <c r="G41" s="129">
        <v>11.742</v>
      </c>
      <c r="H41" s="129">
        <v>12.114</v>
      </c>
      <c r="I41" s="129">
        <v>12.392</v>
      </c>
      <c r="J41" s="129">
        <v>12.721</v>
      </c>
      <c r="K41" s="129">
        <v>13.522</v>
      </c>
      <c r="L41" s="129">
        <v>14.453</v>
      </c>
      <c r="M41" s="129">
        <v>15.352</v>
      </c>
      <c r="N41" s="129">
        <v>15.31</v>
      </c>
      <c r="O41" s="129">
        <v>15.427</v>
      </c>
      <c r="P41" s="129">
        <v>16.658</v>
      </c>
      <c r="Q41" s="129">
        <v>15.277</v>
      </c>
      <c r="R41" s="192">
        <v>82.81563397842467</v>
      </c>
      <c r="S41" s="192">
        <f>100*(Q41/P41-1)</f>
        <v>-8.290310961700097</v>
      </c>
      <c r="T41" s="105" t="s">
        <v>37</v>
      </c>
    </row>
    <row r="42" spans="1:20" ht="12.75" customHeight="1">
      <c r="A42" s="16"/>
      <c r="B42" s="19" t="s">
        <v>7</v>
      </c>
      <c r="C42" s="124">
        <v>8.3646</v>
      </c>
      <c r="D42" s="124">
        <v>8.2977</v>
      </c>
      <c r="E42" s="124">
        <v>8.4507</v>
      </c>
      <c r="F42" s="124">
        <v>8.8455</v>
      </c>
      <c r="G42" s="124">
        <v>8.7813</v>
      </c>
      <c r="H42" s="124">
        <v>8.933</v>
      </c>
      <c r="I42" s="124">
        <v>8.6976</v>
      </c>
      <c r="J42" s="124">
        <v>8.8775</v>
      </c>
      <c r="K42" s="124">
        <v>8.8863</v>
      </c>
      <c r="L42" s="124">
        <v>9.0649</v>
      </c>
      <c r="M42" s="124">
        <v>9.1167</v>
      </c>
      <c r="N42" s="124">
        <v>9.2176</v>
      </c>
      <c r="O42" s="124">
        <v>9.4534</v>
      </c>
      <c r="P42" s="124">
        <v>9.813</v>
      </c>
      <c r="Q42" s="124">
        <v>9.697</v>
      </c>
      <c r="R42" s="168">
        <v>73.607104903598</v>
      </c>
      <c r="S42" s="168">
        <f>100*(Q42/P42-1)</f>
        <v>-1.1821053704270001</v>
      </c>
      <c r="T42" s="19" t="s">
        <v>7</v>
      </c>
    </row>
    <row r="43" spans="1:20" ht="41.25" customHeight="1">
      <c r="A43" s="16"/>
      <c r="B43" s="417" t="s">
        <v>92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372"/>
      <c r="O43" s="372"/>
      <c r="P43" s="372"/>
      <c r="Q43" s="372"/>
      <c r="R43" s="351"/>
      <c r="S43" s="351"/>
      <c r="T43" s="372"/>
    </row>
    <row r="44" ht="12.75" customHeight="1">
      <c r="B44" s="11" t="s">
        <v>139</v>
      </c>
    </row>
    <row r="46" spans="3:17" ht="12.75"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</sheetData>
  <mergeCells count="3">
    <mergeCell ref="B2:T2"/>
    <mergeCell ref="B3:T3"/>
    <mergeCell ref="B43:M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T47"/>
  <sheetViews>
    <sheetView workbookViewId="0" topLeftCell="A1">
      <selection activeCell="S1" sqref="S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1.00390625" style="0" customWidth="1"/>
    <col min="19" max="19" width="6.421875" style="0" customWidth="1"/>
    <col min="20" max="20" width="4.00390625" style="0" customWidth="1"/>
  </cols>
  <sheetData>
    <row r="1" spans="2:20" ht="14.25" customHeight="1">
      <c r="B1" s="46"/>
      <c r="C1" s="43"/>
      <c r="D1" s="43"/>
      <c r="E1" s="43"/>
      <c r="F1" s="43"/>
      <c r="G1" s="43"/>
      <c r="H1" s="43"/>
      <c r="I1" s="43"/>
      <c r="J1" s="47"/>
      <c r="S1" s="44" t="s">
        <v>121</v>
      </c>
      <c r="T1" s="44"/>
    </row>
    <row r="2" spans="2:20" s="95" customFormat="1" ht="15" customHeight="1">
      <c r="B2" s="415" t="s">
        <v>104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2:20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1.25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386"/>
      <c r="S4" s="6"/>
    </row>
    <row r="5" spans="2:20" ht="36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387" t="s">
        <v>132</v>
      </c>
      <c r="S5" s="268" t="s">
        <v>131</v>
      </c>
      <c r="T5" s="110"/>
    </row>
    <row r="6" spans="2:20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363">
        <v>2009</v>
      </c>
      <c r="S6" s="85" t="s">
        <v>82</v>
      </c>
      <c r="T6" s="111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348">
        <f>SUM(H10:H36)</f>
        <v>429.863</v>
      </c>
      <c r="I7" s="348">
        <f aca="true" t="shared" si="0" ref="I7:N7">SUM(I10:I36)</f>
        <v>452.86199999999997</v>
      </c>
      <c r="J7" s="348">
        <f t="shared" si="0"/>
        <v>475.38899999999984</v>
      </c>
      <c r="K7" s="348">
        <f t="shared" si="0"/>
        <v>486.378</v>
      </c>
      <c r="L7" s="348">
        <f t="shared" si="0"/>
        <v>546.8400000000001</v>
      </c>
      <c r="M7" s="348">
        <f t="shared" si="0"/>
        <v>564.6810000000002</v>
      </c>
      <c r="N7" s="348">
        <f t="shared" si="0"/>
        <v>600.8989999999997</v>
      </c>
      <c r="O7" s="348">
        <f>SUM(O10:O36)</f>
        <v>621.802</v>
      </c>
      <c r="P7" s="348">
        <f>SUM(P10:P36)</f>
        <v>611.115</v>
      </c>
      <c r="Q7" s="348">
        <f>SUM(Q10:Q36)</f>
        <v>537.144</v>
      </c>
      <c r="R7" s="277">
        <v>31.75666048452463</v>
      </c>
      <c r="S7" s="277">
        <f>100*(Q7/P7-1)</f>
        <v>-12.104268427382737</v>
      </c>
      <c r="T7" s="104" t="s">
        <v>70</v>
      </c>
    </row>
    <row r="8" spans="1:20" ht="12.75" customHeight="1">
      <c r="A8" s="16"/>
      <c r="B8" s="105" t="s">
        <v>25</v>
      </c>
      <c r="C8" s="366">
        <f aca="true" t="shared" si="1" ref="C8:N8">C10+C13+C14+SUM(C16:C20)+C24+C27+C28+C30+SUM(C34:C36)</f>
        <v>268.286</v>
      </c>
      <c r="D8" s="367">
        <f t="shared" si="1"/>
        <v>274.017</v>
      </c>
      <c r="E8" s="367">
        <f t="shared" si="1"/>
        <v>287.029</v>
      </c>
      <c r="F8" s="367">
        <f t="shared" si="1"/>
        <v>308.52899999999994</v>
      </c>
      <c r="G8" s="367">
        <f t="shared" si="1"/>
        <v>322.83799999999997</v>
      </c>
      <c r="H8" s="367">
        <f t="shared" si="1"/>
        <v>339.49300000000005</v>
      </c>
      <c r="I8" s="367">
        <f t="shared" si="1"/>
        <v>353.017</v>
      </c>
      <c r="J8" s="367">
        <f t="shared" si="1"/>
        <v>360.5159999999999</v>
      </c>
      <c r="K8" s="367">
        <f t="shared" si="1"/>
        <v>361.529</v>
      </c>
      <c r="L8" s="349">
        <f t="shared" si="1"/>
        <v>394.745</v>
      </c>
      <c r="M8" s="349">
        <f t="shared" si="1"/>
        <v>381.556</v>
      </c>
      <c r="N8" s="349">
        <f t="shared" si="1"/>
        <v>382.713</v>
      </c>
      <c r="O8" s="349">
        <f>O10+O13+O14+SUM(O16:O20)+O24+O27+O28+O30+SUM(O34:O36)</f>
        <v>372.42100000000005</v>
      </c>
      <c r="P8" s="349">
        <f>P10+P13+P14+SUM(P16:P20)+P24+P27+P28+P30+SUM(P34:P36)</f>
        <v>349.029</v>
      </c>
      <c r="Q8" s="349">
        <f>Q10+Q13+Q14+SUM(Q16:Q20)+Q24+Q27+Q28+Q30+SUM(Q34:Q36)</f>
        <v>296.26199999999994</v>
      </c>
      <c r="R8" s="313">
        <v>22.728695516081075</v>
      </c>
      <c r="S8" s="313">
        <f aca="true" t="shared" si="2" ref="S8:S42">100*(Q8/P8-1)</f>
        <v>-15.118227998246581</v>
      </c>
      <c r="T8" s="105" t="s">
        <v>25</v>
      </c>
    </row>
    <row r="9" spans="1:20" ht="12.75" customHeight="1">
      <c r="A9" s="16"/>
      <c r="B9" s="108" t="s">
        <v>83</v>
      </c>
      <c r="C9" s="368"/>
      <c r="D9" s="350"/>
      <c r="E9" s="350"/>
      <c r="F9" s="350"/>
      <c r="G9" s="350"/>
      <c r="H9" s="350">
        <f>H7-H8</f>
        <v>90.36999999999995</v>
      </c>
      <c r="I9" s="350">
        <f aca="true" t="shared" si="3" ref="I9:Q9">I7-I8</f>
        <v>99.84499999999997</v>
      </c>
      <c r="J9" s="350">
        <f t="shared" si="3"/>
        <v>114.87299999999993</v>
      </c>
      <c r="K9" s="350">
        <f t="shared" si="3"/>
        <v>124.84899999999999</v>
      </c>
      <c r="L9" s="350">
        <f t="shared" si="3"/>
        <v>152.09500000000014</v>
      </c>
      <c r="M9" s="350">
        <f t="shared" si="3"/>
        <v>183.12500000000017</v>
      </c>
      <c r="N9" s="350">
        <f t="shared" si="3"/>
        <v>218.18599999999964</v>
      </c>
      <c r="O9" s="350">
        <f t="shared" si="3"/>
        <v>249.38099999999997</v>
      </c>
      <c r="P9" s="350">
        <f t="shared" si="3"/>
        <v>262.086</v>
      </c>
      <c r="Q9" s="350">
        <f t="shared" si="3"/>
        <v>240.88200000000006</v>
      </c>
      <c r="R9" s="279">
        <v>62.08756794931599</v>
      </c>
      <c r="S9" s="279">
        <f t="shared" si="2"/>
        <v>-8.090474119182234</v>
      </c>
      <c r="T9" s="108" t="s">
        <v>83</v>
      </c>
    </row>
    <row r="10" spans="1:20" ht="12.75" customHeight="1">
      <c r="A10" s="16"/>
      <c r="B10" s="18" t="s">
        <v>26</v>
      </c>
      <c r="C10" s="271">
        <v>26.984</v>
      </c>
      <c r="D10" s="157">
        <v>25.185</v>
      </c>
      <c r="E10" s="157">
        <v>25.274000000000004</v>
      </c>
      <c r="F10" s="157">
        <v>24.407</v>
      </c>
      <c r="G10" s="159">
        <v>21.526</v>
      </c>
      <c r="H10" s="157">
        <v>31.293</v>
      </c>
      <c r="I10" s="157">
        <v>32.617</v>
      </c>
      <c r="J10" s="157">
        <v>32.496</v>
      </c>
      <c r="K10" s="157">
        <v>30.959</v>
      </c>
      <c r="L10" s="157">
        <v>28.462</v>
      </c>
      <c r="M10" s="157">
        <v>24.565</v>
      </c>
      <c r="N10" s="157">
        <v>23.402</v>
      </c>
      <c r="O10" s="157">
        <v>22.435</v>
      </c>
      <c r="P10" s="157">
        <v>20.149</v>
      </c>
      <c r="Q10" s="157">
        <v>18.572</v>
      </c>
      <c r="R10" s="280">
        <v>51.3379775529386</v>
      </c>
      <c r="S10" s="280">
        <f t="shared" si="2"/>
        <v>-7.826691150925614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3.343</v>
      </c>
      <c r="I11" s="129">
        <v>4.737</v>
      </c>
      <c r="J11" s="129">
        <v>4.873</v>
      </c>
      <c r="K11" s="129">
        <v>4.911</v>
      </c>
      <c r="L11" s="129">
        <v>7.349</v>
      </c>
      <c r="M11" s="129">
        <v>9.326</v>
      </c>
      <c r="N11" s="129">
        <v>7.959</v>
      </c>
      <c r="O11" s="129">
        <v>8.734</v>
      </c>
      <c r="P11" s="129">
        <v>8.2</v>
      </c>
      <c r="Q11" s="129">
        <v>11.436</v>
      </c>
      <c r="R11" s="192">
        <v>64.45722015556308</v>
      </c>
      <c r="S11" s="192">
        <f t="shared" si="2"/>
        <v>39.46341463414635</v>
      </c>
      <c r="T11" s="105" t="s">
        <v>8</v>
      </c>
    </row>
    <row r="12" spans="1:20" ht="12.75" customHeight="1">
      <c r="A12" s="16"/>
      <c r="B12" s="18" t="s">
        <v>10</v>
      </c>
      <c r="C12" s="272"/>
      <c r="D12" s="156"/>
      <c r="E12" s="156"/>
      <c r="F12" s="156"/>
      <c r="G12" s="156"/>
      <c r="H12" s="156">
        <v>23.096</v>
      </c>
      <c r="I12" s="156">
        <v>24.06</v>
      </c>
      <c r="J12" s="156">
        <v>27.356</v>
      </c>
      <c r="K12" s="156">
        <v>29.172</v>
      </c>
      <c r="L12" s="156">
        <v>29.965</v>
      </c>
      <c r="M12" s="156">
        <v>27.929</v>
      </c>
      <c r="N12" s="156">
        <v>34.294</v>
      </c>
      <c r="O12" s="156">
        <v>32.31</v>
      </c>
      <c r="P12" s="156">
        <v>35.129</v>
      </c>
      <c r="Q12" s="156">
        <v>31.474</v>
      </c>
      <c r="R12" s="281">
        <v>70.01445890334779</v>
      </c>
      <c r="S12" s="281">
        <f t="shared" si="2"/>
        <v>-10.404509095049663</v>
      </c>
      <c r="T12" s="18" t="s">
        <v>10</v>
      </c>
    </row>
    <row r="13" spans="1:20" ht="12.75" customHeight="1">
      <c r="A13" s="16"/>
      <c r="B13" s="105" t="s">
        <v>21</v>
      </c>
      <c r="C13" s="128">
        <v>13.072999999999999</v>
      </c>
      <c r="D13" s="129">
        <v>11.868</v>
      </c>
      <c r="E13" s="129">
        <v>11.788</v>
      </c>
      <c r="F13" s="129">
        <v>11.291999999999998</v>
      </c>
      <c r="G13" s="129">
        <v>12.815</v>
      </c>
      <c r="H13" s="129">
        <v>13.021</v>
      </c>
      <c r="I13" s="129">
        <v>11.269</v>
      </c>
      <c r="J13" s="129">
        <v>11.459</v>
      </c>
      <c r="K13" s="129">
        <v>11.997</v>
      </c>
      <c r="L13" s="129">
        <v>12.575</v>
      </c>
      <c r="M13" s="129">
        <v>12.241</v>
      </c>
      <c r="N13" s="129">
        <v>9.76</v>
      </c>
      <c r="O13" s="129">
        <v>9.16</v>
      </c>
      <c r="P13" s="129">
        <v>8.762</v>
      </c>
      <c r="Q13" s="129">
        <v>6.874</v>
      </c>
      <c r="R13" s="192">
        <v>40.73240104290116</v>
      </c>
      <c r="S13" s="192">
        <f t="shared" si="2"/>
        <v>-21.54759187400138</v>
      </c>
      <c r="T13" s="105" t="s">
        <v>21</v>
      </c>
    </row>
    <row r="14" spans="1:20" ht="12.75" customHeight="1">
      <c r="A14" s="16"/>
      <c r="B14" s="18" t="s">
        <v>27</v>
      </c>
      <c r="C14" s="272">
        <v>36.501000000000005</v>
      </c>
      <c r="D14" s="156">
        <v>37.405</v>
      </c>
      <c r="E14" s="156">
        <v>42.781000000000006</v>
      </c>
      <c r="F14" s="156">
        <v>46.99799999999999</v>
      </c>
      <c r="G14" s="156">
        <v>51.539</v>
      </c>
      <c r="H14" s="156">
        <v>54.179</v>
      </c>
      <c r="I14" s="156">
        <v>58.948</v>
      </c>
      <c r="J14" s="156">
        <v>59.74</v>
      </c>
      <c r="K14" s="156">
        <v>63.54</v>
      </c>
      <c r="L14" s="156">
        <v>71.449</v>
      </c>
      <c r="M14" s="156">
        <v>72.487</v>
      </c>
      <c r="N14" s="156">
        <v>78.637</v>
      </c>
      <c r="O14" s="156">
        <v>82.006</v>
      </c>
      <c r="P14" s="156">
        <v>76.987</v>
      </c>
      <c r="Q14" s="156">
        <v>61.979</v>
      </c>
      <c r="R14" s="281">
        <v>20.1526921088484</v>
      </c>
      <c r="S14" s="281">
        <f t="shared" si="2"/>
        <v>-19.49420031953446</v>
      </c>
      <c r="T14" s="18" t="s">
        <v>27</v>
      </c>
    </row>
    <row r="15" spans="1:20" ht="12.75" customHeight="1">
      <c r="A15" s="16"/>
      <c r="B15" s="105" t="s">
        <v>11</v>
      </c>
      <c r="C15" s="273">
        <v>1.1</v>
      </c>
      <c r="D15" s="173">
        <v>1.455</v>
      </c>
      <c r="E15" s="173">
        <v>2.263</v>
      </c>
      <c r="F15" s="173">
        <v>3.253</v>
      </c>
      <c r="G15" s="173">
        <v>3.241</v>
      </c>
      <c r="H15" s="173">
        <v>3.217</v>
      </c>
      <c r="I15" s="129">
        <v>4.129</v>
      </c>
      <c r="J15" s="172">
        <v>3.625</v>
      </c>
      <c r="K15" s="129">
        <v>2.406</v>
      </c>
      <c r="L15" s="173">
        <v>3.62</v>
      </c>
      <c r="M15" s="173">
        <v>3.977</v>
      </c>
      <c r="N15" s="173">
        <v>3.569</v>
      </c>
      <c r="O15" s="173">
        <v>4.475</v>
      </c>
      <c r="P15" s="173">
        <v>5.522</v>
      </c>
      <c r="Q15" s="173">
        <v>4.014</v>
      </c>
      <c r="R15" s="282">
        <v>75.16853932584269</v>
      </c>
      <c r="S15" s="282">
        <f t="shared" si="2"/>
        <v>-27.308946034045633</v>
      </c>
      <c r="T15" s="105" t="s">
        <v>11</v>
      </c>
    </row>
    <row r="16" spans="1:20" ht="12.75" customHeight="1">
      <c r="A16" s="16"/>
      <c r="B16" s="18" t="s">
        <v>30</v>
      </c>
      <c r="C16" s="271">
        <v>0.8</v>
      </c>
      <c r="D16" s="157">
        <v>1.6</v>
      </c>
      <c r="E16" s="157">
        <v>2.3</v>
      </c>
      <c r="F16" s="157">
        <v>3.5</v>
      </c>
      <c r="G16" s="157">
        <v>2.4689999999999994</v>
      </c>
      <c r="H16" s="157">
        <v>3.938</v>
      </c>
      <c r="I16" s="157">
        <v>3.203</v>
      </c>
      <c r="J16" s="157">
        <v>3.545</v>
      </c>
      <c r="K16" s="157">
        <v>3.715</v>
      </c>
      <c r="L16" s="157">
        <v>3.928</v>
      </c>
      <c r="M16" s="157">
        <v>3.926</v>
      </c>
      <c r="N16" s="157">
        <v>3.622</v>
      </c>
      <c r="O16" s="157">
        <v>4.592</v>
      </c>
      <c r="P16" s="157">
        <v>4.137</v>
      </c>
      <c r="Q16" s="157">
        <v>3.595</v>
      </c>
      <c r="R16" s="280">
        <v>28.114491280206465</v>
      </c>
      <c r="S16" s="280">
        <f t="shared" si="2"/>
        <v>-13.101281121585673</v>
      </c>
      <c r="T16" s="18" t="s">
        <v>30</v>
      </c>
    </row>
    <row r="17" spans="1:20" ht="12.75" customHeight="1">
      <c r="A17" s="16"/>
      <c r="B17" s="105" t="s">
        <v>22</v>
      </c>
      <c r="C17" s="264">
        <v>4</v>
      </c>
      <c r="D17" s="130">
        <v>4.05</v>
      </c>
      <c r="E17" s="130">
        <v>4.12</v>
      </c>
      <c r="F17" s="130">
        <v>4.2</v>
      </c>
      <c r="G17" s="130">
        <v>4.3</v>
      </c>
      <c r="H17" s="130">
        <v>4.5</v>
      </c>
      <c r="I17" s="130">
        <v>4.6</v>
      </c>
      <c r="J17" s="130">
        <v>4.7</v>
      </c>
      <c r="K17" s="129">
        <v>4.8</v>
      </c>
      <c r="L17" s="130">
        <v>5.028</v>
      </c>
      <c r="M17" s="130">
        <v>5</v>
      </c>
      <c r="N17" s="130">
        <v>7.865</v>
      </c>
      <c r="O17" s="129">
        <v>6.062</v>
      </c>
      <c r="P17" s="129">
        <v>4.504</v>
      </c>
      <c r="Q17" s="129">
        <v>4.357</v>
      </c>
      <c r="R17" s="192">
        <v>15.2422599265349</v>
      </c>
      <c r="S17" s="192">
        <f t="shared" si="2"/>
        <v>-3.2637655417406597</v>
      </c>
      <c r="T17" s="105" t="s">
        <v>22</v>
      </c>
    </row>
    <row r="18" spans="1:20" ht="12.75" customHeight="1">
      <c r="A18" s="16"/>
      <c r="B18" s="18" t="s">
        <v>28</v>
      </c>
      <c r="C18" s="263">
        <v>22.855999999999995</v>
      </c>
      <c r="D18" s="153">
        <v>25.742999999999995</v>
      </c>
      <c r="E18" s="153">
        <v>28.866</v>
      </c>
      <c r="F18" s="153">
        <v>33.67100000000001</v>
      </c>
      <c r="G18" s="153">
        <v>36.128</v>
      </c>
      <c r="H18" s="153">
        <v>41.782</v>
      </c>
      <c r="I18" s="153">
        <v>47.041</v>
      </c>
      <c r="J18" s="153">
        <v>55.039</v>
      </c>
      <c r="K18" s="153">
        <v>54.183</v>
      </c>
      <c r="L18" s="153">
        <v>65.807</v>
      </c>
      <c r="M18" s="153">
        <v>66.844</v>
      </c>
      <c r="N18" s="153">
        <v>67.2</v>
      </c>
      <c r="O18" s="153">
        <v>68.264</v>
      </c>
      <c r="P18" s="153">
        <v>67.799</v>
      </c>
      <c r="Q18" s="153">
        <v>60.835</v>
      </c>
      <c r="R18" s="166">
        <v>28.709974279714018</v>
      </c>
      <c r="S18" s="166">
        <f t="shared" si="2"/>
        <v>-10.271537928288033</v>
      </c>
      <c r="T18" s="18" t="s">
        <v>28</v>
      </c>
    </row>
    <row r="19" spans="1:20" ht="12.75" customHeight="1">
      <c r="A19" s="16"/>
      <c r="B19" s="105" t="s">
        <v>29</v>
      </c>
      <c r="C19" s="273">
        <v>42.9</v>
      </c>
      <c r="D19" s="173">
        <v>43.49799999999999</v>
      </c>
      <c r="E19" s="173">
        <v>42.44</v>
      </c>
      <c r="F19" s="173">
        <v>43.64099999999999</v>
      </c>
      <c r="G19" s="173">
        <v>45.688</v>
      </c>
      <c r="H19" s="173">
        <v>40.836</v>
      </c>
      <c r="I19" s="173">
        <v>38.298</v>
      </c>
      <c r="J19" s="173">
        <v>34.617</v>
      </c>
      <c r="K19" s="173">
        <v>32.712</v>
      </c>
      <c r="L19" s="173">
        <v>33.018</v>
      </c>
      <c r="M19" s="173">
        <v>27.954</v>
      </c>
      <c r="N19" s="173">
        <v>28.692</v>
      </c>
      <c r="O19" s="173">
        <v>27.824</v>
      </c>
      <c r="P19" s="173">
        <v>24.425</v>
      </c>
      <c r="Q19" s="173">
        <v>17.6</v>
      </c>
      <c r="R19" s="282">
        <v>10.137022595192988</v>
      </c>
      <c r="S19" s="282">
        <f t="shared" si="2"/>
        <v>-27.942681678607983</v>
      </c>
      <c r="T19" s="105" t="s">
        <v>29</v>
      </c>
    </row>
    <row r="20" spans="1:20" ht="12.75" customHeight="1">
      <c r="A20" s="16"/>
      <c r="B20" s="18" t="s">
        <v>31</v>
      </c>
      <c r="C20" s="125">
        <v>24.13</v>
      </c>
      <c r="D20" s="121">
        <v>24.425</v>
      </c>
      <c r="E20" s="121">
        <v>24.753000000000014</v>
      </c>
      <c r="F20" s="122">
        <v>26.33099999999999</v>
      </c>
      <c r="G20" s="121">
        <v>25.323999999999984</v>
      </c>
      <c r="H20" s="121">
        <v>26.427</v>
      </c>
      <c r="I20" s="121">
        <v>31.764</v>
      </c>
      <c r="J20" s="121">
        <v>32.6</v>
      </c>
      <c r="K20" s="159">
        <v>30.904</v>
      </c>
      <c r="L20" s="157">
        <v>38.808</v>
      </c>
      <c r="M20" s="121">
        <v>40.217</v>
      </c>
      <c r="N20" s="121">
        <v>31.64</v>
      </c>
      <c r="O20" s="121">
        <v>27.004</v>
      </c>
      <c r="P20" s="121">
        <v>28.638</v>
      </c>
      <c r="Q20" s="121">
        <v>22.018</v>
      </c>
      <c r="R20" s="165">
        <v>13.134518902086185</v>
      </c>
      <c r="S20" s="165">
        <f t="shared" si="2"/>
        <v>-23.116139395209167</v>
      </c>
      <c r="T20" s="18" t="s">
        <v>31</v>
      </c>
    </row>
    <row r="21" spans="1:20" ht="12.75" customHeight="1">
      <c r="A21" s="16"/>
      <c r="B21" s="105" t="s">
        <v>9</v>
      </c>
      <c r="C21" s="273"/>
      <c r="D21" s="173"/>
      <c r="E21" s="173"/>
      <c r="F21" s="173"/>
      <c r="G21" s="173"/>
      <c r="H21" s="130">
        <v>0.03</v>
      </c>
      <c r="I21" s="130">
        <v>0.03</v>
      </c>
      <c r="J21" s="173">
        <v>0.037</v>
      </c>
      <c r="K21" s="173">
        <v>0.031</v>
      </c>
      <c r="L21" s="173">
        <v>0.017</v>
      </c>
      <c r="M21" s="173">
        <v>0.019</v>
      </c>
      <c r="N21" s="173">
        <v>0.02</v>
      </c>
      <c r="O21" s="173">
        <v>0.018</v>
      </c>
      <c r="P21" s="173">
        <v>0.012</v>
      </c>
      <c r="Q21" s="173">
        <v>0.018</v>
      </c>
      <c r="R21" s="282">
        <v>1.9730010384216001</v>
      </c>
      <c r="S21" s="282">
        <f t="shared" si="2"/>
        <v>49.99999999999998</v>
      </c>
      <c r="T21" s="105" t="s">
        <v>9</v>
      </c>
    </row>
    <row r="22" spans="1:20" ht="12.75" customHeight="1">
      <c r="A22" s="16"/>
      <c r="B22" s="18" t="s">
        <v>13</v>
      </c>
      <c r="C22" s="272"/>
      <c r="D22" s="156"/>
      <c r="E22" s="156"/>
      <c r="F22" s="156"/>
      <c r="G22" s="156"/>
      <c r="H22" s="156">
        <v>3.305</v>
      </c>
      <c r="I22" s="156">
        <v>3.715</v>
      </c>
      <c r="J22" s="156">
        <v>4.233</v>
      </c>
      <c r="K22" s="156">
        <v>4.443</v>
      </c>
      <c r="L22" s="156">
        <v>5</v>
      </c>
      <c r="M22" s="156">
        <v>5.66</v>
      </c>
      <c r="N22" s="156">
        <v>8.035</v>
      </c>
      <c r="O22" s="156">
        <v>10.197</v>
      </c>
      <c r="P22" s="156">
        <v>9.807</v>
      </c>
      <c r="Q22" s="156">
        <v>5.966</v>
      </c>
      <c r="R22" s="281">
        <v>73.51817621688232</v>
      </c>
      <c r="S22" s="281">
        <f t="shared" si="2"/>
        <v>-39.16590190680127</v>
      </c>
      <c r="T22" s="18" t="s">
        <v>13</v>
      </c>
    </row>
    <row r="23" spans="1:20" ht="12.75" customHeight="1">
      <c r="A23" s="16"/>
      <c r="B23" s="105" t="s">
        <v>14</v>
      </c>
      <c r="C23" s="273"/>
      <c r="D23" s="173"/>
      <c r="E23" s="173"/>
      <c r="F23" s="173"/>
      <c r="G23" s="173"/>
      <c r="H23" s="173">
        <v>6.235</v>
      </c>
      <c r="I23" s="173">
        <v>6.756</v>
      </c>
      <c r="J23" s="173">
        <v>9.191</v>
      </c>
      <c r="K23" s="173">
        <v>9.504</v>
      </c>
      <c r="L23" s="173">
        <v>10.066</v>
      </c>
      <c r="M23" s="173">
        <v>13.77</v>
      </c>
      <c r="N23" s="173">
        <v>15.902</v>
      </c>
      <c r="O23" s="173">
        <v>17.574</v>
      </c>
      <c r="P23" s="173">
        <v>17.859</v>
      </c>
      <c r="Q23" s="173">
        <v>15.124</v>
      </c>
      <c r="R23" s="282">
        <v>85.17204482739201</v>
      </c>
      <c r="S23" s="282">
        <f t="shared" si="2"/>
        <v>-15.314407301640632</v>
      </c>
      <c r="T23" s="105" t="s">
        <v>14</v>
      </c>
    </row>
    <row r="24" spans="1:20" ht="12.75" customHeight="1">
      <c r="A24" s="16"/>
      <c r="B24" s="18" t="s">
        <v>32</v>
      </c>
      <c r="C24" s="125">
        <v>4.969</v>
      </c>
      <c r="D24" s="121">
        <v>3.108</v>
      </c>
      <c r="E24" s="121">
        <v>4.006</v>
      </c>
      <c r="F24" s="121">
        <v>4.605</v>
      </c>
      <c r="G24" s="121">
        <v>5.936</v>
      </c>
      <c r="H24" s="121">
        <v>7.195</v>
      </c>
      <c r="I24" s="121">
        <v>8.212</v>
      </c>
      <c r="J24" s="121">
        <v>8.596</v>
      </c>
      <c r="K24" s="121">
        <v>9.079</v>
      </c>
      <c r="L24" s="121">
        <v>9.026</v>
      </c>
      <c r="M24" s="121">
        <v>8.309</v>
      </c>
      <c r="N24" s="121">
        <v>8.263</v>
      </c>
      <c r="O24" s="121">
        <v>9.014</v>
      </c>
      <c r="P24" s="121">
        <v>8.779</v>
      </c>
      <c r="Q24" s="121">
        <v>7.87</v>
      </c>
      <c r="R24" s="165">
        <v>93.69047619047619</v>
      </c>
      <c r="S24" s="165">
        <f t="shared" si="2"/>
        <v>-10.354254470896452</v>
      </c>
      <c r="T24" s="18" t="s">
        <v>32</v>
      </c>
    </row>
    <row r="25" spans="1:20" ht="12.75" customHeight="1">
      <c r="A25" s="16"/>
      <c r="B25" s="105" t="s">
        <v>12</v>
      </c>
      <c r="C25" s="273"/>
      <c r="D25" s="173"/>
      <c r="E25" s="173"/>
      <c r="F25" s="173"/>
      <c r="G25" s="173"/>
      <c r="H25" s="173">
        <v>6.979</v>
      </c>
      <c r="I25" s="173">
        <v>6.651</v>
      </c>
      <c r="J25" s="173">
        <v>6.746</v>
      </c>
      <c r="K25" s="173">
        <v>7.538</v>
      </c>
      <c r="L25" s="173">
        <v>9.632</v>
      </c>
      <c r="M25" s="173">
        <v>13.758</v>
      </c>
      <c r="N25" s="173">
        <v>18.054</v>
      </c>
      <c r="O25" s="173">
        <v>22.619</v>
      </c>
      <c r="P25" s="173">
        <v>22.716</v>
      </c>
      <c r="Q25" s="173">
        <v>23.203</v>
      </c>
      <c r="R25" s="282">
        <v>65.59240098380121</v>
      </c>
      <c r="S25" s="282">
        <f t="shared" si="2"/>
        <v>2.1438633562246734</v>
      </c>
      <c r="T25" s="105" t="s">
        <v>12</v>
      </c>
    </row>
    <row r="26" spans="1:20" ht="12.75" customHeight="1">
      <c r="A26" s="16"/>
      <c r="B26" s="18" t="s">
        <v>15</v>
      </c>
      <c r="C26" s="272"/>
      <c r="D26" s="156"/>
      <c r="E26" s="156"/>
      <c r="F26" s="156"/>
      <c r="G26" s="156"/>
      <c r="H26" s="122">
        <v>0.05</v>
      </c>
      <c r="I26" s="122">
        <v>0.05</v>
      </c>
      <c r="J26" s="122">
        <v>0.05</v>
      </c>
      <c r="K26" s="122">
        <v>0.05</v>
      </c>
      <c r="L26" s="122">
        <v>0.05</v>
      </c>
      <c r="M26" s="122">
        <v>0.05</v>
      </c>
      <c r="N26" s="122">
        <v>0.05</v>
      </c>
      <c r="O26" s="122">
        <v>0.05</v>
      </c>
      <c r="P26" s="122">
        <v>0.05</v>
      </c>
      <c r="Q26" s="122">
        <v>0.05</v>
      </c>
      <c r="R26" s="283">
        <v>20</v>
      </c>
      <c r="S26" s="283">
        <f t="shared" si="2"/>
        <v>0</v>
      </c>
      <c r="T26" s="18" t="s">
        <v>15</v>
      </c>
    </row>
    <row r="27" spans="1:20" ht="12.75" customHeight="1">
      <c r="A27" s="16"/>
      <c r="B27" s="64" t="s">
        <v>23</v>
      </c>
      <c r="C27" s="273">
        <v>40.416999999999994</v>
      </c>
      <c r="D27" s="173">
        <v>42.09700000000001</v>
      </c>
      <c r="E27" s="173">
        <v>43.215999999999994</v>
      </c>
      <c r="F27" s="173">
        <v>50.26</v>
      </c>
      <c r="G27" s="173">
        <v>50.88199999999999</v>
      </c>
      <c r="H27" s="173">
        <v>48.028</v>
      </c>
      <c r="I27" s="173">
        <v>47.492</v>
      </c>
      <c r="J27" s="173">
        <v>47.161</v>
      </c>
      <c r="K27" s="173">
        <v>47.979</v>
      </c>
      <c r="L27" s="173">
        <v>55.757</v>
      </c>
      <c r="M27" s="173">
        <v>52.336</v>
      </c>
      <c r="N27" s="173">
        <v>52.184</v>
      </c>
      <c r="O27" s="173">
        <v>47.235</v>
      </c>
      <c r="P27" s="173">
        <v>46.15</v>
      </c>
      <c r="Q27" s="173">
        <v>41.338</v>
      </c>
      <c r="R27" s="282">
        <v>56.88063295493636</v>
      </c>
      <c r="S27" s="282">
        <f t="shared" si="2"/>
        <v>-10.426868905742136</v>
      </c>
      <c r="T27" s="64" t="s">
        <v>23</v>
      </c>
    </row>
    <row r="28" spans="1:20" ht="12.75" customHeight="1">
      <c r="A28" s="16"/>
      <c r="B28" s="18" t="s">
        <v>33</v>
      </c>
      <c r="C28" s="272">
        <v>15.431</v>
      </c>
      <c r="D28" s="156">
        <v>16.356</v>
      </c>
      <c r="E28" s="156">
        <v>17.041000000000004</v>
      </c>
      <c r="F28" s="156">
        <v>18.585</v>
      </c>
      <c r="G28" s="156">
        <v>21.701999999999998</v>
      </c>
      <c r="H28" s="156">
        <v>22.733</v>
      </c>
      <c r="I28" s="156">
        <v>25.078</v>
      </c>
      <c r="J28" s="156">
        <v>25.835</v>
      </c>
      <c r="K28" s="156">
        <v>26.52</v>
      </c>
      <c r="L28" s="156">
        <v>26.81</v>
      </c>
      <c r="M28" s="156">
        <v>24.53</v>
      </c>
      <c r="N28" s="156">
        <v>24.75</v>
      </c>
      <c r="O28" s="156">
        <v>22.658</v>
      </c>
      <c r="P28" s="156">
        <v>19.732</v>
      </c>
      <c r="Q28" s="156">
        <v>15.584</v>
      </c>
      <c r="R28" s="281">
        <v>53.59931212381771</v>
      </c>
      <c r="S28" s="281">
        <f t="shared" si="2"/>
        <v>-21.021690654773973</v>
      </c>
      <c r="T28" s="18" t="s">
        <v>33</v>
      </c>
    </row>
    <row r="29" spans="1:20" ht="12.75" customHeight="1">
      <c r="A29" s="16"/>
      <c r="B29" s="105" t="s">
        <v>16</v>
      </c>
      <c r="C29" s="273"/>
      <c r="D29" s="173"/>
      <c r="E29" s="173"/>
      <c r="F29" s="173"/>
      <c r="G29" s="173"/>
      <c r="H29" s="129">
        <v>27.023</v>
      </c>
      <c r="I29" s="129">
        <v>28.228</v>
      </c>
      <c r="J29" s="129">
        <v>29.818</v>
      </c>
      <c r="K29" s="172">
        <v>32.989</v>
      </c>
      <c r="L29" s="173">
        <v>43.982</v>
      </c>
      <c r="M29" s="173">
        <v>50.886</v>
      </c>
      <c r="N29" s="173">
        <v>68.895</v>
      </c>
      <c r="O29" s="173">
        <v>85.11</v>
      </c>
      <c r="P29" s="173">
        <v>93.013</v>
      </c>
      <c r="Q29" s="173">
        <v>101.534</v>
      </c>
      <c r="R29" s="282">
        <v>56.17676024388355</v>
      </c>
      <c r="S29" s="282">
        <f t="shared" si="2"/>
        <v>9.161085009622315</v>
      </c>
      <c r="T29" s="105" t="s">
        <v>16</v>
      </c>
    </row>
    <row r="30" spans="1:20" ht="12.75" customHeight="1">
      <c r="A30" s="16"/>
      <c r="B30" s="18" t="s">
        <v>34</v>
      </c>
      <c r="C30" s="265">
        <v>15.5</v>
      </c>
      <c r="D30" s="122">
        <v>16.85</v>
      </c>
      <c r="E30" s="122">
        <v>18.63</v>
      </c>
      <c r="F30" s="122">
        <v>19.05</v>
      </c>
      <c r="G30" s="122">
        <v>20.66</v>
      </c>
      <c r="H30" s="122">
        <v>21.85</v>
      </c>
      <c r="I30" s="122">
        <v>23</v>
      </c>
      <c r="J30" s="122">
        <v>22.9</v>
      </c>
      <c r="K30" s="122">
        <v>22.73</v>
      </c>
      <c r="L30" s="121">
        <v>23.384</v>
      </c>
      <c r="M30" s="121">
        <v>25.163</v>
      </c>
      <c r="N30" s="121">
        <v>27.295</v>
      </c>
      <c r="O30" s="121">
        <v>27.884</v>
      </c>
      <c r="P30" s="121">
        <v>21.977</v>
      </c>
      <c r="Q30" s="121">
        <v>21.384</v>
      </c>
      <c r="R30" s="165">
        <v>59.71849865951743</v>
      </c>
      <c r="S30" s="165">
        <f t="shared" si="2"/>
        <v>-2.6982754698093414</v>
      </c>
      <c r="T30" s="18" t="s">
        <v>34</v>
      </c>
    </row>
    <row r="31" spans="1:20" ht="12.75" customHeight="1">
      <c r="A31" s="16"/>
      <c r="B31" s="105" t="s">
        <v>17</v>
      </c>
      <c r="C31" s="128"/>
      <c r="D31" s="129"/>
      <c r="E31" s="129"/>
      <c r="F31" s="129"/>
      <c r="G31" s="129">
        <v>3.728999999999999</v>
      </c>
      <c r="H31" s="129">
        <v>4.408</v>
      </c>
      <c r="I31" s="129">
        <v>7.899</v>
      </c>
      <c r="J31" s="129">
        <v>14.37</v>
      </c>
      <c r="K31" s="129">
        <v>17.216</v>
      </c>
      <c r="L31" s="129">
        <v>22.569</v>
      </c>
      <c r="M31" s="129">
        <v>32.133</v>
      </c>
      <c r="N31" s="129">
        <v>34.565</v>
      </c>
      <c r="O31" s="129">
        <v>35.591</v>
      </c>
      <c r="P31" s="129">
        <v>33.196</v>
      </c>
      <c r="Q31" s="129">
        <v>13.39</v>
      </c>
      <c r="R31" s="192">
        <v>39.073214858910376</v>
      </c>
      <c r="S31" s="192">
        <f t="shared" si="2"/>
        <v>-59.66381491745993</v>
      </c>
      <c r="T31" s="105" t="s">
        <v>17</v>
      </c>
    </row>
    <row r="32" spans="1:20" ht="12.75" customHeight="1">
      <c r="A32" s="16"/>
      <c r="B32" s="18" t="s">
        <v>19</v>
      </c>
      <c r="C32" s="271"/>
      <c r="D32" s="157"/>
      <c r="E32" s="157"/>
      <c r="F32" s="157"/>
      <c r="G32" s="157"/>
      <c r="H32" s="157">
        <v>3.4</v>
      </c>
      <c r="I32" s="157">
        <v>5.108</v>
      </c>
      <c r="J32" s="157">
        <v>4.664</v>
      </c>
      <c r="K32" s="157">
        <v>5.045</v>
      </c>
      <c r="L32" s="157">
        <v>6.74</v>
      </c>
      <c r="M32" s="157">
        <v>8.672</v>
      </c>
      <c r="N32" s="157">
        <v>9.834</v>
      </c>
      <c r="O32" s="157">
        <v>11.161</v>
      </c>
      <c r="P32" s="157">
        <v>13.625</v>
      </c>
      <c r="Q32" s="157">
        <v>12.486</v>
      </c>
      <c r="R32" s="280">
        <v>84.58203495461319</v>
      </c>
      <c r="S32" s="280">
        <f t="shared" si="2"/>
        <v>-8.359633027522928</v>
      </c>
      <c r="T32" s="18" t="s">
        <v>19</v>
      </c>
    </row>
    <row r="33" spans="1:20" ht="12.75" customHeight="1">
      <c r="A33" s="16"/>
      <c r="B33" s="105" t="s">
        <v>18</v>
      </c>
      <c r="C33" s="273"/>
      <c r="D33" s="173"/>
      <c r="E33" s="173"/>
      <c r="F33" s="173"/>
      <c r="G33" s="173"/>
      <c r="H33" s="173">
        <v>9.284</v>
      </c>
      <c r="I33" s="173">
        <v>8.482</v>
      </c>
      <c r="J33" s="173">
        <v>9.91</v>
      </c>
      <c r="K33" s="173">
        <v>11.544</v>
      </c>
      <c r="L33" s="173">
        <v>13.105</v>
      </c>
      <c r="M33" s="173">
        <v>16.945</v>
      </c>
      <c r="N33" s="173">
        <v>17.009</v>
      </c>
      <c r="O33" s="173">
        <v>21.542</v>
      </c>
      <c r="P33" s="173">
        <v>22.957</v>
      </c>
      <c r="Q33" s="173">
        <v>22.187</v>
      </c>
      <c r="R33" s="282">
        <v>80.07940804908861</v>
      </c>
      <c r="S33" s="282">
        <f t="shared" si="2"/>
        <v>-3.3540967896502183</v>
      </c>
      <c r="T33" s="105" t="s">
        <v>18</v>
      </c>
    </row>
    <row r="34" spans="1:20" ht="12.75" customHeight="1">
      <c r="A34" s="16"/>
      <c r="B34" s="18" t="s">
        <v>35</v>
      </c>
      <c r="C34" s="271">
        <v>2.6960000000000015</v>
      </c>
      <c r="D34" s="157">
        <v>2.815</v>
      </c>
      <c r="E34" s="157">
        <v>2.192</v>
      </c>
      <c r="F34" s="157">
        <v>2.4890000000000008</v>
      </c>
      <c r="G34" s="157">
        <v>3.85</v>
      </c>
      <c r="H34" s="157">
        <v>4.258</v>
      </c>
      <c r="I34" s="157">
        <v>3.8</v>
      </c>
      <c r="J34" s="157">
        <v>3.897</v>
      </c>
      <c r="K34" s="157">
        <v>4.03</v>
      </c>
      <c r="L34" s="157">
        <v>4.96</v>
      </c>
      <c r="M34" s="157">
        <v>4.043</v>
      </c>
      <c r="N34" s="157">
        <v>4.25</v>
      </c>
      <c r="O34" s="157">
        <v>3.855</v>
      </c>
      <c r="P34" s="157">
        <v>3.421</v>
      </c>
      <c r="Q34" s="157">
        <v>3.411</v>
      </c>
      <c r="R34" s="280">
        <v>12.267577773781696</v>
      </c>
      <c r="S34" s="280">
        <f t="shared" si="2"/>
        <v>-0.29231218941829784</v>
      </c>
      <c r="T34" s="18" t="s">
        <v>35</v>
      </c>
    </row>
    <row r="35" spans="1:20" ht="12.75" customHeight="1">
      <c r="A35" s="16"/>
      <c r="B35" s="105" t="s">
        <v>36</v>
      </c>
      <c r="C35" s="273">
        <v>3.243000000000002</v>
      </c>
      <c r="D35" s="173">
        <v>3.011999999999997</v>
      </c>
      <c r="E35" s="173">
        <v>2.9239999999999995</v>
      </c>
      <c r="F35" s="173">
        <v>2.9309999999999974</v>
      </c>
      <c r="G35" s="129">
        <v>2.7780000000000022</v>
      </c>
      <c r="H35" s="173">
        <v>4.169</v>
      </c>
      <c r="I35" s="173">
        <v>4.191</v>
      </c>
      <c r="J35" s="173">
        <v>4.816</v>
      </c>
      <c r="K35" s="173">
        <v>5.171</v>
      </c>
      <c r="L35" s="173">
        <v>4.258</v>
      </c>
      <c r="M35" s="173">
        <v>3.874</v>
      </c>
      <c r="N35" s="173">
        <v>4.444</v>
      </c>
      <c r="O35" s="173">
        <v>4.145</v>
      </c>
      <c r="P35" s="173">
        <v>4.418</v>
      </c>
      <c r="Q35" s="173">
        <v>2.924</v>
      </c>
      <c r="R35" s="282">
        <v>8.343082146831392</v>
      </c>
      <c r="S35" s="282">
        <f t="shared" si="2"/>
        <v>-33.81620642824807</v>
      </c>
      <c r="T35" s="105" t="s">
        <v>36</v>
      </c>
    </row>
    <row r="36" spans="1:20" ht="12.75" customHeight="1">
      <c r="A36" s="16"/>
      <c r="B36" s="19" t="s">
        <v>24</v>
      </c>
      <c r="C36" s="274">
        <v>14.786000000000001</v>
      </c>
      <c r="D36" s="275">
        <v>16.005</v>
      </c>
      <c r="E36" s="275">
        <v>16.69799999999998</v>
      </c>
      <c r="F36" s="275">
        <v>16.56899999999999</v>
      </c>
      <c r="G36" s="275">
        <v>17.241</v>
      </c>
      <c r="H36" s="275">
        <v>15.284</v>
      </c>
      <c r="I36" s="275">
        <v>13.504</v>
      </c>
      <c r="J36" s="275">
        <v>13.115</v>
      </c>
      <c r="K36" s="275">
        <v>13.21</v>
      </c>
      <c r="L36" s="275">
        <v>11.475</v>
      </c>
      <c r="M36" s="276">
        <v>10.067</v>
      </c>
      <c r="N36" s="276">
        <v>10.709</v>
      </c>
      <c r="O36" s="276">
        <v>10.283</v>
      </c>
      <c r="P36" s="276">
        <v>9.151</v>
      </c>
      <c r="Q36" s="276">
        <v>7.921</v>
      </c>
      <c r="R36" s="284">
        <v>5.675954592363254</v>
      </c>
      <c r="S36" s="284">
        <f t="shared" si="2"/>
        <v>-13.44115397224347</v>
      </c>
      <c r="T36" s="19" t="s">
        <v>24</v>
      </c>
    </row>
    <row r="37" spans="1:20" ht="12.75" customHeight="1">
      <c r="A37" s="16"/>
      <c r="B37" s="105" t="s">
        <v>40</v>
      </c>
      <c r="C37" s="189"/>
      <c r="D37" s="170"/>
      <c r="E37" s="170"/>
      <c r="F37" s="170"/>
      <c r="G37" s="170">
        <v>0.8179999999999998</v>
      </c>
      <c r="H37" s="170">
        <v>0.95</v>
      </c>
      <c r="I37" s="170">
        <v>3.57</v>
      </c>
      <c r="J37" s="170">
        <v>3.75</v>
      </c>
      <c r="K37" s="170">
        <v>4.117</v>
      </c>
      <c r="L37" s="170">
        <v>4.445999999999999</v>
      </c>
      <c r="M37" s="170">
        <v>4.941</v>
      </c>
      <c r="N37" s="170">
        <v>4.884</v>
      </c>
      <c r="O37" s="170">
        <v>5.38</v>
      </c>
      <c r="P37" s="170">
        <v>4.598</v>
      </c>
      <c r="Q37" s="170">
        <v>4.301</v>
      </c>
      <c r="R37" s="194">
        <v>45.62911096965839</v>
      </c>
      <c r="S37" s="194">
        <f t="shared" si="2"/>
        <v>-6.459330143540665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>
        <v>100</v>
      </c>
      <c r="S38" s="165"/>
      <c r="T38" s="18" t="s">
        <v>4</v>
      </c>
    </row>
    <row r="39" spans="1:20" ht="12.75" customHeight="1">
      <c r="A39" s="16"/>
      <c r="B39" s="108" t="s">
        <v>20</v>
      </c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285">
        <v>100</v>
      </c>
      <c r="S39" s="193"/>
      <c r="T39" s="108" t="s">
        <v>20</v>
      </c>
    </row>
    <row r="40" spans="1:20" ht="12.75" customHeight="1">
      <c r="A40" s="16"/>
      <c r="B40" s="17" t="s">
        <v>6</v>
      </c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280">
        <v>100</v>
      </c>
      <c r="S40" s="167"/>
      <c r="T40" s="17" t="s">
        <v>6</v>
      </c>
    </row>
    <row r="41" spans="1:20" ht="12.75" customHeight="1">
      <c r="A41" s="16"/>
      <c r="B41" s="105" t="s">
        <v>37</v>
      </c>
      <c r="C41" s="128"/>
      <c r="D41" s="129"/>
      <c r="E41" s="129"/>
      <c r="F41" s="129"/>
      <c r="G41" s="129">
        <v>3.174</v>
      </c>
      <c r="H41" s="129">
        <v>3.018</v>
      </c>
      <c r="I41" s="129">
        <v>2.786</v>
      </c>
      <c r="J41" s="129">
        <v>2.705</v>
      </c>
      <c r="K41" s="129">
        <v>3.067</v>
      </c>
      <c r="L41" s="129">
        <v>3.007</v>
      </c>
      <c r="M41" s="129">
        <v>2.895</v>
      </c>
      <c r="N41" s="129">
        <v>4.077</v>
      </c>
      <c r="O41" s="129">
        <v>3.948</v>
      </c>
      <c r="P41" s="129">
        <v>3.938</v>
      </c>
      <c r="Q41" s="129">
        <v>3.17</v>
      </c>
      <c r="R41" s="192">
        <v>17.18436602157533</v>
      </c>
      <c r="S41" s="192">
        <f t="shared" si="2"/>
        <v>-19.50228542407314</v>
      </c>
      <c r="T41" s="105" t="s">
        <v>37</v>
      </c>
    </row>
    <row r="42" spans="1:20" ht="12.75" customHeight="1">
      <c r="A42" s="16"/>
      <c r="B42" s="19" t="s">
        <v>91</v>
      </c>
      <c r="C42" s="126">
        <v>0.7461000000000002</v>
      </c>
      <c r="D42" s="124">
        <v>0.6984</v>
      </c>
      <c r="E42" s="124">
        <v>0.6832</v>
      </c>
      <c r="F42" s="124">
        <v>0.7001</v>
      </c>
      <c r="G42" s="124">
        <v>0.7836999999999996</v>
      </c>
      <c r="H42" s="124">
        <v>0.8582999999999998</v>
      </c>
      <c r="I42" s="124">
        <v>0.8642000000000003</v>
      </c>
      <c r="J42" s="124">
        <v>0.9372000000000007</v>
      </c>
      <c r="K42" s="124">
        <v>1.0053</v>
      </c>
      <c r="L42" s="124">
        <v>0.9519000000000002</v>
      </c>
      <c r="M42" s="124">
        <v>0.8635999999999999</v>
      </c>
      <c r="N42" s="124">
        <v>0.8697000000000017</v>
      </c>
      <c r="O42" s="369">
        <v>0.8529</v>
      </c>
      <c r="P42" s="124">
        <v>4.098</v>
      </c>
      <c r="Q42" s="124">
        <v>3.477</v>
      </c>
      <c r="R42" s="168">
        <v>26.392895096402</v>
      </c>
      <c r="S42" s="168">
        <f t="shared" si="2"/>
        <v>-15.153733528550518</v>
      </c>
      <c r="T42" s="19" t="s">
        <v>91</v>
      </c>
    </row>
    <row r="43" spans="2:20" ht="15" customHeight="1">
      <c r="B43" s="419" t="s">
        <v>92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351"/>
      <c r="S43" s="353"/>
      <c r="T43" s="353"/>
    </row>
    <row r="44" ht="12.75">
      <c r="B44" s="11" t="s">
        <v>3</v>
      </c>
    </row>
    <row r="45" ht="12.75">
      <c r="B45" s="3" t="s">
        <v>105</v>
      </c>
    </row>
    <row r="46" ht="12.75">
      <c r="B46" s="135" t="s">
        <v>106</v>
      </c>
    </row>
    <row r="47" spans="2:20" ht="24.75" customHeight="1">
      <c r="B47" s="418" t="s">
        <v>140</v>
      </c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S47" s="352"/>
      <c r="T47" s="352"/>
    </row>
  </sheetData>
  <mergeCells count="4">
    <mergeCell ref="B47:Q47"/>
    <mergeCell ref="B43:Q43"/>
    <mergeCell ref="B2:T2"/>
    <mergeCell ref="B3:T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W48"/>
  <sheetViews>
    <sheetView workbookViewId="0" topLeftCell="A1">
      <selection activeCell="V29" sqref="V29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7.7109375" style="0" customWidth="1"/>
    <col min="4" max="7" width="7.7109375" style="0" hidden="1" customWidth="1"/>
    <col min="8" max="13" width="7.7109375" style="0" customWidth="1"/>
    <col min="14" max="17" width="8.28125" style="0" customWidth="1"/>
    <col min="18" max="18" width="6.00390625" style="0" customWidth="1"/>
    <col min="19" max="19" width="6.28125" style="0" customWidth="1"/>
    <col min="20" max="20" width="4.57421875" style="0" customWidth="1"/>
    <col min="21" max="21" width="7.7109375" style="0" customWidth="1"/>
    <col min="22" max="22" width="6.57421875" style="0" customWidth="1"/>
    <col min="23" max="23" width="7.7109375" style="0" customWidth="1"/>
  </cols>
  <sheetData>
    <row r="1" spans="2:21" ht="14.25" customHeight="1">
      <c r="B1" s="46"/>
      <c r="C1" s="43"/>
      <c r="D1" s="43"/>
      <c r="E1" s="43"/>
      <c r="F1" s="43"/>
      <c r="G1" s="43"/>
      <c r="H1" s="43"/>
      <c r="I1" s="43"/>
      <c r="J1" s="47"/>
      <c r="T1" s="44" t="s">
        <v>122</v>
      </c>
      <c r="U1" s="44"/>
    </row>
    <row r="2" spans="2:21" s="95" customFormat="1" ht="15" customHeight="1">
      <c r="B2" s="415" t="s">
        <v>102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70"/>
    </row>
    <row r="3" spans="2:21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55"/>
    </row>
    <row r="4" spans="2:23" ht="12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22"/>
      <c r="S4" s="6"/>
      <c r="U4" s="22"/>
      <c r="W4" s="6"/>
    </row>
    <row r="5" spans="2:22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174" t="s">
        <v>131</v>
      </c>
      <c r="S5" s="72"/>
      <c r="T5" s="72"/>
      <c r="V5" s="45"/>
    </row>
    <row r="6" spans="2:22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79" t="s">
        <v>82</v>
      </c>
      <c r="S6" s="74"/>
      <c r="T6" s="72"/>
      <c r="V6" s="45"/>
    </row>
    <row r="7" spans="2:22" ht="12.75" customHeight="1">
      <c r="B7" s="112" t="s">
        <v>70</v>
      </c>
      <c r="C7" s="307">
        <f aca="true" t="shared" si="0" ref="C7:N7">SUM(C10:C36)</f>
        <v>1288.66</v>
      </c>
      <c r="D7" s="267">
        <f t="shared" si="0"/>
        <v>1302.5789999999997</v>
      </c>
      <c r="E7" s="267">
        <f t="shared" si="0"/>
        <v>1351.678</v>
      </c>
      <c r="F7" s="267">
        <f t="shared" si="0"/>
        <v>1414.2039999999997</v>
      </c>
      <c r="G7" s="267">
        <f t="shared" si="0"/>
        <v>1469.9409999999998</v>
      </c>
      <c r="H7" s="267">
        <f t="shared" si="0"/>
        <v>1518.7060000000001</v>
      </c>
      <c r="I7" s="267">
        <f t="shared" si="0"/>
        <v>1556.2670000000003</v>
      </c>
      <c r="J7" s="267">
        <f t="shared" si="0"/>
        <v>1605.8980000000001</v>
      </c>
      <c r="K7" s="267">
        <f t="shared" si="0"/>
        <v>1625.4370000000001</v>
      </c>
      <c r="L7" s="267">
        <f t="shared" si="0"/>
        <v>1742.101</v>
      </c>
      <c r="M7" s="267">
        <f t="shared" si="0"/>
        <v>1794.0060000000003</v>
      </c>
      <c r="N7" s="267">
        <f t="shared" si="0"/>
        <v>1847.572</v>
      </c>
      <c r="O7" s="267">
        <f>SUM(O10:O36)</f>
        <v>1914.4559999999997</v>
      </c>
      <c r="P7" s="267">
        <f>SUM(P10:P36)</f>
        <v>1880.5010000000002</v>
      </c>
      <c r="Q7" s="267">
        <f>SUM(Q10:Q36)</f>
        <v>1691.431</v>
      </c>
      <c r="R7" s="277">
        <f>100*(Q7/P7-1)</f>
        <v>-10.054235546803758</v>
      </c>
      <c r="S7" s="104" t="s">
        <v>70</v>
      </c>
      <c r="T7" s="72"/>
      <c r="V7" s="45"/>
    </row>
    <row r="8" spans="1:22" ht="12.75" customHeight="1">
      <c r="A8" s="16"/>
      <c r="B8" s="113" t="s">
        <v>25</v>
      </c>
      <c r="C8" s="106">
        <f aca="true" t="shared" si="1" ref="C8:N8">C10+C13+C14+SUM(C16:C20)+C24+C27+C28+C30+SUM(C34:C36)</f>
        <v>1138.231</v>
      </c>
      <c r="D8" s="107">
        <f t="shared" si="1"/>
        <v>1147.34</v>
      </c>
      <c r="E8" s="107">
        <f t="shared" si="1"/>
        <v>1183.033</v>
      </c>
      <c r="F8" s="107">
        <f t="shared" si="1"/>
        <v>1233.762</v>
      </c>
      <c r="G8" s="107">
        <f t="shared" si="1"/>
        <v>1284.3239999999998</v>
      </c>
      <c r="H8" s="107">
        <f t="shared" si="1"/>
        <v>1328.8670000000002</v>
      </c>
      <c r="I8" s="107">
        <f t="shared" si="1"/>
        <v>1354.179</v>
      </c>
      <c r="J8" s="107">
        <f t="shared" si="1"/>
        <v>1385.432</v>
      </c>
      <c r="K8" s="107">
        <f t="shared" si="1"/>
        <v>1386.672</v>
      </c>
      <c r="L8" s="314">
        <f t="shared" si="1"/>
        <v>1469.832</v>
      </c>
      <c r="M8" s="107">
        <f t="shared" si="1"/>
        <v>1482.3110000000001</v>
      </c>
      <c r="N8" s="314">
        <f t="shared" si="1"/>
        <v>1497.1750000000002</v>
      </c>
      <c r="O8" s="314">
        <f>O10+O13+O14+SUM(O16:O20)+O24+O27+O28+O30+SUM(O34:O36)</f>
        <v>1523.239</v>
      </c>
      <c r="P8" s="314">
        <f>P10+P13+P14+SUM(P16:P20)+P24+P27+P28+P30+SUM(P34:P36)</f>
        <v>1470.015</v>
      </c>
      <c r="Q8" s="314">
        <f>Q10+Q13+Q14+SUM(Q16:Q20)+Q24+Q27+Q28+Q30+SUM(Q34:Q36)</f>
        <v>1303.458</v>
      </c>
      <c r="R8" s="313">
        <f aca="true" t="shared" si="2" ref="R8:R42">100*(Q8/P8-1)</f>
        <v>-11.330292548035226</v>
      </c>
      <c r="S8" s="105" t="s">
        <v>25</v>
      </c>
      <c r="T8" s="71"/>
      <c r="V8" s="12"/>
    </row>
    <row r="9" spans="1:22" ht="12.75" customHeight="1">
      <c r="A9" s="16"/>
      <c r="B9" s="114" t="s">
        <v>83</v>
      </c>
      <c r="C9" s="117">
        <f aca="true" t="shared" si="3" ref="C9:Q9">C7-C8</f>
        <v>150.4290000000001</v>
      </c>
      <c r="D9" s="109">
        <f t="shared" si="3"/>
        <v>155.2389999999998</v>
      </c>
      <c r="E9" s="109">
        <f t="shared" si="3"/>
        <v>168.6450000000002</v>
      </c>
      <c r="F9" s="109">
        <f t="shared" si="3"/>
        <v>180.44199999999978</v>
      </c>
      <c r="G9" s="109">
        <f t="shared" si="3"/>
        <v>185.61699999999996</v>
      </c>
      <c r="H9" s="109">
        <f t="shared" si="3"/>
        <v>189.83899999999994</v>
      </c>
      <c r="I9" s="109">
        <f t="shared" si="3"/>
        <v>202.0880000000002</v>
      </c>
      <c r="J9" s="109">
        <f t="shared" si="3"/>
        <v>220.46600000000012</v>
      </c>
      <c r="K9" s="109">
        <f t="shared" si="3"/>
        <v>238.7650000000001</v>
      </c>
      <c r="L9" s="109">
        <f t="shared" si="3"/>
        <v>272.269</v>
      </c>
      <c r="M9" s="109">
        <f t="shared" si="3"/>
        <v>311.69500000000016</v>
      </c>
      <c r="N9" s="316">
        <f t="shared" si="3"/>
        <v>350.3969999999997</v>
      </c>
      <c r="O9" s="316">
        <f t="shared" si="3"/>
        <v>391.21699999999964</v>
      </c>
      <c r="P9" s="316">
        <f t="shared" si="3"/>
        <v>410.4860000000001</v>
      </c>
      <c r="Q9" s="316">
        <f t="shared" si="3"/>
        <v>387.97299999999996</v>
      </c>
      <c r="R9" s="279">
        <f t="shared" si="2"/>
        <v>-5.484474500957437</v>
      </c>
      <c r="S9" s="108" t="s">
        <v>83</v>
      </c>
      <c r="T9" s="71"/>
      <c r="V9" s="12"/>
    </row>
    <row r="10" spans="1:22" ht="12.75" customHeight="1">
      <c r="A10" s="16"/>
      <c r="B10" s="18" t="s">
        <v>26</v>
      </c>
      <c r="C10" s="153">
        <v>45.6</v>
      </c>
      <c r="D10" s="153">
        <v>41.8</v>
      </c>
      <c r="E10" s="153">
        <v>43.7</v>
      </c>
      <c r="F10" s="154">
        <v>41.1</v>
      </c>
      <c r="G10" s="158">
        <v>37.284</v>
      </c>
      <c r="H10" s="153">
        <v>51.047</v>
      </c>
      <c r="I10" s="153">
        <v>53.182</v>
      </c>
      <c r="J10" s="153">
        <v>52.889</v>
      </c>
      <c r="K10" s="153">
        <v>50.542</v>
      </c>
      <c r="L10" s="153">
        <v>47.878</v>
      </c>
      <c r="M10" s="153">
        <v>43.847</v>
      </c>
      <c r="N10" s="153">
        <v>43.017</v>
      </c>
      <c r="O10" s="153">
        <v>42.085</v>
      </c>
      <c r="P10" s="153">
        <v>38.356</v>
      </c>
      <c r="Q10" s="153">
        <v>36.174</v>
      </c>
      <c r="R10" s="280">
        <f t="shared" si="2"/>
        <v>-5.6888100949004095</v>
      </c>
      <c r="S10" s="17" t="s">
        <v>26</v>
      </c>
      <c r="T10" s="26"/>
      <c r="V10" s="12"/>
    </row>
    <row r="11" spans="1:22" ht="12.75" customHeight="1">
      <c r="A11" s="16"/>
      <c r="B11" s="105" t="s">
        <v>8</v>
      </c>
      <c r="C11" s="130">
        <v>5.2</v>
      </c>
      <c r="D11" s="130">
        <v>5.4</v>
      </c>
      <c r="E11" s="130">
        <v>5.6</v>
      </c>
      <c r="F11" s="130">
        <v>5.8</v>
      </c>
      <c r="G11" s="130">
        <v>6</v>
      </c>
      <c r="H11" s="129">
        <v>6.404</v>
      </c>
      <c r="I11" s="129">
        <v>8.047</v>
      </c>
      <c r="J11" s="129">
        <v>8.804</v>
      </c>
      <c r="K11" s="129">
        <v>9.497</v>
      </c>
      <c r="L11" s="129">
        <v>11.961</v>
      </c>
      <c r="M11" s="129">
        <v>14.371</v>
      </c>
      <c r="N11" s="129">
        <v>13.765</v>
      </c>
      <c r="O11" s="129">
        <v>14.624</v>
      </c>
      <c r="P11" s="129">
        <v>15.322</v>
      </c>
      <c r="Q11" s="129">
        <v>17.742</v>
      </c>
      <c r="R11" s="192">
        <f t="shared" si="2"/>
        <v>15.794282730714016</v>
      </c>
      <c r="S11" s="105" t="s">
        <v>8</v>
      </c>
      <c r="T11" s="26"/>
      <c r="V11" s="12"/>
    </row>
    <row r="12" spans="1:22" ht="12.75" customHeight="1">
      <c r="A12" s="16"/>
      <c r="B12" s="18" t="s">
        <v>10</v>
      </c>
      <c r="C12" s="121">
        <v>31.3</v>
      </c>
      <c r="D12" s="121">
        <v>30.1</v>
      </c>
      <c r="E12" s="121">
        <v>30.64</v>
      </c>
      <c r="F12" s="121">
        <v>33.911</v>
      </c>
      <c r="G12" s="121">
        <v>36.964</v>
      </c>
      <c r="H12" s="121">
        <v>37.31</v>
      </c>
      <c r="I12" s="121">
        <v>39.067</v>
      </c>
      <c r="J12" s="121">
        <v>43.674</v>
      </c>
      <c r="K12" s="121">
        <v>46.535</v>
      </c>
      <c r="L12" s="121">
        <v>46.011</v>
      </c>
      <c r="M12" s="121">
        <v>43.447</v>
      </c>
      <c r="N12" s="121">
        <v>50.376</v>
      </c>
      <c r="O12" s="121">
        <v>48.141</v>
      </c>
      <c r="P12" s="121">
        <v>50.877</v>
      </c>
      <c r="Q12" s="121">
        <v>44.955</v>
      </c>
      <c r="R12" s="281">
        <f t="shared" si="2"/>
        <v>-11.639837254555108</v>
      </c>
      <c r="S12" s="18" t="s">
        <v>10</v>
      </c>
      <c r="T12" s="26"/>
      <c r="V12" s="12"/>
    </row>
    <row r="13" spans="1:22" ht="12.75" customHeight="1">
      <c r="A13" s="16"/>
      <c r="B13" s="105" t="s">
        <v>21</v>
      </c>
      <c r="C13" s="129">
        <v>22.4</v>
      </c>
      <c r="D13" s="129">
        <v>21.3</v>
      </c>
      <c r="E13" s="129">
        <v>21.5</v>
      </c>
      <c r="F13" s="130">
        <v>21.4</v>
      </c>
      <c r="G13" s="129">
        <v>23.236</v>
      </c>
      <c r="H13" s="129">
        <v>24.021</v>
      </c>
      <c r="I13" s="129">
        <v>22.156</v>
      </c>
      <c r="J13" s="129">
        <v>22.516</v>
      </c>
      <c r="K13" s="129">
        <v>23.009</v>
      </c>
      <c r="L13" s="129">
        <v>23.114</v>
      </c>
      <c r="M13" s="129">
        <v>23.299</v>
      </c>
      <c r="N13" s="129">
        <v>21.254</v>
      </c>
      <c r="O13" s="129">
        <v>20.96</v>
      </c>
      <c r="P13" s="129">
        <v>19.48</v>
      </c>
      <c r="Q13" s="129">
        <v>16.876</v>
      </c>
      <c r="R13" s="192">
        <f t="shared" si="2"/>
        <v>-13.36755646817248</v>
      </c>
      <c r="S13" s="105" t="s">
        <v>21</v>
      </c>
      <c r="T13" s="26"/>
      <c r="V13" s="12"/>
    </row>
    <row r="14" spans="1:22" ht="12.75" customHeight="1">
      <c r="A14" s="16"/>
      <c r="B14" s="18" t="s">
        <v>27</v>
      </c>
      <c r="C14" s="121">
        <v>237.8</v>
      </c>
      <c r="D14" s="121">
        <v>236.6</v>
      </c>
      <c r="E14" s="121">
        <v>245.9</v>
      </c>
      <c r="F14" s="121">
        <v>257.4</v>
      </c>
      <c r="G14" s="121">
        <v>278.427</v>
      </c>
      <c r="H14" s="121">
        <v>280.708</v>
      </c>
      <c r="I14" s="121">
        <v>288.964</v>
      </c>
      <c r="J14" s="121">
        <v>285.214</v>
      </c>
      <c r="K14" s="121">
        <v>290.745</v>
      </c>
      <c r="L14" s="121">
        <v>303.752</v>
      </c>
      <c r="M14" s="121">
        <v>310.103</v>
      </c>
      <c r="N14" s="121">
        <v>330.016</v>
      </c>
      <c r="O14" s="121">
        <v>343.447</v>
      </c>
      <c r="P14" s="121">
        <v>341.532</v>
      </c>
      <c r="Q14" s="121">
        <v>307.547</v>
      </c>
      <c r="R14" s="281">
        <f t="shared" si="2"/>
        <v>-9.950751320520467</v>
      </c>
      <c r="S14" s="18" t="s">
        <v>27</v>
      </c>
      <c r="T14" s="26"/>
      <c r="V14" s="12"/>
    </row>
    <row r="15" spans="1:22" ht="12.75" customHeight="1">
      <c r="A15" s="16"/>
      <c r="B15" s="105" t="s">
        <v>11</v>
      </c>
      <c r="C15" s="129">
        <v>1.549</v>
      </c>
      <c r="D15" s="129">
        <v>1.897</v>
      </c>
      <c r="E15" s="129">
        <v>2.773</v>
      </c>
      <c r="F15" s="129">
        <v>3.791</v>
      </c>
      <c r="G15" s="129">
        <v>3.975</v>
      </c>
      <c r="H15" s="129">
        <v>3.932</v>
      </c>
      <c r="I15" s="129">
        <v>4.677</v>
      </c>
      <c r="J15" s="172">
        <v>4.387</v>
      </c>
      <c r="K15" s="129">
        <v>3.974</v>
      </c>
      <c r="L15" s="129">
        <v>5.099</v>
      </c>
      <c r="M15" s="129">
        <v>5.824</v>
      </c>
      <c r="N15" s="129">
        <v>5.548</v>
      </c>
      <c r="O15" s="129">
        <v>6.417</v>
      </c>
      <c r="P15" s="129">
        <v>7.354</v>
      </c>
      <c r="Q15" s="129">
        <v>5.34</v>
      </c>
      <c r="R15" s="282">
        <f t="shared" si="2"/>
        <v>-27.38645635028556</v>
      </c>
      <c r="S15" s="105" t="s">
        <v>11</v>
      </c>
      <c r="T15" s="26"/>
      <c r="V15" s="12"/>
    </row>
    <row r="16" spans="1:22" ht="12.75" customHeight="1">
      <c r="A16" s="16"/>
      <c r="B16" s="18" t="s">
        <v>30</v>
      </c>
      <c r="C16" s="153">
        <v>5.5</v>
      </c>
      <c r="D16" s="153">
        <v>6.3</v>
      </c>
      <c r="E16" s="153">
        <v>7</v>
      </c>
      <c r="F16" s="153">
        <v>8.2</v>
      </c>
      <c r="G16" s="153">
        <v>10.206</v>
      </c>
      <c r="H16" s="153">
        <v>12.275</v>
      </c>
      <c r="I16" s="153">
        <v>12.325</v>
      </c>
      <c r="J16" s="153">
        <v>14.275</v>
      </c>
      <c r="K16" s="153">
        <v>15.65</v>
      </c>
      <c r="L16" s="153">
        <v>17.144</v>
      </c>
      <c r="M16" s="153">
        <v>17.91</v>
      </c>
      <c r="N16" s="153">
        <v>17.454</v>
      </c>
      <c r="O16" s="153">
        <v>19.02</v>
      </c>
      <c r="P16" s="153">
        <v>17.402</v>
      </c>
      <c r="Q16" s="153">
        <v>12.787</v>
      </c>
      <c r="R16" s="280">
        <f t="shared" si="2"/>
        <v>-26.51994023675439</v>
      </c>
      <c r="S16" s="18" t="s">
        <v>30</v>
      </c>
      <c r="T16" s="26"/>
      <c r="V16" s="12"/>
    </row>
    <row r="17" spans="1:22" ht="12.75" customHeight="1">
      <c r="A17" s="16"/>
      <c r="B17" s="105" t="s">
        <v>22</v>
      </c>
      <c r="C17" s="130">
        <v>24</v>
      </c>
      <c r="D17" s="130">
        <v>25.05</v>
      </c>
      <c r="E17" s="130">
        <v>26.12</v>
      </c>
      <c r="F17" s="130">
        <v>27.2</v>
      </c>
      <c r="G17" s="130">
        <v>28.1</v>
      </c>
      <c r="H17" s="130">
        <v>29</v>
      </c>
      <c r="I17" s="130">
        <v>30</v>
      </c>
      <c r="J17" s="130">
        <v>31</v>
      </c>
      <c r="K17" s="130">
        <v>33</v>
      </c>
      <c r="L17" s="129">
        <v>36.773</v>
      </c>
      <c r="M17" s="130">
        <v>32.5</v>
      </c>
      <c r="N17" s="129">
        <v>34.002</v>
      </c>
      <c r="O17" s="129">
        <v>27.791</v>
      </c>
      <c r="P17" s="129">
        <v>28.85</v>
      </c>
      <c r="Q17" s="129">
        <v>28.585</v>
      </c>
      <c r="R17" s="192">
        <f t="shared" si="2"/>
        <v>-0.9185441941074513</v>
      </c>
      <c r="S17" s="105" t="s">
        <v>22</v>
      </c>
      <c r="T17" s="34"/>
      <c r="V17" s="12"/>
    </row>
    <row r="18" spans="1:22" ht="12.75" customHeight="1">
      <c r="A18" s="16"/>
      <c r="B18" s="18" t="s">
        <v>28</v>
      </c>
      <c r="C18" s="153">
        <v>101.6</v>
      </c>
      <c r="D18" s="154">
        <v>102</v>
      </c>
      <c r="E18" s="154">
        <v>109.5</v>
      </c>
      <c r="F18" s="154">
        <v>125</v>
      </c>
      <c r="G18" s="158">
        <v>134.262</v>
      </c>
      <c r="H18" s="153">
        <v>148.717</v>
      </c>
      <c r="I18" s="153">
        <v>161.045</v>
      </c>
      <c r="J18" s="153">
        <v>184.549</v>
      </c>
      <c r="K18" s="153">
        <v>192.596</v>
      </c>
      <c r="L18" s="153">
        <v>220.822</v>
      </c>
      <c r="M18" s="153">
        <v>233.23</v>
      </c>
      <c r="N18" s="153">
        <v>241.788</v>
      </c>
      <c r="O18" s="153">
        <v>258.875</v>
      </c>
      <c r="P18" s="153">
        <v>242.983</v>
      </c>
      <c r="Q18" s="153">
        <v>211.895</v>
      </c>
      <c r="R18" s="166">
        <f t="shared" si="2"/>
        <v>-12.794310713095147</v>
      </c>
      <c r="S18" s="18" t="s">
        <v>28</v>
      </c>
      <c r="T18" s="26"/>
      <c r="V18" s="12"/>
    </row>
    <row r="19" spans="1:22" ht="12.75" customHeight="1">
      <c r="A19" s="16"/>
      <c r="B19" s="105" t="s">
        <v>29</v>
      </c>
      <c r="C19" s="129">
        <v>178.2</v>
      </c>
      <c r="D19" s="129">
        <v>180</v>
      </c>
      <c r="E19" s="129">
        <v>181.4</v>
      </c>
      <c r="F19" s="129">
        <v>189.1</v>
      </c>
      <c r="G19" s="129">
        <v>204.713</v>
      </c>
      <c r="H19" s="129">
        <v>203.999</v>
      </c>
      <c r="I19" s="129">
        <v>206.87</v>
      </c>
      <c r="J19" s="129">
        <v>204.359</v>
      </c>
      <c r="K19" s="129">
        <v>203.608</v>
      </c>
      <c r="L19" s="129">
        <v>212.201</v>
      </c>
      <c r="M19" s="129">
        <v>205.284</v>
      </c>
      <c r="N19" s="129">
        <v>211.445</v>
      </c>
      <c r="O19" s="129">
        <v>219.212</v>
      </c>
      <c r="P19" s="129">
        <v>206.304</v>
      </c>
      <c r="Q19" s="129">
        <v>173.621</v>
      </c>
      <c r="R19" s="282">
        <f t="shared" si="2"/>
        <v>-15.842155266015201</v>
      </c>
      <c r="S19" s="105" t="s">
        <v>29</v>
      </c>
      <c r="T19" s="26"/>
      <c r="V19" s="12"/>
    </row>
    <row r="20" spans="1:22" ht="12.75" customHeight="1">
      <c r="A20" s="16"/>
      <c r="B20" s="18" t="s">
        <v>31</v>
      </c>
      <c r="C20" s="122">
        <v>174.431</v>
      </c>
      <c r="D20" s="122">
        <v>175.45</v>
      </c>
      <c r="E20" s="122">
        <v>178.353</v>
      </c>
      <c r="F20" s="122">
        <v>180.482</v>
      </c>
      <c r="G20" s="121">
        <v>177.291</v>
      </c>
      <c r="H20" s="121">
        <v>184.677</v>
      </c>
      <c r="I20" s="121">
        <v>186.513</v>
      </c>
      <c r="J20" s="121">
        <v>192.681</v>
      </c>
      <c r="K20" s="159">
        <v>174.088</v>
      </c>
      <c r="L20" s="121">
        <v>196.98</v>
      </c>
      <c r="M20" s="121">
        <v>211.804</v>
      </c>
      <c r="N20" s="121">
        <v>187.065</v>
      </c>
      <c r="O20" s="121">
        <v>179.411</v>
      </c>
      <c r="P20" s="121">
        <v>180.461</v>
      </c>
      <c r="Q20" s="121">
        <v>167.627</v>
      </c>
      <c r="R20" s="165">
        <f t="shared" si="2"/>
        <v>-7.111785926044966</v>
      </c>
      <c r="S20" s="18" t="s">
        <v>31</v>
      </c>
      <c r="T20" s="26"/>
      <c r="V20" s="12"/>
    </row>
    <row r="21" spans="1:22" ht="12.75" customHeight="1">
      <c r="A21" s="16"/>
      <c r="B21" s="105" t="s">
        <v>9</v>
      </c>
      <c r="C21" s="130">
        <v>1.2</v>
      </c>
      <c r="D21" s="130">
        <v>1.23</v>
      </c>
      <c r="E21" s="130">
        <v>1.25</v>
      </c>
      <c r="F21" s="130">
        <v>1.29</v>
      </c>
      <c r="G21" s="130">
        <v>1.3</v>
      </c>
      <c r="H21" s="130">
        <v>1.31</v>
      </c>
      <c r="I21" s="130">
        <v>1.32</v>
      </c>
      <c r="J21" s="129">
        <v>1.322</v>
      </c>
      <c r="K21" s="129">
        <v>1.401</v>
      </c>
      <c r="L21" s="129">
        <v>1.119</v>
      </c>
      <c r="M21" s="129">
        <v>1.393</v>
      </c>
      <c r="N21" s="129">
        <v>1.165</v>
      </c>
      <c r="O21" s="129">
        <v>1.202</v>
      </c>
      <c r="P21" s="129">
        <v>1.308</v>
      </c>
      <c r="Q21" s="129">
        <v>0.963</v>
      </c>
      <c r="R21" s="282">
        <f t="shared" si="2"/>
        <v>-26.37614678899083</v>
      </c>
      <c r="S21" s="105" t="s">
        <v>9</v>
      </c>
      <c r="T21" s="26"/>
      <c r="V21" s="12"/>
    </row>
    <row r="22" spans="1:22" ht="12.75" customHeight="1">
      <c r="A22" s="16"/>
      <c r="B22" s="18" t="s">
        <v>13</v>
      </c>
      <c r="C22" s="121">
        <v>1.83</v>
      </c>
      <c r="D22" s="121">
        <v>2.208</v>
      </c>
      <c r="E22" s="121">
        <v>3.352</v>
      </c>
      <c r="F22" s="121">
        <v>4.108</v>
      </c>
      <c r="G22" s="121">
        <v>4.161</v>
      </c>
      <c r="H22" s="121">
        <v>4.789</v>
      </c>
      <c r="I22" s="121">
        <v>5.36</v>
      </c>
      <c r="J22" s="121">
        <v>6.2</v>
      </c>
      <c r="K22" s="121">
        <v>6.808</v>
      </c>
      <c r="L22" s="121">
        <v>7.381</v>
      </c>
      <c r="M22" s="121">
        <v>8.394</v>
      </c>
      <c r="N22" s="121">
        <v>10.753</v>
      </c>
      <c r="O22" s="121">
        <v>13.204</v>
      </c>
      <c r="P22" s="121">
        <v>12.344</v>
      </c>
      <c r="Q22" s="121">
        <v>8.115</v>
      </c>
      <c r="R22" s="281">
        <f t="shared" si="2"/>
        <v>-34.2595593000648</v>
      </c>
      <c r="S22" s="18" t="s">
        <v>13</v>
      </c>
      <c r="T22" s="26"/>
      <c r="V22" s="12"/>
    </row>
    <row r="23" spans="1:22" ht="12.75" customHeight="1">
      <c r="A23" s="16"/>
      <c r="B23" s="105" t="s">
        <v>14</v>
      </c>
      <c r="C23" s="129">
        <v>5.2</v>
      </c>
      <c r="D23" s="129">
        <v>4.191</v>
      </c>
      <c r="E23" s="129">
        <v>5.146</v>
      </c>
      <c r="F23" s="129">
        <v>5.611</v>
      </c>
      <c r="G23" s="129">
        <v>7.74</v>
      </c>
      <c r="H23" s="129">
        <v>7.769</v>
      </c>
      <c r="I23" s="129">
        <v>8.274</v>
      </c>
      <c r="J23" s="129">
        <v>10.709</v>
      </c>
      <c r="K23" s="129">
        <v>11.462</v>
      </c>
      <c r="L23" s="129">
        <v>12.279</v>
      </c>
      <c r="M23" s="129">
        <v>15.908</v>
      </c>
      <c r="N23" s="129">
        <v>18.134</v>
      </c>
      <c r="O23" s="129">
        <v>20.278</v>
      </c>
      <c r="P23" s="129">
        <v>20.419</v>
      </c>
      <c r="Q23" s="129">
        <v>17.757</v>
      </c>
      <c r="R23" s="282">
        <f t="shared" si="2"/>
        <v>-13.036877418090986</v>
      </c>
      <c r="S23" s="105" t="s">
        <v>14</v>
      </c>
      <c r="T23" s="26"/>
      <c r="V23" s="12"/>
    </row>
    <row r="24" spans="1:22" ht="12.75" customHeight="1">
      <c r="A24" s="16"/>
      <c r="B24" s="18" t="s">
        <v>32</v>
      </c>
      <c r="C24" s="122">
        <v>5.5</v>
      </c>
      <c r="D24" s="122">
        <v>3.5</v>
      </c>
      <c r="E24" s="122">
        <v>4.4</v>
      </c>
      <c r="F24" s="122">
        <v>5</v>
      </c>
      <c r="G24" s="121">
        <v>6.313</v>
      </c>
      <c r="H24" s="121">
        <v>7.609</v>
      </c>
      <c r="I24" s="121">
        <v>8.7</v>
      </c>
      <c r="J24" s="121">
        <v>9.179</v>
      </c>
      <c r="K24" s="121">
        <v>9.645</v>
      </c>
      <c r="L24" s="121">
        <v>9.575</v>
      </c>
      <c r="M24" s="121">
        <v>8.803</v>
      </c>
      <c r="N24" s="121">
        <v>8.807</v>
      </c>
      <c r="O24" s="121">
        <v>9.562</v>
      </c>
      <c r="P24" s="121">
        <v>9.382</v>
      </c>
      <c r="Q24" s="121">
        <v>8.4</v>
      </c>
      <c r="R24" s="165">
        <f t="shared" si="2"/>
        <v>-10.466851417608181</v>
      </c>
      <c r="S24" s="18" t="s">
        <v>32</v>
      </c>
      <c r="T24" s="26"/>
      <c r="V24" s="12"/>
    </row>
    <row r="25" spans="1:22" ht="12.75" customHeight="1">
      <c r="A25" s="16"/>
      <c r="B25" s="105" t="s">
        <v>12</v>
      </c>
      <c r="C25" s="130">
        <v>13.8</v>
      </c>
      <c r="D25" s="130">
        <v>14.3</v>
      </c>
      <c r="E25" s="130">
        <v>14.9</v>
      </c>
      <c r="F25" s="129">
        <v>18.674</v>
      </c>
      <c r="G25" s="129">
        <v>18.599</v>
      </c>
      <c r="H25" s="129">
        <v>19.124</v>
      </c>
      <c r="I25" s="129">
        <v>18.486</v>
      </c>
      <c r="J25" s="129">
        <v>17.913</v>
      </c>
      <c r="K25" s="129">
        <v>18.208</v>
      </c>
      <c r="L25" s="129">
        <v>20.608</v>
      </c>
      <c r="M25" s="129">
        <v>25.152</v>
      </c>
      <c r="N25" s="129">
        <v>30.479</v>
      </c>
      <c r="O25" s="129">
        <v>35.805</v>
      </c>
      <c r="P25" s="129">
        <v>35.759</v>
      </c>
      <c r="Q25" s="129">
        <v>35.373</v>
      </c>
      <c r="R25" s="282">
        <f t="shared" si="2"/>
        <v>-1.079448530439897</v>
      </c>
      <c r="S25" s="105" t="s">
        <v>12</v>
      </c>
      <c r="T25" s="26"/>
      <c r="V25" s="12"/>
    </row>
    <row r="26" spans="1:22" ht="12.75" customHeight="1">
      <c r="A26" s="16"/>
      <c r="B26" s="18" t="s">
        <v>15</v>
      </c>
      <c r="C26" s="122">
        <v>0.25</v>
      </c>
      <c r="D26" s="122">
        <v>0.25</v>
      </c>
      <c r="E26" s="122">
        <v>0.25</v>
      </c>
      <c r="F26" s="122">
        <v>0.25</v>
      </c>
      <c r="G26" s="122">
        <v>0.25</v>
      </c>
      <c r="H26" s="122">
        <v>0.25</v>
      </c>
      <c r="I26" s="122">
        <v>0.25</v>
      </c>
      <c r="J26" s="122">
        <v>0.25</v>
      </c>
      <c r="K26" s="122">
        <v>0.25</v>
      </c>
      <c r="L26" s="122">
        <v>0.25</v>
      </c>
      <c r="M26" s="122">
        <v>0.25</v>
      </c>
      <c r="N26" s="122">
        <v>0.25</v>
      </c>
      <c r="O26" s="122">
        <v>0.25</v>
      </c>
      <c r="P26" s="122">
        <v>0.25</v>
      </c>
      <c r="Q26" s="122">
        <v>0.25</v>
      </c>
      <c r="R26" s="283">
        <f t="shared" si="2"/>
        <v>0</v>
      </c>
      <c r="S26" s="18" t="s">
        <v>15</v>
      </c>
      <c r="T26" s="34"/>
      <c r="V26" s="12"/>
    </row>
    <row r="27" spans="1:22" ht="12.75" customHeight="1">
      <c r="A27" s="16"/>
      <c r="B27" s="64" t="s">
        <v>23</v>
      </c>
      <c r="C27" s="129">
        <v>67.1</v>
      </c>
      <c r="D27" s="129">
        <v>69.4</v>
      </c>
      <c r="E27" s="129">
        <v>70.6</v>
      </c>
      <c r="F27" s="129">
        <v>78.5</v>
      </c>
      <c r="G27" s="129">
        <v>83.564</v>
      </c>
      <c r="H27" s="129">
        <v>79.565</v>
      </c>
      <c r="I27" s="129">
        <v>78.492</v>
      </c>
      <c r="J27" s="129">
        <v>77.418</v>
      </c>
      <c r="K27" s="129">
        <v>79.765</v>
      </c>
      <c r="L27" s="129">
        <v>89.695</v>
      </c>
      <c r="M27" s="129">
        <v>84.163</v>
      </c>
      <c r="N27" s="129">
        <v>83.193</v>
      </c>
      <c r="O27" s="129">
        <v>77.921</v>
      </c>
      <c r="P27" s="129">
        <v>78.159</v>
      </c>
      <c r="Q27" s="129">
        <v>72.675</v>
      </c>
      <c r="R27" s="282">
        <f t="shared" si="2"/>
        <v>-7.016466433808022</v>
      </c>
      <c r="S27" s="64" t="s">
        <v>23</v>
      </c>
      <c r="T27" s="26"/>
      <c r="V27" s="12"/>
    </row>
    <row r="28" spans="1:22" ht="12.75" customHeight="1">
      <c r="A28" s="16"/>
      <c r="B28" s="18" t="s">
        <v>33</v>
      </c>
      <c r="C28" s="122">
        <v>26.5</v>
      </c>
      <c r="D28" s="122">
        <v>27.8</v>
      </c>
      <c r="E28" s="122">
        <v>28.6</v>
      </c>
      <c r="F28" s="122">
        <v>30.3</v>
      </c>
      <c r="G28" s="121">
        <v>33.982</v>
      </c>
      <c r="H28" s="121">
        <v>35.122</v>
      </c>
      <c r="I28" s="121">
        <v>37.532</v>
      </c>
      <c r="J28" s="121">
        <v>38.498</v>
      </c>
      <c r="K28" s="121">
        <v>39.557</v>
      </c>
      <c r="L28" s="121">
        <v>39.186</v>
      </c>
      <c r="M28" s="121">
        <v>37.044</v>
      </c>
      <c r="N28" s="121">
        <v>39.187</v>
      </c>
      <c r="O28" s="121">
        <v>37.402</v>
      </c>
      <c r="P28" s="121">
        <v>34.313</v>
      </c>
      <c r="Q28" s="121">
        <v>29.075</v>
      </c>
      <c r="R28" s="281">
        <f t="shared" si="2"/>
        <v>-15.265351324570876</v>
      </c>
      <c r="S28" s="18" t="s">
        <v>33</v>
      </c>
      <c r="T28" s="26"/>
      <c r="V28" s="12"/>
    </row>
    <row r="29" spans="1:22" ht="12.75" customHeight="1">
      <c r="A29" s="16"/>
      <c r="B29" s="105" t="s">
        <v>16</v>
      </c>
      <c r="C29" s="129">
        <f>28.178+23.022</f>
        <v>51.2</v>
      </c>
      <c r="D29" s="129">
        <f>34.386+22.127</f>
        <v>56.513000000000005</v>
      </c>
      <c r="E29" s="129">
        <f>37.91+25.774</f>
        <v>63.684</v>
      </c>
      <c r="F29" s="129">
        <f>43.55+25.992</f>
        <v>69.542</v>
      </c>
      <c r="G29" s="129">
        <f>45.046+25.406</f>
        <v>70.452</v>
      </c>
      <c r="H29" s="129">
        <v>75.023</v>
      </c>
      <c r="I29" s="129">
        <v>77.228</v>
      </c>
      <c r="J29" s="129">
        <v>80.318</v>
      </c>
      <c r="K29" s="172">
        <v>85.989</v>
      </c>
      <c r="L29" s="129">
        <v>102.807</v>
      </c>
      <c r="M29" s="129">
        <v>111.826</v>
      </c>
      <c r="N29" s="129">
        <v>128.315</v>
      </c>
      <c r="O29" s="129">
        <v>150.879</v>
      </c>
      <c r="P29" s="129">
        <v>164.93</v>
      </c>
      <c r="Q29" s="129">
        <v>180.742</v>
      </c>
      <c r="R29" s="282">
        <f t="shared" si="2"/>
        <v>9.587097556539126</v>
      </c>
      <c r="S29" s="105" t="s">
        <v>16</v>
      </c>
      <c r="T29" s="26"/>
      <c r="V29" s="12"/>
    </row>
    <row r="30" spans="1:22" ht="12.75" customHeight="1">
      <c r="A30" s="16"/>
      <c r="B30" s="18" t="s">
        <v>34</v>
      </c>
      <c r="C30" s="122">
        <v>32</v>
      </c>
      <c r="D30" s="122">
        <v>33.64</v>
      </c>
      <c r="E30" s="122">
        <v>35.96</v>
      </c>
      <c r="F30" s="122">
        <v>36.68</v>
      </c>
      <c r="G30" s="122">
        <v>37.83</v>
      </c>
      <c r="H30" s="122">
        <v>38.91</v>
      </c>
      <c r="I30" s="122">
        <v>40.5</v>
      </c>
      <c r="J30" s="122">
        <v>40.2</v>
      </c>
      <c r="K30" s="154">
        <v>39.76</v>
      </c>
      <c r="L30" s="153">
        <v>40.819</v>
      </c>
      <c r="M30" s="121">
        <v>42.607</v>
      </c>
      <c r="N30" s="121">
        <v>44.835</v>
      </c>
      <c r="O30" s="121">
        <v>46.203</v>
      </c>
      <c r="P30" s="121">
        <v>39.091</v>
      </c>
      <c r="Q30" s="121">
        <v>35.808</v>
      </c>
      <c r="R30" s="165">
        <f t="shared" si="2"/>
        <v>-8.398352561970789</v>
      </c>
      <c r="S30" s="18" t="s">
        <v>34</v>
      </c>
      <c r="T30" s="26"/>
      <c r="V30" s="12"/>
    </row>
    <row r="31" spans="1:22" ht="12.75" customHeight="1">
      <c r="A31" s="16"/>
      <c r="B31" s="105" t="s">
        <v>17</v>
      </c>
      <c r="C31" s="129">
        <v>19.7</v>
      </c>
      <c r="D31" s="129">
        <v>19.8</v>
      </c>
      <c r="E31" s="129">
        <v>21.8</v>
      </c>
      <c r="F31" s="129">
        <v>15.785</v>
      </c>
      <c r="G31" s="129">
        <v>13.456</v>
      </c>
      <c r="H31" s="129">
        <v>14.288</v>
      </c>
      <c r="I31" s="129">
        <v>18.544</v>
      </c>
      <c r="J31" s="129">
        <v>25.35</v>
      </c>
      <c r="K31" s="129">
        <v>30.853</v>
      </c>
      <c r="L31" s="129">
        <v>37.22</v>
      </c>
      <c r="M31" s="129">
        <v>51.532</v>
      </c>
      <c r="N31" s="129">
        <v>57.288</v>
      </c>
      <c r="O31" s="129">
        <v>59.524</v>
      </c>
      <c r="P31" s="129">
        <v>56.386</v>
      </c>
      <c r="Q31" s="129">
        <v>34.269</v>
      </c>
      <c r="R31" s="192">
        <f t="shared" si="2"/>
        <v>-39.22427552938673</v>
      </c>
      <c r="S31" s="105" t="s">
        <v>17</v>
      </c>
      <c r="T31" s="26"/>
      <c r="V31" s="12"/>
    </row>
    <row r="32" spans="1:22" ht="12.75" customHeight="1">
      <c r="A32" s="16"/>
      <c r="B32" s="18" t="s">
        <v>19</v>
      </c>
      <c r="C32" s="154">
        <v>3.3</v>
      </c>
      <c r="D32" s="154">
        <v>3.5</v>
      </c>
      <c r="E32" s="154">
        <v>3.9</v>
      </c>
      <c r="F32" s="154">
        <v>3.8</v>
      </c>
      <c r="G32" s="154">
        <v>4.2</v>
      </c>
      <c r="H32" s="158">
        <v>5.3</v>
      </c>
      <c r="I32" s="153">
        <v>7.035</v>
      </c>
      <c r="J32" s="153">
        <v>6.609</v>
      </c>
      <c r="K32" s="153">
        <v>7.04</v>
      </c>
      <c r="L32" s="153">
        <v>9.007</v>
      </c>
      <c r="M32" s="153">
        <v>11.032</v>
      </c>
      <c r="N32" s="153">
        <v>12.112</v>
      </c>
      <c r="O32" s="153">
        <v>13.734</v>
      </c>
      <c r="P32" s="153">
        <v>16.261</v>
      </c>
      <c r="Q32" s="153">
        <v>14.762</v>
      </c>
      <c r="R32" s="280">
        <f t="shared" si="2"/>
        <v>-9.218375253674427</v>
      </c>
      <c r="S32" s="18" t="s">
        <v>19</v>
      </c>
      <c r="T32" s="26"/>
      <c r="V32" s="12"/>
    </row>
    <row r="33" spans="1:22" ht="12.75" customHeight="1">
      <c r="A33" s="16"/>
      <c r="B33" s="105" t="s">
        <v>18</v>
      </c>
      <c r="C33" s="130">
        <v>15.9</v>
      </c>
      <c r="D33" s="129">
        <v>15.85</v>
      </c>
      <c r="E33" s="129">
        <v>15.35</v>
      </c>
      <c r="F33" s="129">
        <v>17.88</v>
      </c>
      <c r="G33" s="129">
        <v>18.52</v>
      </c>
      <c r="H33" s="129">
        <v>14.34</v>
      </c>
      <c r="I33" s="129">
        <v>13.8</v>
      </c>
      <c r="J33" s="129">
        <v>14.93</v>
      </c>
      <c r="K33" s="129">
        <v>16.748</v>
      </c>
      <c r="L33" s="129">
        <v>18.527</v>
      </c>
      <c r="M33" s="129">
        <v>22.566</v>
      </c>
      <c r="N33" s="129">
        <v>22.212</v>
      </c>
      <c r="O33" s="129">
        <v>27.159</v>
      </c>
      <c r="P33" s="129">
        <v>29.276</v>
      </c>
      <c r="Q33" s="129">
        <v>27.705</v>
      </c>
      <c r="R33" s="282">
        <f t="shared" si="2"/>
        <v>-5.366170241836321</v>
      </c>
      <c r="S33" s="105" t="s">
        <v>18</v>
      </c>
      <c r="T33" s="26"/>
      <c r="V33" s="12"/>
    </row>
    <row r="34" spans="1:22" ht="12.75" customHeight="1">
      <c r="A34" s="16"/>
      <c r="B34" s="18" t="s">
        <v>35</v>
      </c>
      <c r="C34" s="153">
        <v>24.5</v>
      </c>
      <c r="D34" s="153">
        <v>25</v>
      </c>
      <c r="E34" s="153">
        <v>25.7</v>
      </c>
      <c r="F34" s="153">
        <v>28.1</v>
      </c>
      <c r="G34" s="153">
        <v>29.656</v>
      </c>
      <c r="H34" s="153">
        <v>31.975</v>
      </c>
      <c r="I34" s="153">
        <v>30.478</v>
      </c>
      <c r="J34" s="153">
        <v>31.967</v>
      </c>
      <c r="K34" s="153">
        <v>30.926</v>
      </c>
      <c r="L34" s="153">
        <v>32.29</v>
      </c>
      <c r="M34" s="153">
        <v>31.857</v>
      </c>
      <c r="N34" s="153">
        <v>29.715</v>
      </c>
      <c r="O34" s="153">
        <v>29.819</v>
      </c>
      <c r="P34" s="153">
        <v>31.036</v>
      </c>
      <c r="Q34" s="153">
        <v>27.805</v>
      </c>
      <c r="R34" s="280">
        <f t="shared" si="2"/>
        <v>-10.41049104266014</v>
      </c>
      <c r="S34" s="18" t="s">
        <v>35</v>
      </c>
      <c r="T34" s="26"/>
      <c r="V34" s="12"/>
    </row>
    <row r="35" spans="1:22" ht="12.75" customHeight="1">
      <c r="A35" s="16"/>
      <c r="B35" s="105" t="s">
        <v>36</v>
      </c>
      <c r="C35" s="129">
        <v>31.6</v>
      </c>
      <c r="D35" s="129">
        <v>33.3</v>
      </c>
      <c r="E35" s="130">
        <v>35.1</v>
      </c>
      <c r="F35" s="130">
        <v>33.3</v>
      </c>
      <c r="G35" s="130">
        <v>33.2</v>
      </c>
      <c r="H35" s="129">
        <v>35.621</v>
      </c>
      <c r="I35" s="129">
        <v>34.158</v>
      </c>
      <c r="J35" s="129">
        <v>36.652</v>
      </c>
      <c r="K35" s="129">
        <v>36.638</v>
      </c>
      <c r="L35" s="129">
        <v>36.949</v>
      </c>
      <c r="M35" s="129">
        <v>38.575</v>
      </c>
      <c r="N35" s="129">
        <v>39.918</v>
      </c>
      <c r="O35" s="129">
        <v>40.54</v>
      </c>
      <c r="P35" s="129">
        <v>42.37</v>
      </c>
      <c r="Q35" s="129">
        <v>35.047</v>
      </c>
      <c r="R35" s="282">
        <f t="shared" si="2"/>
        <v>-17.283455274958705</v>
      </c>
      <c r="S35" s="105" t="s">
        <v>36</v>
      </c>
      <c r="T35" s="26"/>
      <c r="V35" s="12"/>
    </row>
    <row r="36" spans="1:22" ht="12.75" customHeight="1">
      <c r="A36" s="16"/>
      <c r="B36" s="19" t="s">
        <v>24</v>
      </c>
      <c r="C36" s="153">
        <v>161.5</v>
      </c>
      <c r="D36" s="153">
        <v>166.2</v>
      </c>
      <c r="E36" s="154">
        <v>169.2</v>
      </c>
      <c r="F36" s="154">
        <v>172</v>
      </c>
      <c r="G36" s="153">
        <v>166.26</v>
      </c>
      <c r="H36" s="153">
        <v>165.621</v>
      </c>
      <c r="I36" s="153">
        <v>163.264</v>
      </c>
      <c r="J36" s="153">
        <v>164.035</v>
      </c>
      <c r="K36" s="153">
        <v>167.143</v>
      </c>
      <c r="L36" s="153">
        <v>162.654</v>
      </c>
      <c r="M36" s="153">
        <v>161.285</v>
      </c>
      <c r="N36" s="153">
        <v>165.479</v>
      </c>
      <c r="O36" s="153">
        <v>170.991</v>
      </c>
      <c r="P36" s="153">
        <v>160.296</v>
      </c>
      <c r="Q36" s="153">
        <v>139.536</v>
      </c>
      <c r="R36" s="284">
        <f t="shared" si="2"/>
        <v>-12.951040574936368</v>
      </c>
      <c r="S36" s="19" t="s">
        <v>24</v>
      </c>
      <c r="T36" s="26"/>
      <c r="V36" s="12"/>
    </row>
    <row r="37" spans="1:22" ht="12.75" customHeight="1">
      <c r="A37" s="16"/>
      <c r="B37" s="105" t="s">
        <v>40</v>
      </c>
      <c r="C37" s="189" t="s">
        <v>38</v>
      </c>
      <c r="D37" s="170" t="s">
        <v>38</v>
      </c>
      <c r="E37" s="170" t="s">
        <v>38</v>
      </c>
      <c r="F37" s="170" t="s">
        <v>38</v>
      </c>
      <c r="G37" s="170">
        <v>2.424</v>
      </c>
      <c r="H37" s="170">
        <v>2.856</v>
      </c>
      <c r="I37" s="170">
        <v>6.7829999999999995</v>
      </c>
      <c r="J37" s="170">
        <v>7.413</v>
      </c>
      <c r="K37" s="170">
        <v>8.241</v>
      </c>
      <c r="L37" s="170">
        <v>8.818999999999999</v>
      </c>
      <c r="M37" s="170">
        <v>9.328</v>
      </c>
      <c r="N37" s="170">
        <v>10.175</v>
      </c>
      <c r="O37" s="170">
        <v>10.502</v>
      </c>
      <c r="P37" s="170">
        <v>11.042</v>
      </c>
      <c r="Q37" s="170">
        <v>9.426</v>
      </c>
      <c r="R37" s="194">
        <f t="shared" si="2"/>
        <v>-14.635029885890239</v>
      </c>
      <c r="S37" s="105" t="s">
        <v>40</v>
      </c>
      <c r="T37" s="26"/>
      <c r="V37" s="12"/>
    </row>
    <row r="38" spans="1:22" ht="12.75" customHeight="1">
      <c r="A38" s="16"/>
      <c r="B38" s="18" t="s">
        <v>4</v>
      </c>
      <c r="C38" s="125"/>
      <c r="D38" s="121"/>
      <c r="E38" s="121"/>
      <c r="F38" s="121"/>
      <c r="G38" s="121"/>
      <c r="H38" s="122">
        <v>3.5</v>
      </c>
      <c r="I38" s="121">
        <v>3.131</v>
      </c>
      <c r="J38" s="122">
        <v>4</v>
      </c>
      <c r="K38" s="121">
        <v>5.451</v>
      </c>
      <c r="L38" s="121">
        <v>5.341</v>
      </c>
      <c r="M38" s="121">
        <v>5.577</v>
      </c>
      <c r="N38" s="121">
        <v>8.299</v>
      </c>
      <c r="O38" s="121">
        <v>5.938</v>
      </c>
      <c r="P38" s="121">
        <v>3.978</v>
      </c>
      <c r="Q38" s="121">
        <f>4.035</f>
        <v>4.035</v>
      </c>
      <c r="R38" s="280">
        <f t="shared" si="2"/>
        <v>1.4328808446455454</v>
      </c>
      <c r="S38" s="18" t="s">
        <v>4</v>
      </c>
      <c r="T38" s="26"/>
      <c r="V38" s="12"/>
    </row>
    <row r="39" spans="1:22" ht="12.75" customHeight="1">
      <c r="A39" s="16"/>
      <c r="B39" s="108" t="s">
        <v>86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f>176.455</f>
        <v>176.455</v>
      </c>
      <c r="R39" s="285">
        <f t="shared" si="2"/>
        <v>-3.012064748399146</v>
      </c>
      <c r="S39" s="108" t="s">
        <v>86</v>
      </c>
      <c r="T39" s="26"/>
      <c r="V39" s="12"/>
    </row>
    <row r="40" spans="1:22" ht="12.75" customHeight="1">
      <c r="A40" s="16"/>
      <c r="B40" s="18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1">
        <v>0.642</v>
      </c>
      <c r="J40" s="121">
        <v>0.66</v>
      </c>
      <c r="K40" s="121">
        <v>0.679</v>
      </c>
      <c r="L40" s="121">
        <v>0.699</v>
      </c>
      <c r="M40" s="121">
        <v>0.741</v>
      </c>
      <c r="N40" s="121">
        <v>0.786</v>
      </c>
      <c r="O40" s="121">
        <v>0.825</v>
      </c>
      <c r="P40" s="121">
        <v>0.805</v>
      </c>
      <c r="Q40" s="121">
        <v>0.813</v>
      </c>
      <c r="R40" s="280">
        <f t="shared" si="2"/>
        <v>0.9937888198757738</v>
      </c>
      <c r="S40" s="18" t="s">
        <v>6</v>
      </c>
      <c r="T40" s="26"/>
      <c r="V40" s="12"/>
    </row>
    <row r="41" spans="1:22" ht="12.75" customHeight="1">
      <c r="A41" s="16"/>
      <c r="B41" s="105" t="s">
        <v>37</v>
      </c>
      <c r="C41" s="129">
        <v>9.7</v>
      </c>
      <c r="D41" s="129">
        <v>12.5</v>
      </c>
      <c r="E41" s="129">
        <v>14.1</v>
      </c>
      <c r="F41" s="129">
        <v>14.8</v>
      </c>
      <c r="G41" s="129">
        <v>14.916</v>
      </c>
      <c r="H41" s="129">
        <v>15.132</v>
      </c>
      <c r="I41" s="129">
        <v>15.179</v>
      </c>
      <c r="J41" s="129">
        <v>15.426</v>
      </c>
      <c r="K41" s="129">
        <v>16.59</v>
      </c>
      <c r="L41" s="129">
        <v>17.46</v>
      </c>
      <c r="M41" s="129">
        <v>18.247</v>
      </c>
      <c r="N41" s="129">
        <v>19.387</v>
      </c>
      <c r="O41" s="129">
        <v>19.375</v>
      </c>
      <c r="P41" s="129">
        <v>20.596</v>
      </c>
      <c r="Q41" s="129">
        <v>18.447</v>
      </c>
      <c r="R41" s="192">
        <f t="shared" si="2"/>
        <v>-10.434064866964466</v>
      </c>
      <c r="S41" s="105" t="s">
        <v>37</v>
      </c>
      <c r="T41" s="26"/>
      <c r="V41" s="12"/>
    </row>
    <row r="42" spans="1:22" ht="12.75" customHeight="1">
      <c r="A42" s="16"/>
      <c r="B42" s="19" t="s">
        <v>85</v>
      </c>
      <c r="C42" s="124">
        <v>9.1107</v>
      </c>
      <c r="D42" s="124">
        <v>8.9961</v>
      </c>
      <c r="E42" s="124">
        <v>9.1339</v>
      </c>
      <c r="F42" s="124">
        <v>9.5456</v>
      </c>
      <c r="G42" s="124">
        <v>9.565</v>
      </c>
      <c r="H42" s="124">
        <v>9.7913</v>
      </c>
      <c r="I42" s="124">
        <v>9.5618</v>
      </c>
      <c r="J42" s="124">
        <v>9.8147</v>
      </c>
      <c r="K42" s="124">
        <v>9.8916</v>
      </c>
      <c r="L42" s="124">
        <v>10.0168</v>
      </c>
      <c r="M42" s="124">
        <v>9.9803</v>
      </c>
      <c r="N42" s="124">
        <v>10.0873</v>
      </c>
      <c r="O42" s="124">
        <v>10.3063</v>
      </c>
      <c r="P42" s="370">
        <v>13.911</v>
      </c>
      <c r="Q42" s="124">
        <v>13.174</v>
      </c>
      <c r="R42" s="168">
        <f t="shared" si="2"/>
        <v>-5.297965638703184</v>
      </c>
      <c r="S42" s="19" t="s">
        <v>85</v>
      </c>
      <c r="T42" s="26"/>
      <c r="V42" s="12"/>
    </row>
    <row r="43" spans="2:21" ht="30" customHeight="1">
      <c r="B43" s="420" t="s">
        <v>93</v>
      </c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345"/>
    </row>
    <row r="44" ht="12.75" customHeight="1">
      <c r="B44" s="11" t="s">
        <v>3</v>
      </c>
    </row>
    <row r="45" ht="12.75" customHeight="1">
      <c r="B45" s="3" t="s">
        <v>103</v>
      </c>
    </row>
    <row r="46" ht="12.75" customHeight="1">
      <c r="B46" s="135" t="s">
        <v>106</v>
      </c>
    </row>
    <row r="47" spans="2:13" ht="12.75" customHeight="1">
      <c r="B47" s="136" t="s">
        <v>87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20" ht="24.75" customHeight="1">
      <c r="B48" s="388" t="s">
        <v>141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</row>
  </sheetData>
  <mergeCells count="4">
    <mergeCell ref="B2:T2"/>
    <mergeCell ref="B3:T3"/>
    <mergeCell ref="B43:T43"/>
    <mergeCell ref="B48:T48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AA45"/>
  <sheetViews>
    <sheetView workbookViewId="0" topLeftCell="A1">
      <selection activeCell="O12" sqref="O12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U1" s="44"/>
      <c r="V1" s="44"/>
      <c r="W1" s="44"/>
      <c r="X1" s="44"/>
      <c r="Z1" s="44" t="s">
        <v>123</v>
      </c>
    </row>
    <row r="2" spans="1:26" s="54" customFormat="1" ht="30" customHeight="1">
      <c r="A2" s="95"/>
      <c r="B2" s="389" t="s">
        <v>43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6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0"/>
      <c r="R3" s="50"/>
      <c r="X3" s="22" t="s">
        <v>135</v>
      </c>
      <c r="Y3" s="6"/>
      <c r="Z3" s="52"/>
    </row>
    <row r="4" spans="2:26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</row>
    <row r="5" spans="2:26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4"/>
    </row>
    <row r="6" spans="2:26" ht="12.75" customHeight="1">
      <c r="B6" s="104" t="s">
        <v>70</v>
      </c>
      <c r="C6" s="311">
        <f>SUM(C9:C35)+55.9</f>
        <v>551.069</v>
      </c>
      <c r="D6" s="311">
        <f>SUM(D9:D35)+66.2</f>
        <v>641.432</v>
      </c>
      <c r="E6" s="312">
        <f>SUM(E9:E35)+59.4</f>
        <v>526.343</v>
      </c>
      <c r="F6" s="312">
        <f>SUM(F9:F35)+45.8</f>
        <v>443.929011</v>
      </c>
      <c r="G6" s="312">
        <f>SUM(G9:G35)+44</f>
        <v>394.464591</v>
      </c>
      <c r="H6" s="312">
        <f aca="true" t="shared" si="0" ref="H6:U6">SUM(H9:H35)</f>
        <v>371.69550899999996</v>
      </c>
      <c r="I6" s="312">
        <f t="shared" si="0"/>
        <v>380.15225799999996</v>
      </c>
      <c r="J6" s="312">
        <f t="shared" si="0"/>
        <v>386.14406800000006</v>
      </c>
      <c r="K6" s="312">
        <f t="shared" si="0"/>
        <v>392.1460000000001</v>
      </c>
      <c r="L6" s="312">
        <f t="shared" si="0"/>
        <v>409.5369999999999</v>
      </c>
      <c r="M6" s="312">
        <f t="shared" si="0"/>
        <v>392.506525</v>
      </c>
      <c r="N6" s="312">
        <f t="shared" si="0"/>
        <v>383.62501500293985</v>
      </c>
      <c r="O6" s="312">
        <f t="shared" si="0"/>
        <v>403.6757546422241</v>
      </c>
      <c r="P6" s="312">
        <f t="shared" si="0"/>
        <v>385.9743022522569</v>
      </c>
      <c r="Q6" s="312">
        <f t="shared" si="0"/>
        <v>383.777192553031</v>
      </c>
      <c r="R6" s="312">
        <f t="shared" si="0"/>
        <v>391.888268754624</v>
      </c>
      <c r="S6" s="312">
        <f t="shared" si="0"/>
        <v>416.271370260433</v>
      </c>
      <c r="T6" s="312">
        <f t="shared" si="0"/>
        <v>414.13418045013304</v>
      </c>
      <c r="U6" s="312">
        <f t="shared" si="0"/>
        <v>440.39892025294506</v>
      </c>
      <c r="V6" s="312">
        <f>SUM(V9:V35)</f>
        <v>453.135</v>
      </c>
      <c r="W6" s="312">
        <f>SUM(W9:W35)</f>
        <v>442.8209999999999</v>
      </c>
      <c r="X6" s="312">
        <f>SUM(X9:X35)</f>
        <v>361.64</v>
      </c>
      <c r="Y6" s="311">
        <f>100*(X6/W6-1)</f>
        <v>-18.332689732420082</v>
      </c>
      <c r="Z6" s="115" t="s">
        <v>70</v>
      </c>
    </row>
    <row r="7" spans="1:26" ht="12.75" customHeight="1">
      <c r="A7" s="16"/>
      <c r="B7" s="105" t="s">
        <v>25</v>
      </c>
      <c r="C7" s="313">
        <f aca="true" t="shared" si="1" ref="C7:U7">C9+C12+C13+SUM(C15:C19)+C23+C26+C27+C29+SUM(C33:C35)</f>
        <v>282.45900000000006</v>
      </c>
      <c r="D7" s="313">
        <f t="shared" si="1"/>
        <v>289.822</v>
      </c>
      <c r="E7" s="314">
        <f t="shared" si="1"/>
        <v>256.511</v>
      </c>
      <c r="F7" s="314">
        <f t="shared" si="1"/>
        <v>235.66801100000004</v>
      </c>
      <c r="G7" s="314">
        <f t="shared" si="1"/>
        <v>223.08759099999997</v>
      </c>
      <c r="H7" s="314">
        <f t="shared" si="1"/>
        <v>205.43950900000002</v>
      </c>
      <c r="I7" s="314">
        <f t="shared" si="1"/>
        <v>219.616258</v>
      </c>
      <c r="J7" s="314">
        <f t="shared" si="1"/>
        <v>222.73306799999997</v>
      </c>
      <c r="K7" s="314">
        <f t="shared" si="1"/>
        <v>223.77200000000002</v>
      </c>
      <c r="L7" s="314">
        <f t="shared" si="1"/>
        <v>240.20200000000006</v>
      </c>
      <c r="M7" s="314">
        <f t="shared" si="1"/>
        <v>239.98352500000004</v>
      </c>
      <c r="N7" s="314">
        <f t="shared" si="1"/>
        <v>243.43601500294</v>
      </c>
      <c r="O7" s="314">
        <f t="shared" si="1"/>
        <v>257.067754642224</v>
      </c>
      <c r="P7" s="314">
        <f t="shared" si="1"/>
        <v>248.427302252257</v>
      </c>
      <c r="Q7" s="314">
        <f t="shared" si="1"/>
        <v>245.78019255303101</v>
      </c>
      <c r="R7" s="314">
        <f t="shared" si="1"/>
        <v>248.479268754624</v>
      </c>
      <c r="S7" s="314">
        <f t="shared" si="1"/>
        <v>264.271370260433</v>
      </c>
      <c r="T7" s="314">
        <f t="shared" si="1"/>
        <v>262.878180450133</v>
      </c>
      <c r="U7" s="314">
        <f t="shared" si="1"/>
        <v>286.13792025294504</v>
      </c>
      <c r="V7" s="314">
        <f>V9+V12+V13+SUM(V15:V19)+V23+V26+V27+V29+SUM(V33:V35)</f>
        <v>297.166</v>
      </c>
      <c r="W7" s="314">
        <f>W9+W12+W13+SUM(W15:W19)+W23+W26+W27+W29+SUM(W33:W35)</f>
        <v>292.447</v>
      </c>
      <c r="X7" s="314">
        <f>X9+X12+X13+SUM(X15:X19)+X23+X26+X27+X29+SUM(X33:X35)</f>
        <v>237.15699999999998</v>
      </c>
      <c r="Y7" s="313">
        <f aca="true" t="shared" si="2" ref="Y7:Y41">100*(X7/W7-1)</f>
        <v>-18.905989803280598</v>
      </c>
      <c r="Z7" s="116" t="s">
        <v>25</v>
      </c>
    </row>
    <row r="8" spans="1:26" ht="12.75" customHeight="1">
      <c r="A8" s="16"/>
      <c r="B8" s="108" t="s">
        <v>83</v>
      </c>
      <c r="C8" s="315">
        <f aca="true" t="shared" si="3" ref="C8:X8">C6-C7</f>
        <v>268.6099999999999</v>
      </c>
      <c r="D8" s="315">
        <f t="shared" si="3"/>
        <v>351.61</v>
      </c>
      <c r="E8" s="316">
        <f t="shared" si="3"/>
        <v>269.83199999999994</v>
      </c>
      <c r="F8" s="316">
        <f t="shared" si="3"/>
        <v>208.26099999999997</v>
      </c>
      <c r="G8" s="316">
        <f t="shared" si="3"/>
        <v>171.377</v>
      </c>
      <c r="H8" s="316">
        <f t="shared" si="3"/>
        <v>166.25599999999994</v>
      </c>
      <c r="I8" s="316">
        <f t="shared" si="3"/>
        <v>160.53599999999997</v>
      </c>
      <c r="J8" s="316">
        <f t="shared" si="3"/>
        <v>163.4110000000001</v>
      </c>
      <c r="K8" s="316">
        <f t="shared" si="3"/>
        <v>168.37400000000005</v>
      </c>
      <c r="L8" s="316">
        <f t="shared" si="3"/>
        <v>169.33499999999987</v>
      </c>
      <c r="M8" s="316">
        <f t="shared" si="3"/>
        <v>152.52299999999997</v>
      </c>
      <c r="N8" s="316">
        <f t="shared" si="3"/>
        <v>140.18899999999985</v>
      </c>
      <c r="O8" s="316">
        <f t="shared" si="3"/>
        <v>146.60800000000012</v>
      </c>
      <c r="P8" s="316">
        <f t="shared" si="3"/>
        <v>137.5469999999999</v>
      </c>
      <c r="Q8" s="316">
        <f t="shared" si="3"/>
        <v>137.99699999999999</v>
      </c>
      <c r="R8" s="316">
        <f t="shared" si="3"/>
        <v>143.409</v>
      </c>
      <c r="S8" s="316">
        <f t="shared" si="3"/>
        <v>152</v>
      </c>
      <c r="T8" s="316">
        <f t="shared" si="3"/>
        <v>151.25600000000003</v>
      </c>
      <c r="U8" s="316">
        <f t="shared" si="3"/>
        <v>154.26100000000002</v>
      </c>
      <c r="V8" s="316">
        <f t="shared" si="3"/>
        <v>155.969</v>
      </c>
      <c r="W8" s="316">
        <f t="shared" si="3"/>
        <v>150.3739999999999</v>
      </c>
      <c r="X8" s="316">
        <f t="shared" si="3"/>
        <v>124.483</v>
      </c>
      <c r="Y8" s="315">
        <f t="shared" si="2"/>
        <v>-17.21773710880865</v>
      </c>
      <c r="Z8" s="133" t="s">
        <v>83</v>
      </c>
    </row>
    <row r="9" spans="1:26" ht="12.75" customHeight="1">
      <c r="A9" s="16"/>
      <c r="B9" s="18" t="s">
        <v>26</v>
      </c>
      <c r="C9" s="182">
        <v>7.876</v>
      </c>
      <c r="D9" s="182">
        <v>8.037</v>
      </c>
      <c r="E9" s="183">
        <v>8.37</v>
      </c>
      <c r="F9" s="183">
        <v>8.203</v>
      </c>
      <c r="G9" s="183">
        <v>8.361</v>
      </c>
      <c r="H9" s="183">
        <v>7.596</v>
      </c>
      <c r="I9" s="183">
        <v>8.097</v>
      </c>
      <c r="J9" s="183">
        <v>7.304</v>
      </c>
      <c r="K9" s="183">
        <v>7.244</v>
      </c>
      <c r="L9" s="183">
        <v>7.465</v>
      </c>
      <c r="M9" s="183">
        <v>7.6</v>
      </c>
      <c r="N9" s="183">
        <v>7.392</v>
      </c>
      <c r="O9" s="183">
        <v>7.674</v>
      </c>
      <c r="P9" s="183">
        <v>7.081</v>
      </c>
      <c r="Q9" s="183">
        <v>7.297</v>
      </c>
      <c r="R9" s="183">
        <v>7.293</v>
      </c>
      <c r="S9" s="183">
        <v>7.691</v>
      </c>
      <c r="T9" s="183">
        <v>8.13</v>
      </c>
      <c r="U9" s="183">
        <v>8.572</v>
      </c>
      <c r="V9" s="183">
        <v>9.258</v>
      </c>
      <c r="W9" s="183">
        <v>8.927</v>
      </c>
      <c r="X9" s="184">
        <v>6.374</v>
      </c>
      <c r="Y9" s="280">
        <f t="shared" si="2"/>
        <v>-28.598633359471272</v>
      </c>
      <c r="Z9" s="18" t="s">
        <v>26</v>
      </c>
    </row>
    <row r="10" spans="1:26" ht="12.75" customHeight="1">
      <c r="A10" s="16"/>
      <c r="B10" s="105" t="s">
        <v>8</v>
      </c>
      <c r="C10" s="176">
        <v>13.7</v>
      </c>
      <c r="D10" s="176">
        <v>17.68</v>
      </c>
      <c r="E10" s="129">
        <v>14.13</v>
      </c>
      <c r="F10" s="129">
        <v>8.7</v>
      </c>
      <c r="G10" s="129">
        <v>7.76</v>
      </c>
      <c r="H10" s="129">
        <v>7.7</v>
      </c>
      <c r="I10" s="129">
        <v>7.77</v>
      </c>
      <c r="J10" s="129">
        <v>8.6</v>
      </c>
      <c r="K10" s="129">
        <v>7.517</v>
      </c>
      <c r="L10" s="129">
        <v>7.405</v>
      </c>
      <c r="M10" s="129">
        <v>6.152</v>
      </c>
      <c r="N10" s="129">
        <v>5.2</v>
      </c>
      <c r="O10" s="129">
        <v>5.538</v>
      </c>
      <c r="P10" s="129">
        <v>4.9</v>
      </c>
      <c r="Q10" s="129">
        <v>4.627</v>
      </c>
      <c r="R10" s="129">
        <v>5.274</v>
      </c>
      <c r="S10" s="129">
        <v>5.211</v>
      </c>
      <c r="T10" s="129">
        <v>5.163</v>
      </c>
      <c r="U10" s="129">
        <v>5.396</v>
      </c>
      <c r="V10" s="129">
        <v>5.241</v>
      </c>
      <c r="W10" s="129">
        <v>4.693</v>
      </c>
      <c r="X10" s="171">
        <v>3.145</v>
      </c>
      <c r="Y10" s="192">
        <f t="shared" si="2"/>
        <v>-32.98529725122522</v>
      </c>
      <c r="Z10" s="105" t="s">
        <v>8</v>
      </c>
    </row>
    <row r="11" spans="1:26" ht="12.75" customHeight="1">
      <c r="A11" s="16"/>
      <c r="B11" s="18" t="s">
        <v>10</v>
      </c>
      <c r="C11" s="160"/>
      <c r="D11" s="160"/>
      <c r="E11" s="161"/>
      <c r="F11" s="121"/>
      <c r="G11" s="121"/>
      <c r="H11" s="121">
        <v>25.2</v>
      </c>
      <c r="I11" s="159">
        <v>22.8</v>
      </c>
      <c r="J11" s="121">
        <v>22.623</v>
      </c>
      <c r="K11" s="159">
        <v>22.339</v>
      </c>
      <c r="L11" s="121">
        <v>21.01</v>
      </c>
      <c r="M11" s="121">
        <v>18.709</v>
      </c>
      <c r="N11" s="121">
        <v>16.713</v>
      </c>
      <c r="O11" s="121">
        <v>17.496</v>
      </c>
      <c r="P11" s="121">
        <v>16.9</v>
      </c>
      <c r="Q11" s="121">
        <v>15.81</v>
      </c>
      <c r="R11" s="121">
        <v>15.862</v>
      </c>
      <c r="S11" s="121">
        <v>15.092</v>
      </c>
      <c r="T11" s="121">
        <v>14.866</v>
      </c>
      <c r="U11" s="121">
        <v>15.779</v>
      </c>
      <c r="V11" s="121">
        <v>16.304</v>
      </c>
      <c r="W11" s="121">
        <v>15.437</v>
      </c>
      <c r="X11" s="155">
        <v>12.791</v>
      </c>
      <c r="Y11" s="281">
        <f t="shared" si="2"/>
        <v>-17.14063613396385</v>
      </c>
      <c r="Z11" s="18" t="s">
        <v>10</v>
      </c>
    </row>
    <row r="12" spans="1:26" ht="12.75" customHeight="1">
      <c r="A12" s="16"/>
      <c r="B12" s="105" t="s">
        <v>21</v>
      </c>
      <c r="C12" s="176">
        <v>1.701</v>
      </c>
      <c r="D12" s="176">
        <v>1.619</v>
      </c>
      <c r="E12" s="129">
        <v>1.73</v>
      </c>
      <c r="F12" s="129">
        <v>1.858</v>
      </c>
      <c r="G12" s="129">
        <v>1.87</v>
      </c>
      <c r="H12" s="129">
        <v>1.796</v>
      </c>
      <c r="I12" s="129">
        <v>2.008</v>
      </c>
      <c r="J12" s="129">
        <v>1.985</v>
      </c>
      <c r="K12" s="129">
        <v>1.757</v>
      </c>
      <c r="L12" s="129">
        <v>1.983</v>
      </c>
      <c r="M12" s="129">
        <v>2.058</v>
      </c>
      <c r="N12" s="129">
        <v>1.938</v>
      </c>
      <c r="O12" s="129">
        <v>2.025</v>
      </c>
      <c r="P12" s="129">
        <v>2.091</v>
      </c>
      <c r="Q12" s="129">
        <v>1.877</v>
      </c>
      <c r="R12" s="129">
        <v>1.985</v>
      </c>
      <c r="S12" s="129">
        <v>2.321</v>
      </c>
      <c r="T12" s="129">
        <v>1.976</v>
      </c>
      <c r="U12" s="129">
        <v>1.892</v>
      </c>
      <c r="V12" s="129">
        <v>1.779</v>
      </c>
      <c r="W12" s="129">
        <v>1.866</v>
      </c>
      <c r="X12" s="171">
        <v>1.7</v>
      </c>
      <c r="Y12" s="192">
        <f t="shared" si="2"/>
        <v>-8.896034297963562</v>
      </c>
      <c r="Z12" s="105" t="s">
        <v>21</v>
      </c>
    </row>
    <row r="13" spans="1:26" ht="12.75" customHeight="1">
      <c r="A13" s="16"/>
      <c r="B13" s="18" t="s">
        <v>27</v>
      </c>
      <c r="C13" s="162">
        <v>113</v>
      </c>
      <c r="D13" s="162">
        <v>121.3</v>
      </c>
      <c r="E13" s="121">
        <v>101.7</v>
      </c>
      <c r="F13" s="121">
        <v>82.2</v>
      </c>
      <c r="G13" s="121">
        <v>72.8</v>
      </c>
      <c r="H13" s="121">
        <v>65.6</v>
      </c>
      <c r="I13" s="121">
        <v>70.7</v>
      </c>
      <c r="J13" s="121">
        <v>70.5</v>
      </c>
      <c r="K13" s="121">
        <v>70</v>
      </c>
      <c r="L13" s="121">
        <v>73.9</v>
      </c>
      <c r="M13" s="159">
        <v>74.2</v>
      </c>
      <c r="N13" s="121">
        <v>76.822</v>
      </c>
      <c r="O13" s="121">
        <v>82.675</v>
      </c>
      <c r="P13" s="121">
        <v>81.042</v>
      </c>
      <c r="Q13" s="121">
        <v>81.059</v>
      </c>
      <c r="R13" s="121">
        <v>85.128</v>
      </c>
      <c r="S13" s="121">
        <v>91.921</v>
      </c>
      <c r="T13" s="121">
        <v>95.42</v>
      </c>
      <c r="U13" s="121">
        <v>107.007</v>
      </c>
      <c r="V13" s="121">
        <v>114.615</v>
      </c>
      <c r="W13" s="121">
        <v>115.652</v>
      </c>
      <c r="X13" s="155">
        <v>95.834</v>
      </c>
      <c r="Y13" s="281">
        <f t="shared" si="2"/>
        <v>-17.135890429910418</v>
      </c>
      <c r="Z13" s="18" t="s">
        <v>27</v>
      </c>
    </row>
    <row r="14" spans="1:26" ht="12.75" customHeight="1">
      <c r="A14" s="16"/>
      <c r="B14" s="105" t="s">
        <v>11</v>
      </c>
      <c r="C14" s="176">
        <v>5.7</v>
      </c>
      <c r="D14" s="176">
        <v>6.5</v>
      </c>
      <c r="E14" s="129">
        <v>6.98</v>
      </c>
      <c r="F14" s="129">
        <v>6.5</v>
      </c>
      <c r="G14" s="129">
        <v>3.4</v>
      </c>
      <c r="H14" s="129">
        <v>4.2</v>
      </c>
      <c r="I14" s="129">
        <v>3.6</v>
      </c>
      <c r="J14" s="129">
        <v>3.845</v>
      </c>
      <c r="K14" s="129">
        <v>4.198</v>
      </c>
      <c r="L14" s="129">
        <v>5.102</v>
      </c>
      <c r="M14" s="129">
        <v>6.079</v>
      </c>
      <c r="N14" s="129">
        <v>7.295</v>
      </c>
      <c r="O14" s="129">
        <v>8.102</v>
      </c>
      <c r="P14" s="129">
        <v>8.557</v>
      </c>
      <c r="Q14" s="129">
        <v>9.697</v>
      </c>
      <c r="R14" s="129">
        <v>9.67</v>
      </c>
      <c r="S14" s="129">
        <v>10.488</v>
      </c>
      <c r="T14" s="129">
        <v>10.639</v>
      </c>
      <c r="U14" s="129">
        <v>10.418</v>
      </c>
      <c r="V14" s="129">
        <v>8.43</v>
      </c>
      <c r="W14" s="129">
        <v>5.943</v>
      </c>
      <c r="X14" s="171">
        <v>5.947</v>
      </c>
      <c r="Y14" s="282">
        <f t="shared" si="2"/>
        <v>0.067306074373219</v>
      </c>
      <c r="Z14" s="105" t="s">
        <v>11</v>
      </c>
    </row>
    <row r="15" spans="1:26" ht="12.75" customHeight="1">
      <c r="A15" s="16"/>
      <c r="B15" s="18" t="s">
        <v>30</v>
      </c>
      <c r="C15" s="163">
        <v>0.545</v>
      </c>
      <c r="D15" s="163">
        <v>0.637</v>
      </c>
      <c r="E15" s="153">
        <v>0.589</v>
      </c>
      <c r="F15" s="153">
        <v>0.603</v>
      </c>
      <c r="G15" s="153">
        <v>0.633</v>
      </c>
      <c r="H15" s="153">
        <v>0.575</v>
      </c>
      <c r="I15" s="153">
        <v>0.569</v>
      </c>
      <c r="J15" s="153">
        <v>0.602</v>
      </c>
      <c r="K15" s="153">
        <v>0.57</v>
      </c>
      <c r="L15" s="153">
        <v>0.522</v>
      </c>
      <c r="M15" s="153">
        <v>0.466</v>
      </c>
      <c r="N15" s="153">
        <v>0.526</v>
      </c>
      <c r="O15" s="153">
        <v>0.491</v>
      </c>
      <c r="P15" s="153">
        <v>0.516</v>
      </c>
      <c r="Q15" s="153">
        <v>0.426</v>
      </c>
      <c r="R15" s="153">
        <v>0.398</v>
      </c>
      <c r="S15" s="153">
        <v>0.399</v>
      </c>
      <c r="T15" s="153">
        <v>0.303</v>
      </c>
      <c r="U15" s="153">
        <v>0.205</v>
      </c>
      <c r="V15" s="153">
        <v>0.129</v>
      </c>
      <c r="W15" s="153">
        <v>0.103</v>
      </c>
      <c r="X15" s="185">
        <v>0.079</v>
      </c>
      <c r="Y15" s="280">
        <f t="shared" si="2"/>
        <v>-23.300970873786397</v>
      </c>
      <c r="Z15" s="18" t="s">
        <v>30</v>
      </c>
    </row>
    <row r="16" spans="1:26" ht="12.75" customHeight="1">
      <c r="A16" s="16"/>
      <c r="B16" s="105" t="s">
        <v>22</v>
      </c>
      <c r="C16" s="176">
        <v>0.688</v>
      </c>
      <c r="D16" s="176">
        <v>0.814</v>
      </c>
      <c r="E16" s="129">
        <v>0.609</v>
      </c>
      <c r="F16" s="129">
        <v>0.561</v>
      </c>
      <c r="G16" s="129">
        <v>0.527</v>
      </c>
      <c r="H16" s="129">
        <v>0.503</v>
      </c>
      <c r="I16" s="129">
        <v>0.31</v>
      </c>
      <c r="J16" s="129">
        <v>0.292</v>
      </c>
      <c r="K16" s="129">
        <v>0.337</v>
      </c>
      <c r="L16" s="129">
        <v>0.317</v>
      </c>
      <c r="M16" s="129">
        <v>0.326</v>
      </c>
      <c r="N16" s="129">
        <v>0.326</v>
      </c>
      <c r="O16" s="129">
        <v>0.427</v>
      </c>
      <c r="P16" s="129">
        <v>0.38</v>
      </c>
      <c r="Q16" s="129">
        <v>0.327</v>
      </c>
      <c r="R16" s="129">
        <v>0.456</v>
      </c>
      <c r="S16" s="129">
        <v>0.592</v>
      </c>
      <c r="T16" s="129">
        <v>0.613</v>
      </c>
      <c r="U16" s="129">
        <v>0.662</v>
      </c>
      <c r="V16" s="129">
        <v>0.835</v>
      </c>
      <c r="W16" s="129">
        <v>0.786</v>
      </c>
      <c r="X16" s="171">
        <f>0.538</f>
        <v>0.538</v>
      </c>
      <c r="Y16" s="192">
        <f t="shared" si="2"/>
        <v>-31.552162849872765</v>
      </c>
      <c r="Z16" s="105" t="s">
        <v>22</v>
      </c>
    </row>
    <row r="17" spans="1:26" ht="12.75" customHeight="1">
      <c r="A17" s="16"/>
      <c r="B17" s="18" t="s">
        <v>28</v>
      </c>
      <c r="C17" s="163">
        <v>9.741</v>
      </c>
      <c r="D17" s="158">
        <v>11.281</v>
      </c>
      <c r="E17" s="153">
        <v>11.153</v>
      </c>
      <c r="F17" s="153">
        <v>10.462</v>
      </c>
      <c r="G17" s="153">
        <v>9.205</v>
      </c>
      <c r="H17" s="153">
        <v>7.836</v>
      </c>
      <c r="I17" s="153">
        <v>9.089</v>
      </c>
      <c r="J17" s="153">
        <v>10.955</v>
      </c>
      <c r="K17" s="153">
        <v>11.125</v>
      </c>
      <c r="L17" s="153">
        <v>12.511</v>
      </c>
      <c r="M17" s="153">
        <v>11.322</v>
      </c>
      <c r="N17" s="153">
        <v>11.487</v>
      </c>
      <c r="O17" s="153">
        <v>11.614</v>
      </c>
      <c r="P17" s="153">
        <v>11.717</v>
      </c>
      <c r="Q17" s="153">
        <v>11.569</v>
      </c>
      <c r="R17" s="153">
        <v>11.743</v>
      </c>
      <c r="S17" s="153">
        <v>11.874</v>
      </c>
      <c r="T17" s="153">
        <v>11.635</v>
      </c>
      <c r="U17" s="153">
        <v>11.634</v>
      </c>
      <c r="V17" s="153">
        <v>11.114</v>
      </c>
      <c r="W17" s="153">
        <v>10.475</v>
      </c>
      <c r="X17" s="185">
        <v>7.547</v>
      </c>
      <c r="Y17" s="166">
        <f t="shared" si="2"/>
        <v>-27.95226730310263</v>
      </c>
      <c r="Z17" s="18" t="s">
        <v>28</v>
      </c>
    </row>
    <row r="18" spans="1:26" ht="12.75" customHeight="1">
      <c r="A18" s="16"/>
      <c r="B18" s="105" t="s">
        <v>29</v>
      </c>
      <c r="C18" s="176">
        <v>67.586</v>
      </c>
      <c r="D18" s="176">
        <v>68.815</v>
      </c>
      <c r="E18" s="129">
        <v>52.24</v>
      </c>
      <c r="F18" s="129">
        <v>52.430011</v>
      </c>
      <c r="G18" s="129">
        <v>51.180591</v>
      </c>
      <c r="H18" s="129">
        <v>45.582509</v>
      </c>
      <c r="I18" s="129">
        <v>48.871258</v>
      </c>
      <c r="J18" s="129">
        <v>48.266068</v>
      </c>
      <c r="K18" s="129">
        <v>50.113</v>
      </c>
      <c r="L18" s="129">
        <v>54.246</v>
      </c>
      <c r="M18" s="129">
        <v>54.09952500000001</v>
      </c>
      <c r="N18" s="129">
        <v>54.53801500294</v>
      </c>
      <c r="O18" s="129">
        <v>57.72575464222399</v>
      </c>
      <c r="P18" s="129">
        <v>51.718302252257004</v>
      </c>
      <c r="Q18" s="129">
        <v>51.288192553031</v>
      </c>
      <c r="R18" s="129">
        <v>48.057268754624005</v>
      </c>
      <c r="S18" s="129">
        <v>46.348370260433</v>
      </c>
      <c r="T18" s="129">
        <v>40.701180450133</v>
      </c>
      <c r="U18" s="129">
        <v>41.17892025294501</v>
      </c>
      <c r="V18" s="129">
        <v>42.623</v>
      </c>
      <c r="W18" s="129">
        <v>40.548</v>
      </c>
      <c r="X18" s="171">
        <v>32.13</v>
      </c>
      <c r="Y18" s="282">
        <f t="shared" si="2"/>
        <v>-20.760580053270196</v>
      </c>
      <c r="Z18" s="105" t="s">
        <v>29</v>
      </c>
    </row>
    <row r="19" spans="1:26" ht="12.75" customHeight="1">
      <c r="A19" s="16"/>
      <c r="B19" s="18" t="s">
        <v>31</v>
      </c>
      <c r="C19" s="162">
        <v>18.069</v>
      </c>
      <c r="D19" s="162">
        <v>18.384</v>
      </c>
      <c r="E19" s="121">
        <v>19.361</v>
      </c>
      <c r="F19" s="121">
        <v>19.963</v>
      </c>
      <c r="G19" s="121">
        <v>19.267</v>
      </c>
      <c r="H19" s="121">
        <v>18.12</v>
      </c>
      <c r="I19" s="121">
        <v>20.425</v>
      </c>
      <c r="J19" s="121">
        <v>21.69</v>
      </c>
      <c r="K19" s="121">
        <v>21.034</v>
      </c>
      <c r="L19" s="121">
        <v>22.903</v>
      </c>
      <c r="M19" s="121">
        <v>22.454</v>
      </c>
      <c r="N19" s="121">
        <v>21.549</v>
      </c>
      <c r="O19" s="121">
        <v>22.817</v>
      </c>
      <c r="P19" s="121">
        <v>21.762</v>
      </c>
      <c r="Q19" s="121">
        <v>20.679</v>
      </c>
      <c r="R19" s="121">
        <v>20.299</v>
      </c>
      <c r="S19" s="121">
        <v>22.183</v>
      </c>
      <c r="T19" s="121">
        <v>22.761</v>
      </c>
      <c r="U19" s="121">
        <v>24.151</v>
      </c>
      <c r="V19" s="121">
        <v>25.285</v>
      </c>
      <c r="W19" s="121">
        <v>23.831</v>
      </c>
      <c r="X19" s="155">
        <v>17.791</v>
      </c>
      <c r="Y19" s="165">
        <f t="shared" si="2"/>
        <v>-25.34513868490621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71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15.52</v>
      </c>
      <c r="D21" s="162">
        <v>17.59</v>
      </c>
      <c r="E21" s="121">
        <v>18.54</v>
      </c>
      <c r="F21" s="121">
        <v>16.7</v>
      </c>
      <c r="G21" s="121">
        <v>10.12</v>
      </c>
      <c r="H21" s="121">
        <v>9.85</v>
      </c>
      <c r="I21" s="121">
        <v>9.52</v>
      </c>
      <c r="J21" s="121">
        <v>9.76</v>
      </c>
      <c r="K21" s="121">
        <v>12.413</v>
      </c>
      <c r="L21" s="121">
        <v>13.97</v>
      </c>
      <c r="M21" s="121">
        <v>12.996</v>
      </c>
      <c r="N21" s="121">
        <v>12.21</v>
      </c>
      <c r="O21" s="121">
        <v>13.31</v>
      </c>
      <c r="P21" s="121">
        <v>14.18</v>
      </c>
      <c r="Q21" s="121">
        <v>15.02</v>
      </c>
      <c r="R21" s="121">
        <v>17.955</v>
      </c>
      <c r="S21" s="121">
        <v>18.618</v>
      </c>
      <c r="T21" s="121">
        <v>19.779</v>
      </c>
      <c r="U21" s="121">
        <v>16.831</v>
      </c>
      <c r="V21" s="121">
        <v>18.313</v>
      </c>
      <c r="W21" s="121">
        <v>19.581</v>
      </c>
      <c r="X21" s="155">
        <v>18.725</v>
      </c>
      <c r="Y21" s="281">
        <f t="shared" si="2"/>
        <v>-4.371584699453546</v>
      </c>
      <c r="Z21" s="18" t="s">
        <v>13</v>
      </c>
    </row>
    <row r="22" spans="1:26" ht="12.75" customHeight="1">
      <c r="A22" s="16"/>
      <c r="B22" s="105" t="s">
        <v>14</v>
      </c>
      <c r="C22" s="176">
        <v>13.57</v>
      </c>
      <c r="D22" s="176">
        <v>18.24</v>
      </c>
      <c r="E22" s="129">
        <v>19.26</v>
      </c>
      <c r="F22" s="129">
        <v>17.7</v>
      </c>
      <c r="G22" s="129">
        <v>11.34</v>
      </c>
      <c r="H22" s="129">
        <v>9.9</v>
      </c>
      <c r="I22" s="172">
        <v>8</v>
      </c>
      <c r="J22" s="129">
        <v>7.2</v>
      </c>
      <c r="K22" s="129">
        <v>8.103</v>
      </c>
      <c r="L22" s="129">
        <v>8.622</v>
      </c>
      <c r="M22" s="129">
        <v>8.265</v>
      </c>
      <c r="N22" s="129">
        <v>7.849</v>
      </c>
      <c r="O22" s="129">
        <v>8.918</v>
      </c>
      <c r="P22" s="129">
        <v>7.741</v>
      </c>
      <c r="Q22" s="129">
        <v>9.767</v>
      </c>
      <c r="R22" s="129">
        <v>11.457</v>
      </c>
      <c r="S22" s="129">
        <v>11.637</v>
      </c>
      <c r="T22" s="129">
        <v>12.457</v>
      </c>
      <c r="U22" s="129">
        <v>12.896</v>
      </c>
      <c r="V22" s="129">
        <v>14.373</v>
      </c>
      <c r="W22" s="129">
        <v>14.748</v>
      </c>
      <c r="X22" s="171">
        <v>11.888</v>
      </c>
      <c r="Y22" s="282">
        <f t="shared" si="2"/>
        <v>-19.39245999457553</v>
      </c>
      <c r="Z22" s="105" t="s">
        <v>14</v>
      </c>
    </row>
    <row r="23" spans="1:26" ht="12.75" customHeight="1">
      <c r="A23" s="16"/>
      <c r="B23" s="18" t="s">
        <v>32</v>
      </c>
      <c r="C23" s="162">
        <v>0.763</v>
      </c>
      <c r="D23" s="162">
        <v>0.665</v>
      </c>
      <c r="E23" s="121">
        <v>0.615</v>
      </c>
      <c r="F23" s="121">
        <v>0.622</v>
      </c>
      <c r="G23" s="121">
        <v>0.597</v>
      </c>
      <c r="H23" s="121">
        <v>0.607</v>
      </c>
      <c r="I23" s="121">
        <v>0.645</v>
      </c>
      <c r="J23" s="121">
        <v>0.529</v>
      </c>
      <c r="K23" s="121">
        <v>0.53</v>
      </c>
      <c r="L23" s="121">
        <v>0.566</v>
      </c>
      <c r="M23" s="121">
        <v>0.574</v>
      </c>
      <c r="N23" s="121">
        <v>0.608</v>
      </c>
      <c r="O23" s="121">
        <v>0.632</v>
      </c>
      <c r="P23" s="121">
        <v>0.585</v>
      </c>
      <c r="Q23" s="121">
        <v>0.55</v>
      </c>
      <c r="R23" s="121">
        <v>0.525</v>
      </c>
      <c r="S23" s="121">
        <v>0.559</v>
      </c>
      <c r="T23" s="121">
        <v>0.392</v>
      </c>
      <c r="U23" s="121">
        <v>0.441</v>
      </c>
      <c r="V23" s="121">
        <v>0.287</v>
      </c>
      <c r="W23" s="121">
        <v>0.279</v>
      </c>
      <c r="X23" s="155">
        <v>0.2</v>
      </c>
      <c r="Y23" s="165">
        <f t="shared" si="2"/>
        <v>-28.31541218637993</v>
      </c>
      <c r="Z23" s="18" t="s">
        <v>32</v>
      </c>
    </row>
    <row r="24" spans="1:26" ht="12.75" customHeight="1">
      <c r="A24" s="16"/>
      <c r="B24" s="105" t="s">
        <v>12</v>
      </c>
      <c r="C24" s="176">
        <v>19.82</v>
      </c>
      <c r="D24" s="176">
        <v>24.4</v>
      </c>
      <c r="E24" s="129">
        <v>16.8</v>
      </c>
      <c r="F24" s="129">
        <v>11.9</v>
      </c>
      <c r="G24" s="129">
        <v>10</v>
      </c>
      <c r="H24" s="129">
        <v>7.7</v>
      </c>
      <c r="I24" s="129">
        <v>7.7</v>
      </c>
      <c r="J24" s="129">
        <v>8.4</v>
      </c>
      <c r="K24" s="129">
        <v>7.6</v>
      </c>
      <c r="L24" s="129">
        <v>8.147</v>
      </c>
      <c r="M24" s="129">
        <v>8.15</v>
      </c>
      <c r="N24" s="129">
        <v>8.5</v>
      </c>
      <c r="O24" s="129">
        <v>8.8</v>
      </c>
      <c r="P24" s="129">
        <v>7.7</v>
      </c>
      <c r="Q24" s="129">
        <v>7.8</v>
      </c>
      <c r="R24" s="129">
        <v>7.614</v>
      </c>
      <c r="S24" s="129">
        <v>8.749</v>
      </c>
      <c r="T24" s="129">
        <v>9.09</v>
      </c>
      <c r="U24" s="129">
        <v>10.167</v>
      </c>
      <c r="V24" s="129">
        <v>10.048</v>
      </c>
      <c r="W24" s="129">
        <v>9.874</v>
      </c>
      <c r="X24" s="171">
        <v>7.673</v>
      </c>
      <c r="Y24" s="282">
        <f t="shared" si="2"/>
        <v>-22.29086489771116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55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3.715</v>
      </c>
      <c r="D26" s="176">
        <v>3.468</v>
      </c>
      <c r="E26" s="129">
        <v>3.07</v>
      </c>
      <c r="F26" s="129">
        <v>3.038</v>
      </c>
      <c r="G26" s="129">
        <v>2.76</v>
      </c>
      <c r="H26" s="129">
        <v>2.68</v>
      </c>
      <c r="I26" s="129">
        <v>2.83</v>
      </c>
      <c r="J26" s="129">
        <v>3.1</v>
      </c>
      <c r="K26" s="129">
        <v>3.123</v>
      </c>
      <c r="L26" s="129">
        <v>3.406</v>
      </c>
      <c r="M26" s="129">
        <v>3.778</v>
      </c>
      <c r="N26" s="129">
        <v>3.988</v>
      </c>
      <c r="O26" s="129">
        <v>4.522</v>
      </c>
      <c r="P26" s="129">
        <v>4.293</v>
      </c>
      <c r="Q26" s="129">
        <v>4.024</v>
      </c>
      <c r="R26" s="129">
        <v>4.705</v>
      </c>
      <c r="S26" s="129">
        <v>5.831</v>
      </c>
      <c r="T26" s="129">
        <v>5.865</v>
      </c>
      <c r="U26" s="129">
        <v>6.289</v>
      </c>
      <c r="V26" s="129">
        <v>7.216</v>
      </c>
      <c r="W26" s="129">
        <v>6.984</v>
      </c>
      <c r="X26" s="171">
        <v>5.578</v>
      </c>
      <c r="Y26" s="282">
        <f t="shared" si="2"/>
        <v>-20.131729667812138</v>
      </c>
      <c r="Z26" s="64" t="s">
        <v>23</v>
      </c>
    </row>
    <row r="27" spans="1:26" ht="12.75" customHeight="1">
      <c r="A27" s="16"/>
      <c r="B27" s="18" t="s">
        <v>33</v>
      </c>
      <c r="C27" s="162">
        <v>9.868</v>
      </c>
      <c r="D27" s="162">
        <v>11.002</v>
      </c>
      <c r="E27" s="121">
        <v>12.158</v>
      </c>
      <c r="F27" s="121">
        <v>12.322</v>
      </c>
      <c r="G27" s="121">
        <v>11.57</v>
      </c>
      <c r="H27" s="121">
        <v>11.24</v>
      </c>
      <c r="I27" s="121">
        <v>12.42</v>
      </c>
      <c r="J27" s="121">
        <v>13.2</v>
      </c>
      <c r="K27" s="121">
        <v>13.33</v>
      </c>
      <c r="L27" s="121">
        <v>14.199</v>
      </c>
      <c r="M27" s="121">
        <v>14.71</v>
      </c>
      <c r="N27" s="121">
        <v>15.04</v>
      </c>
      <c r="O27" s="121">
        <v>16.6</v>
      </c>
      <c r="P27" s="121">
        <v>16.893</v>
      </c>
      <c r="Q27" s="121">
        <v>17.13</v>
      </c>
      <c r="R27" s="121">
        <v>16.866</v>
      </c>
      <c r="S27" s="121">
        <v>18.757</v>
      </c>
      <c r="T27" s="121">
        <v>18.957</v>
      </c>
      <c r="U27" s="121">
        <v>20.98</v>
      </c>
      <c r="V27" s="121">
        <v>21.371</v>
      </c>
      <c r="W27" s="121">
        <v>21.915</v>
      </c>
      <c r="X27" s="155">
        <v>17.767</v>
      </c>
      <c r="Y27" s="281">
        <f t="shared" si="2"/>
        <v>-18.927675108373254</v>
      </c>
      <c r="Z27" s="18" t="s">
        <v>33</v>
      </c>
    </row>
    <row r="28" spans="1:26" ht="12.75" customHeight="1">
      <c r="A28" s="16"/>
      <c r="B28" s="105" t="s">
        <v>16</v>
      </c>
      <c r="C28" s="176">
        <v>98</v>
      </c>
      <c r="D28" s="176">
        <v>132.4</v>
      </c>
      <c r="E28" s="129">
        <v>81.6</v>
      </c>
      <c r="F28" s="129">
        <v>65.2</v>
      </c>
      <c r="G28" s="129">
        <v>57.8</v>
      </c>
      <c r="H28" s="129">
        <v>63.2</v>
      </c>
      <c r="I28" s="129">
        <v>64.7</v>
      </c>
      <c r="J28" s="129">
        <v>68.2</v>
      </c>
      <c r="K28" s="129">
        <v>67.4</v>
      </c>
      <c r="L28" s="129">
        <v>67.7</v>
      </c>
      <c r="M28" s="129">
        <v>60.9</v>
      </c>
      <c r="N28" s="129">
        <v>55.1</v>
      </c>
      <c r="O28" s="129">
        <v>54</v>
      </c>
      <c r="P28" s="129">
        <v>47.7</v>
      </c>
      <c r="Q28" s="129">
        <v>46.6</v>
      </c>
      <c r="R28" s="129">
        <v>47.407</v>
      </c>
      <c r="S28" s="129">
        <v>52.332</v>
      </c>
      <c r="T28" s="129">
        <v>49.972</v>
      </c>
      <c r="U28" s="129">
        <v>53.622</v>
      </c>
      <c r="V28" s="129">
        <v>54.253</v>
      </c>
      <c r="W28" s="129">
        <v>52.043</v>
      </c>
      <c r="X28" s="171">
        <v>43.445</v>
      </c>
      <c r="Y28" s="282">
        <f t="shared" si="2"/>
        <v>-16.520953826643346</v>
      </c>
      <c r="Z28" s="105" t="s">
        <v>16</v>
      </c>
    </row>
    <row r="29" spans="1:26" ht="12.75" customHeight="1">
      <c r="A29" s="16"/>
      <c r="B29" s="18" t="s">
        <v>34</v>
      </c>
      <c r="C29" s="162">
        <v>0.776</v>
      </c>
      <c r="D29" s="162">
        <v>1.001</v>
      </c>
      <c r="E29" s="121">
        <v>1.459</v>
      </c>
      <c r="F29" s="121">
        <v>1.66</v>
      </c>
      <c r="G29" s="121">
        <v>1.767</v>
      </c>
      <c r="H29" s="121">
        <v>1.666</v>
      </c>
      <c r="I29" s="121">
        <v>1.635</v>
      </c>
      <c r="J29" s="121">
        <v>2.019</v>
      </c>
      <c r="K29" s="121">
        <v>1.857</v>
      </c>
      <c r="L29" s="121">
        <v>2.247</v>
      </c>
      <c r="M29" s="121">
        <v>2.048</v>
      </c>
      <c r="N29" s="121">
        <v>2.179</v>
      </c>
      <c r="O29" s="121">
        <v>2.183</v>
      </c>
      <c r="P29" s="121">
        <v>2.138</v>
      </c>
      <c r="Q29" s="121">
        <v>2.193</v>
      </c>
      <c r="R29" s="121">
        <v>2.073</v>
      </c>
      <c r="S29" s="121">
        <v>2.282</v>
      </c>
      <c r="T29" s="121">
        <v>2.422</v>
      </c>
      <c r="U29" s="121">
        <v>2.43</v>
      </c>
      <c r="V29" s="121">
        <v>2.586</v>
      </c>
      <c r="W29" s="121">
        <v>2.549</v>
      </c>
      <c r="X29" s="155">
        <v>2.174</v>
      </c>
      <c r="Y29" s="165">
        <f t="shared" si="2"/>
        <v>-14.71165162808945</v>
      </c>
      <c r="Z29" s="18" t="s">
        <v>34</v>
      </c>
    </row>
    <row r="30" spans="1:26" ht="12.75" customHeight="1">
      <c r="A30" s="16"/>
      <c r="B30" s="105" t="s">
        <v>17</v>
      </c>
      <c r="C30" s="176">
        <v>43.1</v>
      </c>
      <c r="D30" s="176">
        <v>64.8</v>
      </c>
      <c r="E30" s="129">
        <v>48.912</v>
      </c>
      <c r="F30" s="129">
        <v>32.561</v>
      </c>
      <c r="G30" s="129">
        <v>24.387</v>
      </c>
      <c r="H30" s="129">
        <v>22.046</v>
      </c>
      <c r="I30" s="129">
        <v>21.746</v>
      </c>
      <c r="J30" s="129">
        <v>17.907</v>
      </c>
      <c r="K30" s="129">
        <v>24.254</v>
      </c>
      <c r="L30" s="129">
        <v>22.111</v>
      </c>
      <c r="M30" s="129">
        <v>16.619</v>
      </c>
      <c r="N30" s="129">
        <v>14.679</v>
      </c>
      <c r="O30" s="129">
        <v>16.354</v>
      </c>
      <c r="P30" s="129">
        <v>16.102</v>
      </c>
      <c r="Q30" s="129">
        <v>15.218</v>
      </c>
      <c r="R30" s="129">
        <v>15.039</v>
      </c>
      <c r="S30" s="129">
        <v>17.022</v>
      </c>
      <c r="T30" s="129">
        <v>16.582</v>
      </c>
      <c r="U30" s="129">
        <v>15.791</v>
      </c>
      <c r="V30" s="129">
        <v>15.757</v>
      </c>
      <c r="W30" s="129">
        <v>15.236</v>
      </c>
      <c r="X30" s="171">
        <v>11.088</v>
      </c>
      <c r="Y30" s="192">
        <f t="shared" si="2"/>
        <v>-27.224993436597543</v>
      </c>
      <c r="Z30" s="105" t="s">
        <v>17</v>
      </c>
    </row>
    <row r="31" spans="1:26" ht="12.75" customHeight="1">
      <c r="A31" s="16"/>
      <c r="B31" s="18" t="s">
        <v>19</v>
      </c>
      <c r="C31" s="163">
        <v>3.3</v>
      </c>
      <c r="D31" s="163">
        <v>3.8</v>
      </c>
      <c r="E31" s="153">
        <v>4.21</v>
      </c>
      <c r="F31" s="153">
        <v>3.2</v>
      </c>
      <c r="G31" s="153">
        <v>2.57</v>
      </c>
      <c r="H31" s="153">
        <v>2.26</v>
      </c>
      <c r="I31" s="153">
        <v>2.5</v>
      </c>
      <c r="J31" s="121">
        <v>3.076</v>
      </c>
      <c r="K31" s="121">
        <v>2.55</v>
      </c>
      <c r="L31" s="153">
        <v>2.9</v>
      </c>
      <c r="M31" s="153">
        <v>2.9</v>
      </c>
      <c r="N31" s="153">
        <v>2.784</v>
      </c>
      <c r="O31" s="153">
        <v>2.857</v>
      </c>
      <c r="P31" s="153">
        <v>2.837</v>
      </c>
      <c r="Q31" s="153">
        <v>3.078</v>
      </c>
      <c r="R31" s="153">
        <v>3.018</v>
      </c>
      <c r="S31" s="153">
        <v>3.149</v>
      </c>
      <c r="T31" s="153">
        <v>3.245</v>
      </c>
      <c r="U31" s="153">
        <v>3.373</v>
      </c>
      <c r="V31" s="153">
        <v>3.603</v>
      </c>
      <c r="W31" s="153">
        <v>3.52</v>
      </c>
      <c r="X31" s="185">
        <v>2.817</v>
      </c>
      <c r="Y31" s="280">
        <f t="shared" si="2"/>
        <v>-19.971590909090907</v>
      </c>
      <c r="Z31" s="18" t="s">
        <v>19</v>
      </c>
    </row>
    <row r="32" spans="1:26" ht="12.75" customHeight="1">
      <c r="A32" s="16"/>
      <c r="B32" s="105" t="s">
        <v>18</v>
      </c>
      <c r="C32" s="177"/>
      <c r="D32" s="177"/>
      <c r="E32" s="178"/>
      <c r="F32" s="129"/>
      <c r="G32" s="129"/>
      <c r="H32" s="129">
        <v>14.2</v>
      </c>
      <c r="I32" s="129">
        <v>12.2</v>
      </c>
      <c r="J32" s="129">
        <v>13.8</v>
      </c>
      <c r="K32" s="129">
        <v>12</v>
      </c>
      <c r="L32" s="129">
        <v>12.368</v>
      </c>
      <c r="M32" s="129">
        <v>11.753</v>
      </c>
      <c r="N32" s="129">
        <v>9.859</v>
      </c>
      <c r="O32" s="129">
        <v>11.233</v>
      </c>
      <c r="P32" s="129">
        <v>10.93</v>
      </c>
      <c r="Q32" s="129">
        <v>10.38</v>
      </c>
      <c r="R32" s="129">
        <v>10.113</v>
      </c>
      <c r="S32" s="129">
        <v>9.702</v>
      </c>
      <c r="T32" s="129">
        <v>9.463</v>
      </c>
      <c r="U32" s="129">
        <v>9.988</v>
      </c>
      <c r="V32" s="129">
        <v>9.647</v>
      </c>
      <c r="W32" s="129">
        <v>9.299</v>
      </c>
      <c r="X32" s="171">
        <v>6.964</v>
      </c>
      <c r="Y32" s="282">
        <f t="shared" si="2"/>
        <v>-25.110226906118925</v>
      </c>
      <c r="Z32" s="105" t="s">
        <v>18</v>
      </c>
    </row>
    <row r="33" spans="1:26" ht="12.75" customHeight="1">
      <c r="A33" s="16"/>
      <c r="B33" s="18" t="s">
        <v>35</v>
      </c>
      <c r="C33" s="163">
        <v>6.27</v>
      </c>
      <c r="D33" s="163">
        <v>8.335</v>
      </c>
      <c r="E33" s="153">
        <v>8.357</v>
      </c>
      <c r="F33" s="153">
        <v>7.63</v>
      </c>
      <c r="G33" s="153">
        <v>7.848</v>
      </c>
      <c r="H33" s="153">
        <v>9.26</v>
      </c>
      <c r="I33" s="153">
        <v>9.948</v>
      </c>
      <c r="J33" s="153">
        <v>9.6</v>
      </c>
      <c r="K33" s="153">
        <v>8.806</v>
      </c>
      <c r="L33" s="153">
        <v>9.856</v>
      </c>
      <c r="M33" s="153">
        <v>9.885</v>
      </c>
      <c r="N33" s="153">
        <v>9.753</v>
      </c>
      <c r="O33" s="153">
        <v>10.107</v>
      </c>
      <c r="P33" s="153">
        <v>9.857</v>
      </c>
      <c r="Q33" s="153">
        <v>9.664</v>
      </c>
      <c r="R33" s="153">
        <v>10.047</v>
      </c>
      <c r="S33" s="153">
        <v>10.105</v>
      </c>
      <c r="T33" s="153">
        <v>9.706</v>
      </c>
      <c r="U33" s="153">
        <v>11.06</v>
      </c>
      <c r="V33" s="153">
        <v>10.434</v>
      </c>
      <c r="W33" s="153">
        <v>10.777</v>
      </c>
      <c r="X33" s="185">
        <v>8.872</v>
      </c>
      <c r="Y33" s="280">
        <f t="shared" si="2"/>
        <v>-17.676533358077386</v>
      </c>
      <c r="Z33" s="18" t="s">
        <v>35</v>
      </c>
    </row>
    <row r="34" spans="1:26" ht="12.75" customHeight="1">
      <c r="A34" s="16"/>
      <c r="B34" s="105" t="s">
        <v>36</v>
      </c>
      <c r="C34" s="176">
        <v>17.311</v>
      </c>
      <c r="D34" s="176">
        <v>16.648</v>
      </c>
      <c r="E34" s="129">
        <v>19.1</v>
      </c>
      <c r="F34" s="129">
        <v>18.816</v>
      </c>
      <c r="G34" s="129">
        <v>19.202</v>
      </c>
      <c r="H34" s="129">
        <v>18.578</v>
      </c>
      <c r="I34" s="129">
        <v>19.069</v>
      </c>
      <c r="J34" s="129">
        <v>19.391</v>
      </c>
      <c r="K34" s="129">
        <v>18.846</v>
      </c>
      <c r="L34" s="129">
        <v>19.181</v>
      </c>
      <c r="M34" s="129">
        <v>19.163</v>
      </c>
      <c r="N34" s="129">
        <v>19.09</v>
      </c>
      <c r="O34" s="129">
        <v>19.475</v>
      </c>
      <c r="P34" s="129">
        <v>18.954</v>
      </c>
      <c r="Q34" s="129">
        <v>19.197</v>
      </c>
      <c r="R34" s="129">
        <v>20.17</v>
      </c>
      <c r="S34" s="129">
        <v>20.856</v>
      </c>
      <c r="T34" s="129">
        <v>21.675</v>
      </c>
      <c r="U34" s="129">
        <v>22.271</v>
      </c>
      <c r="V34" s="129">
        <v>23.25</v>
      </c>
      <c r="W34" s="129">
        <v>22.924</v>
      </c>
      <c r="X34" s="171">
        <v>19.405</v>
      </c>
      <c r="Y34" s="282">
        <f t="shared" si="2"/>
        <v>-15.35072413191414</v>
      </c>
      <c r="Z34" s="105" t="s">
        <v>36</v>
      </c>
    </row>
    <row r="35" spans="1:26" ht="12.75" customHeight="1">
      <c r="A35" s="16"/>
      <c r="B35" s="19" t="s">
        <v>24</v>
      </c>
      <c r="C35" s="186">
        <v>24.55</v>
      </c>
      <c r="D35" s="186">
        <v>17.816</v>
      </c>
      <c r="E35" s="187">
        <v>16</v>
      </c>
      <c r="F35" s="187">
        <v>15.3</v>
      </c>
      <c r="G35" s="187">
        <v>15.5</v>
      </c>
      <c r="H35" s="187">
        <v>13.8</v>
      </c>
      <c r="I35" s="187">
        <v>13</v>
      </c>
      <c r="J35" s="187">
        <v>13.3</v>
      </c>
      <c r="K35" s="187">
        <v>15.1</v>
      </c>
      <c r="L35" s="187">
        <v>16.9</v>
      </c>
      <c r="M35" s="187">
        <v>17.3</v>
      </c>
      <c r="N35" s="187">
        <v>18.2</v>
      </c>
      <c r="O35" s="187">
        <v>18.1</v>
      </c>
      <c r="P35" s="187">
        <v>19.4</v>
      </c>
      <c r="Q35" s="187">
        <v>18.5</v>
      </c>
      <c r="R35" s="187">
        <v>18.734</v>
      </c>
      <c r="S35" s="187">
        <v>22.552</v>
      </c>
      <c r="T35" s="187">
        <v>22.322</v>
      </c>
      <c r="U35" s="187">
        <v>27.365</v>
      </c>
      <c r="V35" s="187">
        <v>26.384</v>
      </c>
      <c r="W35" s="187">
        <v>24.831</v>
      </c>
      <c r="X35" s="188">
        <v>21.168</v>
      </c>
      <c r="Y35" s="284">
        <f t="shared" si="2"/>
        <v>-14.75172163827474</v>
      </c>
      <c r="Z35" s="19" t="s">
        <v>24</v>
      </c>
    </row>
    <row r="36" spans="1:26" ht="12.75" customHeight="1">
      <c r="A36" s="16"/>
      <c r="B36" s="105" t="s">
        <v>40</v>
      </c>
      <c r="C36" s="176" t="s">
        <v>38</v>
      </c>
      <c r="D36" s="176" t="s">
        <v>38</v>
      </c>
      <c r="E36" s="129" t="s">
        <v>38</v>
      </c>
      <c r="F36" s="129"/>
      <c r="G36" s="129"/>
      <c r="H36" s="129"/>
      <c r="I36" s="129"/>
      <c r="J36" s="129">
        <v>1.974</v>
      </c>
      <c r="K36" s="129">
        <v>1.717</v>
      </c>
      <c r="L36" s="129">
        <v>1.715</v>
      </c>
      <c r="M36" s="129">
        <v>1.831</v>
      </c>
      <c r="N36" s="129">
        <v>1.685</v>
      </c>
      <c r="O36" s="129">
        <v>1.788</v>
      </c>
      <c r="P36" s="129">
        <v>2.074</v>
      </c>
      <c r="Q36" s="129">
        <v>2.206</v>
      </c>
      <c r="R36" s="129">
        <v>2.487</v>
      </c>
      <c r="S36" s="129">
        <v>2.493</v>
      </c>
      <c r="T36" s="129">
        <v>2.835</v>
      </c>
      <c r="U36" s="129">
        <v>3.305</v>
      </c>
      <c r="V36" s="129">
        <v>3.574</v>
      </c>
      <c r="W36" s="129">
        <v>3.312</v>
      </c>
      <c r="X36" s="129">
        <v>2.641</v>
      </c>
      <c r="Y36" s="194">
        <f t="shared" si="2"/>
        <v>-20.259661835748787</v>
      </c>
      <c r="Z36" s="105" t="s">
        <v>40</v>
      </c>
    </row>
    <row r="37" spans="1:26" ht="12.75" customHeight="1">
      <c r="A37" s="16"/>
      <c r="B37" s="18" t="s">
        <v>4</v>
      </c>
      <c r="C37" s="162"/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>
        <v>0.5</v>
      </c>
      <c r="P37" s="121">
        <v>0.462</v>
      </c>
      <c r="Q37" s="121">
        <v>0.334</v>
      </c>
      <c r="R37" s="121">
        <v>0.373</v>
      </c>
      <c r="S37" s="121">
        <v>0.426</v>
      </c>
      <c r="T37" s="121">
        <v>0.531</v>
      </c>
      <c r="U37" s="121">
        <v>0.614</v>
      </c>
      <c r="V37" s="121">
        <v>0.778</v>
      </c>
      <c r="W37" s="121">
        <v>0.743</v>
      </c>
      <c r="X37" s="121">
        <v>0.497</v>
      </c>
      <c r="Y37" s="280">
        <f t="shared" si="2"/>
        <v>-33.10901749663526</v>
      </c>
      <c r="Z37" s="18" t="s">
        <v>4</v>
      </c>
    </row>
    <row r="38" spans="1:26" ht="12.75" customHeight="1">
      <c r="A38" s="16"/>
      <c r="B38" s="108" t="s">
        <v>20</v>
      </c>
      <c r="C38" s="179">
        <v>5.5</v>
      </c>
      <c r="D38" s="179">
        <v>5</v>
      </c>
      <c r="E38" s="132">
        <v>7.894</v>
      </c>
      <c r="F38" s="132">
        <v>7.977</v>
      </c>
      <c r="G38" s="132">
        <v>8.231</v>
      </c>
      <c r="H38" s="132">
        <v>8.396</v>
      </c>
      <c r="I38" s="132">
        <v>8.203</v>
      </c>
      <c r="J38" s="132">
        <v>8.506</v>
      </c>
      <c r="K38" s="132">
        <v>8.904</v>
      </c>
      <c r="L38" s="132">
        <v>9.606</v>
      </c>
      <c r="M38" s="132">
        <v>8.369</v>
      </c>
      <c r="N38" s="132">
        <v>8.23</v>
      </c>
      <c r="O38" s="132">
        <v>9.757</v>
      </c>
      <c r="P38" s="132">
        <v>7.483</v>
      </c>
      <c r="Q38" s="132">
        <v>7.176</v>
      </c>
      <c r="R38" s="132">
        <v>8.612</v>
      </c>
      <c r="S38" s="132">
        <v>9.332</v>
      </c>
      <c r="T38" s="132">
        <v>9.077</v>
      </c>
      <c r="U38" s="132">
        <v>9.544</v>
      </c>
      <c r="V38" s="132">
        <v>9.755</v>
      </c>
      <c r="W38" s="132">
        <v>10.552</v>
      </c>
      <c r="X38" s="132">
        <v>10.163</v>
      </c>
      <c r="Y38" s="285">
        <f t="shared" si="2"/>
        <v>-3.686504927975731</v>
      </c>
      <c r="Z38" s="108" t="s">
        <v>20</v>
      </c>
    </row>
    <row r="39" spans="1:26" ht="12.75" customHeight="1">
      <c r="A39" s="16"/>
      <c r="B39" s="18" t="s">
        <v>6</v>
      </c>
      <c r="C39" s="162" t="s">
        <v>39</v>
      </c>
      <c r="D39" s="162" t="s">
        <v>39</v>
      </c>
      <c r="E39" s="121" t="s">
        <v>39</v>
      </c>
      <c r="F39" s="121" t="s">
        <v>39</v>
      </c>
      <c r="G39" s="121" t="s">
        <v>39</v>
      </c>
      <c r="H39" s="121" t="s">
        <v>39</v>
      </c>
      <c r="I39" s="121" t="s">
        <v>39</v>
      </c>
      <c r="J39" s="121" t="s">
        <v>39</v>
      </c>
      <c r="K39" s="121" t="s">
        <v>39</v>
      </c>
      <c r="L39" s="121" t="s">
        <v>39</v>
      </c>
      <c r="M39" s="121" t="s">
        <v>39</v>
      </c>
      <c r="N39" s="121" t="s">
        <v>39</v>
      </c>
      <c r="O39" s="121" t="s">
        <v>39</v>
      </c>
      <c r="P39" s="121" t="s">
        <v>39</v>
      </c>
      <c r="Q39" s="121" t="s">
        <v>39</v>
      </c>
      <c r="R39" s="121" t="s">
        <v>39</v>
      </c>
      <c r="S39" s="121" t="s">
        <v>39</v>
      </c>
      <c r="T39" s="121" t="s">
        <v>39</v>
      </c>
      <c r="U39" s="121" t="s">
        <v>39</v>
      </c>
      <c r="V39" s="121" t="s">
        <v>39</v>
      </c>
      <c r="W39" s="121" t="s">
        <v>39</v>
      </c>
      <c r="X39" s="121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>
        <v>2.6</v>
      </c>
      <c r="D40" s="176">
        <v>3</v>
      </c>
      <c r="E40" s="129">
        <v>2.6</v>
      </c>
      <c r="F40" s="129">
        <v>2.7</v>
      </c>
      <c r="G40" s="129">
        <v>2.7</v>
      </c>
      <c r="H40" s="129">
        <v>2.9</v>
      </c>
      <c r="I40" s="129">
        <v>2.7</v>
      </c>
      <c r="J40" s="129">
        <v>2.7</v>
      </c>
      <c r="K40" s="129">
        <v>2.8</v>
      </c>
      <c r="L40" s="129">
        <v>3</v>
      </c>
      <c r="M40" s="129">
        <v>2.9</v>
      </c>
      <c r="N40" s="129">
        <v>2.9</v>
      </c>
      <c r="O40" s="129">
        <v>3</v>
      </c>
      <c r="P40" s="129">
        <v>2.9</v>
      </c>
      <c r="Q40" s="129">
        <v>2.7</v>
      </c>
      <c r="R40" s="129">
        <v>2.627</v>
      </c>
      <c r="S40" s="129">
        <v>2.845</v>
      </c>
      <c r="T40" s="129">
        <v>3.149</v>
      </c>
      <c r="U40" s="129">
        <v>3.351</v>
      </c>
      <c r="V40" s="129">
        <v>3.502</v>
      </c>
      <c r="W40" s="129">
        <v>3.621</v>
      </c>
      <c r="X40" s="129">
        <v>3.666</v>
      </c>
      <c r="Y40" s="192">
        <f t="shared" si="2"/>
        <v>1.2427506213753103</v>
      </c>
      <c r="Z40" s="105" t="s">
        <v>37</v>
      </c>
    </row>
    <row r="41" spans="1:26" ht="12.75" customHeight="1">
      <c r="A41" s="16"/>
      <c r="B41" s="19" t="s">
        <v>7</v>
      </c>
      <c r="C41" s="164">
        <v>6.9</v>
      </c>
      <c r="D41" s="164">
        <v>7.8</v>
      </c>
      <c r="E41" s="124">
        <v>9.045</v>
      </c>
      <c r="F41" s="124">
        <v>8.917</v>
      </c>
      <c r="G41" s="124">
        <v>8.458</v>
      </c>
      <c r="H41" s="124">
        <v>8.051</v>
      </c>
      <c r="I41" s="124">
        <v>8.819</v>
      </c>
      <c r="J41" s="124">
        <v>8.856</v>
      </c>
      <c r="K41" s="124">
        <v>8.031</v>
      </c>
      <c r="L41" s="124">
        <v>8.836</v>
      </c>
      <c r="M41" s="124">
        <v>9.411</v>
      </c>
      <c r="N41" s="124">
        <v>9.831</v>
      </c>
      <c r="O41" s="124">
        <v>11.08</v>
      </c>
      <c r="P41" s="124">
        <v>11.172</v>
      </c>
      <c r="Q41" s="124">
        <v>10.746</v>
      </c>
      <c r="R41" s="124">
        <v>10.598</v>
      </c>
      <c r="S41" s="124">
        <v>11.489</v>
      </c>
      <c r="T41" s="124">
        <v>11.677</v>
      </c>
      <c r="U41" s="124">
        <v>12.466</v>
      </c>
      <c r="V41" s="124">
        <v>11.952</v>
      </c>
      <c r="W41" s="124">
        <v>12.265</v>
      </c>
      <c r="X41" s="124">
        <v>10.565</v>
      </c>
      <c r="Y41" s="168">
        <f t="shared" si="2"/>
        <v>-13.860578883000418</v>
      </c>
      <c r="Z41" s="19" t="s">
        <v>7</v>
      </c>
    </row>
    <row r="42" spans="2:27" ht="31.5" customHeight="1">
      <c r="B42" s="420" t="s">
        <v>94</v>
      </c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345"/>
    </row>
    <row r="43" spans="2:25" ht="21" customHeight="1">
      <c r="B43" s="346" t="s">
        <v>142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8"/>
      <c r="U43" s="308"/>
      <c r="V43" s="308"/>
      <c r="W43" s="308"/>
      <c r="X43" s="308"/>
      <c r="Y43" s="308"/>
    </row>
    <row r="44" spans="3:25" ht="12.75" customHeight="1">
      <c r="C44" s="309" t="s">
        <v>58</v>
      </c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</row>
    <row r="45" ht="12.75">
      <c r="C45" s="310" t="s">
        <v>90</v>
      </c>
    </row>
  </sheetData>
  <mergeCells count="2">
    <mergeCell ref="B2:Z2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AA48"/>
  <sheetViews>
    <sheetView workbookViewId="0" topLeftCell="A1">
      <selection activeCell="P48" sqref="P48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3.00390625" style="3" customWidth="1"/>
    <col min="28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124</v>
      </c>
    </row>
    <row r="2" spans="1:26" s="54" customFormat="1" ht="30" customHeight="1">
      <c r="A2" s="95"/>
      <c r="B2" s="389" t="s">
        <v>42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7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1"/>
      <c r="T3" s="308"/>
      <c r="U3" s="308"/>
      <c r="W3" s="391" t="s">
        <v>135</v>
      </c>
      <c r="X3" s="391"/>
      <c r="Y3" s="6"/>
      <c r="Z3" s="52"/>
      <c r="AA3" s="52"/>
    </row>
    <row r="4" spans="2:27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</row>
    <row r="5" spans="2:27" ht="9.75" customHeight="1">
      <c r="B5" s="37"/>
      <c r="C5" s="181"/>
      <c r="D5" s="195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75" t="s">
        <v>82</v>
      </c>
      <c r="Z5" s="72"/>
      <c r="AA5" s="2"/>
    </row>
    <row r="6" spans="2:27" ht="12.75" customHeight="1">
      <c r="B6" s="104" t="s">
        <v>70</v>
      </c>
      <c r="C6" s="311">
        <f>SUM(C9:C35)+2.43</f>
        <v>112.476</v>
      </c>
      <c r="D6" s="311">
        <f>SUM(D9:D35)+3.59</f>
        <v>119.171</v>
      </c>
      <c r="E6" s="312">
        <f>SUM(E9:E35)+4.42</f>
        <v>118.33522714499999</v>
      </c>
      <c r="F6" s="312">
        <f>SUM(F9:F35)+3.89</f>
        <v>116.70840167300001</v>
      </c>
      <c r="G6" s="312">
        <f>SUM(G9:G35)+2.98</f>
        <v>115.05673840299998</v>
      </c>
      <c r="H6" s="267">
        <f aca="true" t="shared" si="0" ref="H6:O6">SUM(H9:H35)</f>
        <v>109.08724280999999</v>
      </c>
      <c r="I6" s="267">
        <f t="shared" si="0"/>
        <v>118.78323084900002</v>
      </c>
      <c r="J6" s="267">
        <f t="shared" si="0"/>
        <v>122.08520799999998</v>
      </c>
      <c r="K6" s="267">
        <f t="shared" si="0"/>
        <v>119.75649199999998</v>
      </c>
      <c r="L6" s="267">
        <f t="shared" si="0"/>
        <v>127.84812699999999</v>
      </c>
      <c r="M6" s="267">
        <f t="shared" si="0"/>
        <v>131.011354551</v>
      </c>
      <c r="N6" s="267">
        <f t="shared" si="0"/>
        <v>128.726899</v>
      </c>
      <c r="O6" s="267">
        <f t="shared" si="0"/>
        <v>133.8613496</v>
      </c>
      <c r="P6" s="267">
        <f aca="true" t="shared" si="1" ref="P6:U6">SUM(P9:P35)</f>
        <v>132.5287596</v>
      </c>
      <c r="Q6" s="312">
        <f t="shared" si="1"/>
        <v>132.504278</v>
      </c>
      <c r="R6" s="312">
        <f t="shared" si="1"/>
        <v>123.5149852</v>
      </c>
      <c r="S6" s="312">
        <f t="shared" si="1"/>
        <v>136.73445100000004</v>
      </c>
      <c r="T6" s="312">
        <f t="shared" si="1"/>
        <v>138.66237439999995</v>
      </c>
      <c r="U6" s="312">
        <f t="shared" si="1"/>
        <v>138.4605691</v>
      </c>
      <c r="V6" s="312">
        <f>SUM(V9:V35)</f>
        <v>144.92859039899997</v>
      </c>
      <c r="W6" s="312">
        <f>SUM(W9:W35)</f>
        <v>143.1656144</v>
      </c>
      <c r="X6" s="312">
        <f>SUM(X9:X35)</f>
        <v>119.82700000000001</v>
      </c>
      <c r="Y6" s="311">
        <f>100*(X6/W6-1)</f>
        <v>-16.301829526462043</v>
      </c>
      <c r="Z6" s="104" t="s">
        <v>70</v>
      </c>
      <c r="AA6" s="2"/>
    </row>
    <row r="7" spans="1:26" ht="12.75" customHeight="1">
      <c r="A7" s="16"/>
      <c r="B7" s="105" t="s">
        <v>25</v>
      </c>
      <c r="C7" s="313">
        <f>C9+C13+C18+C19+C23+C26+C27+C33+C35</f>
        <v>102.626</v>
      </c>
      <c r="D7" s="313">
        <f>D9+D13+D18+D19+D23+D26+D27+D33+D35</f>
        <v>105.891</v>
      </c>
      <c r="E7" s="314">
        <f>E9+E13+E18+E19+E23+E26+E27+E33+E35</f>
        <v>106.97722714499997</v>
      </c>
      <c r="F7" s="314">
        <f>F9+F13+F18+F19+F23+F26+F27+F33+F35</f>
        <v>107.16240167300002</v>
      </c>
      <c r="G7" s="314">
        <f aca="true" t="shared" si="2" ref="G7:U7">G9+G13+G18+G19+G23+G26+G27+G33+G35</f>
        <v>106.95373840299997</v>
      </c>
      <c r="H7" s="314">
        <f t="shared" si="2"/>
        <v>104.70724281</v>
      </c>
      <c r="I7" s="314">
        <f t="shared" si="2"/>
        <v>113.25353084899999</v>
      </c>
      <c r="J7" s="314">
        <f t="shared" si="2"/>
        <v>114.596308</v>
      </c>
      <c r="K7" s="314">
        <f t="shared" si="2"/>
        <v>111.37309199999999</v>
      </c>
      <c r="L7" s="314">
        <f t="shared" si="2"/>
        <v>118.92042699999998</v>
      </c>
      <c r="M7" s="314">
        <f t="shared" si="2"/>
        <v>121.944141</v>
      </c>
      <c r="N7" s="314">
        <f t="shared" si="2"/>
        <v>121.99729899999998</v>
      </c>
      <c r="O7" s="314">
        <f t="shared" si="2"/>
        <v>127.380566</v>
      </c>
      <c r="P7" s="314">
        <f t="shared" si="2"/>
        <v>125.94002399999998</v>
      </c>
      <c r="Q7" s="314">
        <f t="shared" si="2"/>
        <v>125.08906300000001</v>
      </c>
      <c r="R7" s="314">
        <f t="shared" si="2"/>
        <v>116.41082</v>
      </c>
      <c r="S7" s="314">
        <f t="shared" si="2"/>
        <v>126.01883</v>
      </c>
      <c r="T7" s="314">
        <f t="shared" si="2"/>
        <v>126.22875</v>
      </c>
      <c r="U7" s="314">
        <f t="shared" si="2"/>
        <v>126.622974</v>
      </c>
      <c r="V7" s="314">
        <f>V9+V13+V18+V19+V23+V26+V27+V33+V35</f>
        <v>132.222617399</v>
      </c>
      <c r="W7" s="314">
        <f>W9+W13+W18+W19+W23+W26+W27+W33+W35</f>
        <v>130.013</v>
      </c>
      <c r="X7" s="314">
        <f>X9+X13+X18+X19+X23+X26+X27+X33+X35</f>
        <v>109.658</v>
      </c>
      <c r="Y7" s="313">
        <f aca="true" t="shared" si="3" ref="Y7:Y41">100*(X7/W7-1)</f>
        <v>-15.65612669502281</v>
      </c>
      <c r="Z7" s="105" t="s">
        <v>25</v>
      </c>
    </row>
    <row r="8" spans="1:26" ht="12.75" customHeight="1">
      <c r="A8" s="16"/>
      <c r="B8" s="108" t="s">
        <v>83</v>
      </c>
      <c r="C8" s="315">
        <f aca="true" t="shared" si="4" ref="C8:X8">C6-C7</f>
        <v>9.849999999999994</v>
      </c>
      <c r="D8" s="315">
        <f t="shared" si="4"/>
        <v>13.280000000000001</v>
      </c>
      <c r="E8" s="316">
        <f t="shared" si="4"/>
        <v>11.358000000000018</v>
      </c>
      <c r="F8" s="316">
        <f t="shared" si="4"/>
        <v>9.545999999999992</v>
      </c>
      <c r="G8" s="316">
        <f t="shared" si="4"/>
        <v>8.103000000000009</v>
      </c>
      <c r="H8" s="109">
        <f t="shared" si="4"/>
        <v>4.3799999999999955</v>
      </c>
      <c r="I8" s="109">
        <f t="shared" si="4"/>
        <v>5.529700000000034</v>
      </c>
      <c r="J8" s="109">
        <f t="shared" si="4"/>
        <v>7.488899999999987</v>
      </c>
      <c r="K8" s="109">
        <f t="shared" si="4"/>
        <v>8.383399999999995</v>
      </c>
      <c r="L8" s="109">
        <f t="shared" si="4"/>
        <v>8.927700000000016</v>
      </c>
      <c r="M8" s="109">
        <f t="shared" si="4"/>
        <v>9.067213551000009</v>
      </c>
      <c r="N8" s="109">
        <f t="shared" si="4"/>
        <v>6.729600000000019</v>
      </c>
      <c r="O8" s="109">
        <f t="shared" si="4"/>
        <v>6.480783600000009</v>
      </c>
      <c r="P8" s="109">
        <f t="shared" si="4"/>
        <v>6.588735600000021</v>
      </c>
      <c r="Q8" s="316">
        <f t="shared" si="4"/>
        <v>7.415214999999989</v>
      </c>
      <c r="R8" s="316">
        <f t="shared" si="4"/>
        <v>7.104165199999997</v>
      </c>
      <c r="S8" s="316">
        <f t="shared" si="4"/>
        <v>10.715621000000041</v>
      </c>
      <c r="T8" s="316">
        <f t="shared" si="4"/>
        <v>12.433624399999943</v>
      </c>
      <c r="U8" s="316">
        <f t="shared" si="4"/>
        <v>11.837595099999987</v>
      </c>
      <c r="V8" s="316">
        <f t="shared" si="4"/>
        <v>12.705972999999972</v>
      </c>
      <c r="W8" s="316">
        <f t="shared" si="4"/>
        <v>13.152614400000004</v>
      </c>
      <c r="X8" s="316">
        <f t="shared" si="4"/>
        <v>10.169000000000011</v>
      </c>
      <c r="Y8" s="315">
        <f t="shared" si="3"/>
        <v>-22.68457288613276</v>
      </c>
      <c r="Z8" s="108" t="s">
        <v>83</v>
      </c>
    </row>
    <row r="9" spans="1:26" ht="12.75" customHeight="1">
      <c r="A9" s="16"/>
      <c r="B9" s="18" t="s">
        <v>26</v>
      </c>
      <c r="C9" s="163">
        <v>6.734</v>
      </c>
      <c r="D9" s="163">
        <v>5.852</v>
      </c>
      <c r="E9" s="153">
        <v>5.388896222</v>
      </c>
      <c r="F9" s="153">
        <v>5.177006499</v>
      </c>
      <c r="G9" s="153">
        <v>5.0178631</v>
      </c>
      <c r="H9" s="153">
        <v>4.931673973</v>
      </c>
      <c r="I9" s="153">
        <v>5.490262438</v>
      </c>
      <c r="J9" s="153">
        <v>5.731</v>
      </c>
      <c r="K9" s="153">
        <v>5.715</v>
      </c>
      <c r="L9" s="153">
        <v>5.829</v>
      </c>
      <c r="M9" s="153">
        <v>6.015</v>
      </c>
      <c r="N9" s="153">
        <v>6.362</v>
      </c>
      <c r="O9" s="153">
        <v>7.215</v>
      </c>
      <c r="P9" s="153">
        <v>7.655</v>
      </c>
      <c r="Q9" s="153">
        <v>8.073</v>
      </c>
      <c r="R9" s="153">
        <v>8.23</v>
      </c>
      <c r="S9" s="153">
        <v>8.392</v>
      </c>
      <c r="T9" s="153">
        <v>8.566</v>
      </c>
      <c r="U9" s="153">
        <v>8.908</v>
      </c>
      <c r="V9" s="153">
        <v>9.006</v>
      </c>
      <c r="W9" s="153">
        <v>8.746</v>
      </c>
      <c r="X9" s="153">
        <v>7.087</v>
      </c>
      <c r="Y9" s="280">
        <f t="shared" si="3"/>
        <v>-18.968671392636637</v>
      </c>
      <c r="Z9" s="18" t="s">
        <v>26</v>
      </c>
    </row>
    <row r="10" spans="1:26" ht="12.75" customHeight="1">
      <c r="A10" s="16"/>
      <c r="B10" s="105" t="s">
        <v>8</v>
      </c>
      <c r="C10" s="176">
        <v>1.83</v>
      </c>
      <c r="D10" s="176">
        <v>2.61</v>
      </c>
      <c r="E10" s="129">
        <v>1.61</v>
      </c>
      <c r="F10" s="129">
        <v>1.024</v>
      </c>
      <c r="G10" s="129">
        <v>0.837</v>
      </c>
      <c r="H10" s="129">
        <v>0.46</v>
      </c>
      <c r="I10" s="129">
        <v>0.36</v>
      </c>
      <c r="J10" s="129">
        <v>0.526</v>
      </c>
      <c r="K10" s="129">
        <v>0.505</v>
      </c>
      <c r="L10" s="129">
        <v>0.6</v>
      </c>
      <c r="M10" s="129">
        <v>0.563</v>
      </c>
      <c r="N10" s="129">
        <v>0.187</v>
      </c>
      <c r="O10" s="129">
        <v>0.313</v>
      </c>
      <c r="P10" s="129">
        <v>0.418</v>
      </c>
      <c r="Q10" s="129">
        <v>0.561</v>
      </c>
      <c r="R10" s="129">
        <v>0.613</v>
      </c>
      <c r="S10" s="129">
        <v>0.697</v>
      </c>
      <c r="T10" s="129">
        <v>0.757</v>
      </c>
      <c r="U10" s="129">
        <v>0.785</v>
      </c>
      <c r="V10" s="129">
        <f>0.235+0.296+0.25+0.23</f>
        <v>1.011</v>
      </c>
      <c r="W10" s="129">
        <f>0.809+0.069</f>
        <v>0.8780000000000001</v>
      </c>
      <c r="X10" s="129">
        <f>0.568+0.045</f>
        <v>0.613</v>
      </c>
      <c r="Y10" s="192">
        <f t="shared" si="3"/>
        <v>-30.182232346241467</v>
      </c>
      <c r="Z10" s="105" t="s">
        <v>8</v>
      </c>
    </row>
    <row r="11" spans="1:26" ht="12.75" customHeight="1">
      <c r="A11" s="16"/>
      <c r="B11" s="18" t="s">
        <v>10</v>
      </c>
      <c r="C11" s="162"/>
      <c r="D11" s="162"/>
      <c r="E11" s="121"/>
      <c r="F11" s="121"/>
      <c r="G11" s="121"/>
      <c r="H11" s="122"/>
      <c r="I11" s="121">
        <v>0.2526</v>
      </c>
      <c r="J11" s="121">
        <v>0.2757</v>
      </c>
      <c r="K11" s="121">
        <v>0.2565</v>
      </c>
      <c r="L11" s="121">
        <v>0.0984</v>
      </c>
      <c r="M11" s="121">
        <v>0.100313551</v>
      </c>
      <c r="N11" s="121">
        <v>0.087</v>
      </c>
      <c r="O11" s="121">
        <v>0.089</v>
      </c>
      <c r="P11" s="121">
        <v>0.078</v>
      </c>
      <c r="Q11" s="121">
        <v>0.08</v>
      </c>
      <c r="R11" s="121">
        <v>0.058</v>
      </c>
      <c r="S11" s="121">
        <v>0.048</v>
      </c>
      <c r="T11" s="121">
        <v>0.063</v>
      </c>
      <c r="U11" s="121">
        <v>0.043</v>
      </c>
      <c r="V11" s="121">
        <v>0.036</v>
      </c>
      <c r="W11" s="121">
        <v>0.028</v>
      </c>
      <c r="X11" s="121">
        <v>0.033</v>
      </c>
      <c r="Y11" s="281">
        <f t="shared" si="3"/>
        <v>17.85714285714286</v>
      </c>
      <c r="Z11" s="18" t="s">
        <v>10</v>
      </c>
    </row>
    <row r="12" spans="1:26" ht="12.75" customHeight="1">
      <c r="A12" s="16"/>
      <c r="B12" s="105" t="s">
        <v>21</v>
      </c>
      <c r="C12" s="176" t="s">
        <v>39</v>
      </c>
      <c r="D12" s="176" t="s">
        <v>39</v>
      </c>
      <c r="E12" s="129" t="s">
        <v>39</v>
      </c>
      <c r="F12" s="129" t="s">
        <v>39</v>
      </c>
      <c r="G12" s="129" t="s">
        <v>39</v>
      </c>
      <c r="H12" s="129" t="s">
        <v>39</v>
      </c>
      <c r="I12" s="129" t="s">
        <v>39</v>
      </c>
      <c r="J12" s="129" t="s">
        <v>39</v>
      </c>
      <c r="K12" s="129" t="s">
        <v>39</v>
      </c>
      <c r="L12" s="129" t="s">
        <v>39</v>
      </c>
      <c r="M12" s="129" t="s">
        <v>39</v>
      </c>
      <c r="N12" s="129" t="s">
        <v>39</v>
      </c>
      <c r="O12" s="129" t="s">
        <v>39</v>
      </c>
      <c r="P12" s="129" t="s">
        <v>39</v>
      </c>
      <c r="Q12" s="129" t="s">
        <v>39</v>
      </c>
      <c r="R12" s="129" t="s">
        <v>39</v>
      </c>
      <c r="S12" s="129" t="s">
        <v>39</v>
      </c>
      <c r="T12" s="129" t="s">
        <v>39</v>
      </c>
      <c r="U12" s="129" t="s">
        <v>39</v>
      </c>
      <c r="V12" s="129" t="s">
        <v>39</v>
      </c>
      <c r="W12" s="129" t="s">
        <v>39</v>
      </c>
      <c r="X12" s="129" t="s">
        <v>39</v>
      </c>
      <c r="Y12" s="192"/>
      <c r="Z12" s="105" t="s">
        <v>21</v>
      </c>
    </row>
    <row r="13" spans="1:26" ht="12.75" customHeight="1">
      <c r="A13" s="16"/>
      <c r="B13" s="18" t="s">
        <v>27</v>
      </c>
      <c r="C13" s="162">
        <v>48.8</v>
      </c>
      <c r="D13" s="162">
        <v>51.4</v>
      </c>
      <c r="E13" s="121">
        <v>54.803</v>
      </c>
      <c r="F13" s="121">
        <v>55.973424605</v>
      </c>
      <c r="G13" s="121">
        <v>57.239443126</v>
      </c>
      <c r="H13" s="121">
        <v>57.559339868</v>
      </c>
      <c r="I13" s="121">
        <v>61.77196685</v>
      </c>
      <c r="J13" s="121">
        <v>63.982</v>
      </c>
      <c r="K13" s="121">
        <v>61.291</v>
      </c>
      <c r="L13" s="121">
        <v>62.153</v>
      </c>
      <c r="M13" s="121">
        <v>64.267</v>
      </c>
      <c r="N13" s="121">
        <v>62.692</v>
      </c>
      <c r="O13" s="121">
        <v>66.465</v>
      </c>
      <c r="P13" s="121">
        <v>64.818</v>
      </c>
      <c r="Q13" s="121">
        <v>64.166</v>
      </c>
      <c r="R13" s="121">
        <v>58.154</v>
      </c>
      <c r="S13" s="121">
        <v>63.667</v>
      </c>
      <c r="T13" s="121">
        <v>64.096</v>
      </c>
      <c r="U13" s="121">
        <v>63.975</v>
      </c>
      <c r="V13" s="121">
        <v>64.716</v>
      </c>
      <c r="W13" s="121">
        <v>64.056</v>
      </c>
      <c r="X13" s="121">
        <v>55.652</v>
      </c>
      <c r="Y13" s="281">
        <f t="shared" si="3"/>
        <v>-13.119770201074054</v>
      </c>
      <c r="Z13" s="18" t="s">
        <v>27</v>
      </c>
    </row>
    <row r="14" spans="1:26" ht="12.75" customHeight="1">
      <c r="A14" s="16"/>
      <c r="B14" s="105" t="s">
        <v>11</v>
      </c>
      <c r="C14" s="176">
        <v>0.01</v>
      </c>
      <c r="D14" s="176">
        <v>0.01</v>
      </c>
      <c r="E14" s="129">
        <v>0</v>
      </c>
      <c r="F14" s="129">
        <v>0.001</v>
      </c>
      <c r="G14" s="129">
        <v>0.001</v>
      </c>
      <c r="H14" s="129">
        <v>0</v>
      </c>
      <c r="I14" s="129">
        <v>0.001</v>
      </c>
      <c r="J14" s="129">
        <v>0</v>
      </c>
      <c r="K14" s="129">
        <v>0</v>
      </c>
      <c r="L14" s="129">
        <v>0</v>
      </c>
      <c r="M14" s="129">
        <v>0</v>
      </c>
      <c r="N14" s="129">
        <v>0.002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282"/>
      <c r="Z14" s="105" t="s">
        <v>11</v>
      </c>
    </row>
    <row r="15" spans="1:26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280"/>
      <c r="Z15" s="18" t="s">
        <v>30</v>
      </c>
    </row>
    <row r="16" spans="1:26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29" t="s">
        <v>39</v>
      </c>
      <c r="R16" s="129" t="s">
        <v>39</v>
      </c>
      <c r="S16" s="129" t="s">
        <v>39</v>
      </c>
      <c r="T16" s="129" t="s">
        <v>39</v>
      </c>
      <c r="U16" s="129" t="s">
        <v>39</v>
      </c>
      <c r="V16" s="129" t="s">
        <v>39</v>
      </c>
      <c r="W16" s="129" t="s">
        <v>39</v>
      </c>
      <c r="X16" s="129" t="s">
        <v>39</v>
      </c>
      <c r="Y16" s="192"/>
      <c r="Z16" s="105" t="s">
        <v>22</v>
      </c>
    </row>
    <row r="17" spans="1:26" ht="12.75" customHeight="1">
      <c r="A17" s="16"/>
      <c r="B17" s="18" t="s">
        <v>28</v>
      </c>
      <c r="C17" s="163" t="s">
        <v>39</v>
      </c>
      <c r="D17" s="163" t="s">
        <v>39</v>
      </c>
      <c r="E17" s="153" t="s">
        <v>39</v>
      </c>
      <c r="F17" s="153" t="s">
        <v>39</v>
      </c>
      <c r="G17" s="153" t="s">
        <v>39</v>
      </c>
      <c r="H17" s="153" t="s">
        <v>39</v>
      </c>
      <c r="I17" s="153" t="s">
        <v>39</v>
      </c>
      <c r="J17" s="153" t="s">
        <v>39</v>
      </c>
      <c r="K17" s="153" t="s">
        <v>39</v>
      </c>
      <c r="L17" s="153" t="s">
        <v>39</v>
      </c>
      <c r="M17" s="153" t="s">
        <v>39</v>
      </c>
      <c r="N17" s="153" t="s">
        <v>39</v>
      </c>
      <c r="O17" s="153" t="s">
        <v>39</v>
      </c>
      <c r="P17" s="153" t="s">
        <v>39</v>
      </c>
      <c r="Q17" s="153" t="s">
        <v>39</v>
      </c>
      <c r="R17" s="153" t="s">
        <v>39</v>
      </c>
      <c r="S17" s="153" t="s">
        <v>39</v>
      </c>
      <c r="T17" s="153" t="s">
        <v>39</v>
      </c>
      <c r="U17" s="153" t="s">
        <v>39</v>
      </c>
      <c r="V17" s="153" t="s">
        <v>39</v>
      </c>
      <c r="W17" s="153" t="s">
        <v>39</v>
      </c>
      <c r="X17" s="153" t="s">
        <v>39</v>
      </c>
      <c r="Y17" s="166"/>
      <c r="Z17" s="18" t="s">
        <v>28</v>
      </c>
    </row>
    <row r="18" spans="1:26" ht="12.75" customHeight="1">
      <c r="A18" s="16"/>
      <c r="B18" s="105" t="s">
        <v>29</v>
      </c>
      <c r="C18" s="176">
        <v>12.229</v>
      </c>
      <c r="D18" s="172">
        <v>10.869</v>
      </c>
      <c r="E18" s="129">
        <v>7.581033087</v>
      </c>
      <c r="F18" s="129">
        <v>8.346546523</v>
      </c>
      <c r="G18" s="129">
        <v>8.631432177</v>
      </c>
      <c r="H18" s="129">
        <v>7.684228969</v>
      </c>
      <c r="I18" s="129">
        <v>7.235301561</v>
      </c>
      <c r="J18" s="129">
        <v>6.63</v>
      </c>
      <c r="K18" s="129">
        <v>6.027</v>
      </c>
      <c r="L18" s="129">
        <v>7.058</v>
      </c>
      <c r="M18" s="129">
        <v>7.936</v>
      </c>
      <c r="N18" s="129">
        <v>8.478</v>
      </c>
      <c r="O18" s="129">
        <v>9.11</v>
      </c>
      <c r="P18" s="129">
        <v>8.294</v>
      </c>
      <c r="Q18" s="129">
        <v>8.269</v>
      </c>
      <c r="R18" s="129">
        <v>8.024</v>
      </c>
      <c r="S18" s="129">
        <v>8.416</v>
      </c>
      <c r="T18" s="129">
        <v>8.905</v>
      </c>
      <c r="U18" s="129">
        <v>9.005</v>
      </c>
      <c r="V18" s="129">
        <v>9.208</v>
      </c>
      <c r="W18" s="129">
        <v>8.896</v>
      </c>
      <c r="X18" s="129">
        <v>8.711</v>
      </c>
      <c r="Y18" s="282">
        <f t="shared" si="3"/>
        <v>-2.079586330935257</v>
      </c>
      <c r="Z18" s="105" t="s">
        <v>29</v>
      </c>
    </row>
    <row r="19" spans="1:26" ht="12.75" customHeight="1">
      <c r="A19" s="16"/>
      <c r="B19" s="18" t="s">
        <v>31</v>
      </c>
      <c r="C19" s="162">
        <v>0.35</v>
      </c>
      <c r="D19" s="162">
        <v>0.203</v>
      </c>
      <c r="E19" s="121">
        <v>0.118</v>
      </c>
      <c r="F19" s="121">
        <v>0.09</v>
      </c>
      <c r="G19" s="121">
        <v>0.07</v>
      </c>
      <c r="H19" s="121">
        <v>0.097</v>
      </c>
      <c r="I19" s="121">
        <v>0.108</v>
      </c>
      <c r="J19" s="121">
        <v>0.135308</v>
      </c>
      <c r="K19" s="121">
        <v>0.125092</v>
      </c>
      <c r="L19" s="121">
        <v>0.201427</v>
      </c>
      <c r="M19" s="121">
        <v>0.126141</v>
      </c>
      <c r="N19" s="121">
        <v>0.177299</v>
      </c>
      <c r="O19" s="121">
        <v>0.169566</v>
      </c>
      <c r="P19" s="121">
        <v>0.161024</v>
      </c>
      <c r="Q19" s="121">
        <v>0.090063</v>
      </c>
      <c r="R19" s="121">
        <v>0.09082</v>
      </c>
      <c r="S19" s="121">
        <v>0.10983</v>
      </c>
      <c r="T19" s="121">
        <v>0.08875</v>
      </c>
      <c r="U19" s="121">
        <v>0.075974</v>
      </c>
      <c r="V19" s="121">
        <v>0.093</v>
      </c>
      <c r="W19" s="121">
        <v>0.064</v>
      </c>
      <c r="X19" s="121">
        <v>0.054</v>
      </c>
      <c r="Y19" s="165">
        <f t="shared" si="3"/>
        <v>-15.625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0.05</v>
      </c>
      <c r="D21" s="162">
        <v>0.09</v>
      </c>
      <c r="E21" s="121" t="s">
        <v>39</v>
      </c>
      <c r="F21" s="121" t="s">
        <v>39</v>
      </c>
      <c r="G21" s="121" t="s">
        <v>39</v>
      </c>
      <c r="H21" s="121" t="s">
        <v>39</v>
      </c>
      <c r="I21" s="121" t="s">
        <v>39</v>
      </c>
      <c r="J21" s="121" t="s">
        <v>39</v>
      </c>
      <c r="K21" s="121" t="s">
        <v>39</v>
      </c>
      <c r="L21" s="121" t="s">
        <v>39</v>
      </c>
      <c r="M21" s="121" t="s">
        <v>39</v>
      </c>
      <c r="N21" s="121" t="s">
        <v>39</v>
      </c>
      <c r="O21" s="121" t="s">
        <v>39</v>
      </c>
      <c r="P21" s="121" t="s">
        <v>39</v>
      </c>
      <c r="Q21" s="121" t="s">
        <v>39</v>
      </c>
      <c r="R21" s="121" t="s">
        <v>39</v>
      </c>
      <c r="S21" s="121" t="s">
        <v>39</v>
      </c>
      <c r="T21" s="121" t="s">
        <v>39</v>
      </c>
      <c r="U21" s="121" t="s">
        <v>39</v>
      </c>
      <c r="V21" s="121" t="s">
        <v>39</v>
      </c>
      <c r="W21" s="121" t="s">
        <v>39</v>
      </c>
      <c r="X21" s="121" t="s">
        <v>39</v>
      </c>
      <c r="Y21" s="281"/>
      <c r="Z21" s="18" t="s">
        <v>13</v>
      </c>
    </row>
    <row r="22" spans="1:26" ht="12.75" customHeight="1">
      <c r="A22" s="16"/>
      <c r="B22" s="105" t="s">
        <v>14</v>
      </c>
      <c r="C22" s="176">
        <v>0.12</v>
      </c>
      <c r="D22" s="176">
        <v>0.15</v>
      </c>
      <c r="E22" s="129">
        <v>0.164</v>
      </c>
      <c r="F22" s="129">
        <v>0.141</v>
      </c>
      <c r="G22" s="129">
        <v>0.045</v>
      </c>
      <c r="H22" s="129">
        <v>0.05</v>
      </c>
      <c r="I22" s="129">
        <v>0.03</v>
      </c>
      <c r="J22" s="129">
        <v>0.018</v>
      </c>
      <c r="K22" s="129">
        <v>0.007</v>
      </c>
      <c r="L22" s="129">
        <v>0.009</v>
      </c>
      <c r="M22" s="129">
        <v>0.014</v>
      </c>
      <c r="N22" s="129">
        <v>0.003</v>
      </c>
      <c r="O22" s="129">
        <v>0.0014835999999999998</v>
      </c>
      <c r="P22" s="129">
        <v>0.0005356000000000001</v>
      </c>
      <c r="Q22" s="129">
        <v>0.000515</v>
      </c>
      <c r="R22" s="129">
        <v>0.0006651999999999999</v>
      </c>
      <c r="S22" s="129">
        <v>0.000621</v>
      </c>
      <c r="T22" s="129">
        <v>0.0013244</v>
      </c>
      <c r="U22" s="129">
        <v>0.0017951</v>
      </c>
      <c r="V22" s="129">
        <v>0.010973</v>
      </c>
      <c r="W22" s="129">
        <v>0.0126144</v>
      </c>
      <c r="X22" s="129">
        <v>0.003</v>
      </c>
      <c r="Y22" s="282">
        <f t="shared" si="3"/>
        <v>-76.21765601217656</v>
      </c>
      <c r="Z22" s="105" t="s">
        <v>14</v>
      </c>
    </row>
    <row r="23" spans="1:26" ht="12.75" customHeight="1">
      <c r="A23" s="16"/>
      <c r="B23" s="18" t="s">
        <v>32</v>
      </c>
      <c r="C23" s="162">
        <v>0.302</v>
      </c>
      <c r="D23" s="162">
        <v>0.331</v>
      </c>
      <c r="E23" s="121">
        <v>0.362297836</v>
      </c>
      <c r="F23" s="121">
        <v>0.340424046</v>
      </c>
      <c r="G23" s="121">
        <v>0.338</v>
      </c>
      <c r="H23" s="121">
        <v>0.323</v>
      </c>
      <c r="I23" s="121">
        <v>0.317</v>
      </c>
      <c r="J23" s="121">
        <v>0.338</v>
      </c>
      <c r="K23" s="121">
        <v>0.321</v>
      </c>
      <c r="L23" s="121">
        <v>0.356</v>
      </c>
      <c r="M23" s="121">
        <v>0.369</v>
      </c>
      <c r="N23" s="121">
        <v>0.351</v>
      </c>
      <c r="O23" s="121">
        <v>0.378</v>
      </c>
      <c r="P23" s="121">
        <v>0.371</v>
      </c>
      <c r="Q23" s="121">
        <v>0.37</v>
      </c>
      <c r="R23" s="121">
        <v>0.316</v>
      </c>
      <c r="S23" s="121">
        <v>0.37</v>
      </c>
      <c r="T23" s="121">
        <v>0.342</v>
      </c>
      <c r="U23" s="121">
        <v>0.381</v>
      </c>
      <c r="V23" s="121">
        <v>0.345</v>
      </c>
      <c r="W23" s="121">
        <v>0.367</v>
      </c>
      <c r="X23" s="121">
        <v>0.279</v>
      </c>
      <c r="Y23" s="165">
        <f t="shared" si="3"/>
        <v>-23.978201634877372</v>
      </c>
      <c r="Z23" s="18" t="s">
        <v>32</v>
      </c>
    </row>
    <row r="24" spans="1:26" ht="12.75" customHeight="1">
      <c r="A24" s="16"/>
      <c r="B24" s="105" t="s">
        <v>12</v>
      </c>
      <c r="C24" s="176">
        <v>1.76</v>
      </c>
      <c r="D24" s="176">
        <v>2.15</v>
      </c>
      <c r="E24" s="128">
        <v>2.04</v>
      </c>
      <c r="F24" s="129">
        <v>1.72</v>
      </c>
      <c r="G24" s="129">
        <v>1.6</v>
      </c>
      <c r="H24" s="129">
        <v>1.62</v>
      </c>
      <c r="I24" s="129">
        <v>1.35</v>
      </c>
      <c r="J24" s="129">
        <v>1.211</v>
      </c>
      <c r="K24" s="129">
        <v>1.397</v>
      </c>
      <c r="L24" s="129">
        <v>1.441</v>
      </c>
      <c r="M24" s="129">
        <v>1.56</v>
      </c>
      <c r="N24" s="129">
        <v>0.958</v>
      </c>
      <c r="O24" s="129">
        <v>0.891</v>
      </c>
      <c r="P24" s="129">
        <v>1.087</v>
      </c>
      <c r="Q24" s="129">
        <v>1.407</v>
      </c>
      <c r="R24" s="129">
        <v>1.517</v>
      </c>
      <c r="S24" s="129">
        <v>1.904</v>
      </c>
      <c r="T24" s="129">
        <v>2.11</v>
      </c>
      <c r="U24" s="129">
        <v>1.913</v>
      </c>
      <c r="V24" s="129">
        <v>2.212</v>
      </c>
      <c r="W24" s="129">
        <v>2.25</v>
      </c>
      <c r="X24" s="129">
        <v>1.831</v>
      </c>
      <c r="Y24" s="282">
        <f t="shared" si="3"/>
        <v>-18.622222222222227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30.618</v>
      </c>
      <c r="D26" s="176">
        <v>33.479</v>
      </c>
      <c r="E26" s="128">
        <v>35.661</v>
      </c>
      <c r="F26" s="129">
        <v>34.755</v>
      </c>
      <c r="G26" s="129">
        <v>33.53</v>
      </c>
      <c r="H26" s="129">
        <v>32.058</v>
      </c>
      <c r="I26" s="129">
        <v>36.011</v>
      </c>
      <c r="J26" s="129">
        <v>35.457</v>
      </c>
      <c r="K26" s="129">
        <v>35.513</v>
      </c>
      <c r="L26" s="129">
        <v>40.986</v>
      </c>
      <c r="M26" s="129">
        <v>40.683</v>
      </c>
      <c r="N26" s="129">
        <v>41.428</v>
      </c>
      <c r="O26" s="129">
        <v>41.271</v>
      </c>
      <c r="P26" s="129">
        <v>41.793</v>
      </c>
      <c r="Q26" s="129">
        <v>40.983</v>
      </c>
      <c r="R26" s="129">
        <v>39.031</v>
      </c>
      <c r="S26" s="129">
        <v>43.049</v>
      </c>
      <c r="T26" s="129">
        <v>42.233</v>
      </c>
      <c r="U26" s="129">
        <v>42.215</v>
      </c>
      <c r="V26" s="129">
        <v>45.995</v>
      </c>
      <c r="W26" s="129">
        <v>45.296</v>
      </c>
      <c r="X26" s="129">
        <v>35.656</v>
      </c>
      <c r="Y26" s="282">
        <f t="shared" si="3"/>
        <v>-21.28223242670435</v>
      </c>
      <c r="Z26" s="64" t="s">
        <v>23</v>
      </c>
    </row>
    <row r="27" spans="1:26" ht="12.75" customHeight="1">
      <c r="A27" s="16"/>
      <c r="B27" s="18" t="s">
        <v>33</v>
      </c>
      <c r="C27" s="162">
        <v>1.293</v>
      </c>
      <c r="D27" s="162">
        <v>1.557</v>
      </c>
      <c r="E27" s="121">
        <v>1.663</v>
      </c>
      <c r="F27" s="121">
        <v>1.48</v>
      </c>
      <c r="G27" s="121">
        <v>1.437</v>
      </c>
      <c r="H27" s="121">
        <v>1.454</v>
      </c>
      <c r="I27" s="121">
        <v>1.82</v>
      </c>
      <c r="J27" s="121">
        <v>2.046</v>
      </c>
      <c r="K27" s="121">
        <v>2.101</v>
      </c>
      <c r="L27" s="121">
        <v>2.087</v>
      </c>
      <c r="M27" s="121">
        <v>2.28</v>
      </c>
      <c r="N27" s="121">
        <v>2.231</v>
      </c>
      <c r="O27" s="121">
        <v>2.444</v>
      </c>
      <c r="P27" s="121">
        <v>2.557</v>
      </c>
      <c r="Q27" s="121">
        <v>2.846</v>
      </c>
      <c r="R27" s="121">
        <v>2.276</v>
      </c>
      <c r="S27" s="121">
        <v>1.747</v>
      </c>
      <c r="T27" s="121">
        <v>1.753</v>
      </c>
      <c r="U27" s="121">
        <v>1.837</v>
      </c>
      <c r="V27" s="121">
        <v>2.5966173990000003</v>
      </c>
      <c r="W27" s="121">
        <v>2.359</v>
      </c>
      <c r="X27" s="121">
        <v>2.003</v>
      </c>
      <c r="Y27" s="281">
        <f t="shared" si="3"/>
        <v>-15.091140313692241</v>
      </c>
      <c r="Z27" s="18" t="s">
        <v>33</v>
      </c>
    </row>
    <row r="28" spans="1:26" ht="12.75" customHeight="1">
      <c r="A28" s="16"/>
      <c r="B28" s="105" t="s">
        <v>16</v>
      </c>
      <c r="C28" s="176">
        <v>2.3</v>
      </c>
      <c r="D28" s="176">
        <v>2.33</v>
      </c>
      <c r="E28" s="129">
        <v>1.034</v>
      </c>
      <c r="F28" s="129">
        <v>0.74</v>
      </c>
      <c r="G28" s="129">
        <v>0.75</v>
      </c>
      <c r="H28" s="129">
        <v>0.66</v>
      </c>
      <c r="I28" s="129">
        <v>0.79</v>
      </c>
      <c r="J28" s="129">
        <v>0.88</v>
      </c>
      <c r="K28" s="129">
        <v>0.85</v>
      </c>
      <c r="L28" s="129">
        <v>0.93</v>
      </c>
      <c r="M28" s="129">
        <v>1.1</v>
      </c>
      <c r="N28" s="129">
        <v>1.028</v>
      </c>
      <c r="O28" s="129">
        <v>1.173</v>
      </c>
      <c r="P28" s="129">
        <v>1.264</v>
      </c>
      <c r="Q28" s="129">
        <v>1.126</v>
      </c>
      <c r="R28" s="172">
        <v>0.872</v>
      </c>
      <c r="S28" s="129">
        <v>0.37</v>
      </c>
      <c r="T28" s="129">
        <v>0.327</v>
      </c>
      <c r="U28" s="129">
        <v>0.289</v>
      </c>
      <c r="V28" s="129">
        <v>0.277</v>
      </c>
      <c r="W28" s="129">
        <v>0.277</v>
      </c>
      <c r="X28" s="129">
        <v>0.202</v>
      </c>
      <c r="Y28" s="282">
        <f t="shared" si="3"/>
        <v>-27.07581227436823</v>
      </c>
      <c r="Z28" s="105" t="s">
        <v>16</v>
      </c>
    </row>
    <row r="29" spans="1:26" ht="12.75" customHeight="1">
      <c r="A29" s="16"/>
      <c r="B29" s="18" t="s">
        <v>34</v>
      </c>
      <c r="C29" s="162" t="s">
        <v>39</v>
      </c>
      <c r="D29" s="162" t="s">
        <v>39</v>
      </c>
      <c r="E29" s="121" t="s">
        <v>39</v>
      </c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1" t="s">
        <v>39</v>
      </c>
      <c r="P29" s="121" t="s">
        <v>39</v>
      </c>
      <c r="Q29" s="121" t="s">
        <v>39</v>
      </c>
      <c r="R29" s="121" t="s">
        <v>39</v>
      </c>
      <c r="S29" s="121" t="s">
        <v>39</v>
      </c>
      <c r="T29" s="121" t="s">
        <v>39</v>
      </c>
      <c r="U29" s="121" t="s">
        <v>39</v>
      </c>
      <c r="V29" s="121" t="s">
        <v>39</v>
      </c>
      <c r="W29" s="121" t="s">
        <v>39</v>
      </c>
      <c r="X29" s="121" t="s">
        <v>39</v>
      </c>
      <c r="Y29" s="165"/>
      <c r="Z29" s="18" t="s">
        <v>34</v>
      </c>
    </row>
    <row r="30" spans="1:26" ht="12.75" customHeight="1">
      <c r="A30" s="16"/>
      <c r="B30" s="105" t="s">
        <v>17</v>
      </c>
      <c r="C30" s="176">
        <v>1.35</v>
      </c>
      <c r="D30" s="176">
        <v>2.35</v>
      </c>
      <c r="E30" s="129">
        <v>2.09</v>
      </c>
      <c r="F30" s="129">
        <v>2.03</v>
      </c>
      <c r="G30" s="129">
        <v>1.89</v>
      </c>
      <c r="H30" s="129">
        <v>1.59</v>
      </c>
      <c r="I30" s="129">
        <v>1.9</v>
      </c>
      <c r="J30" s="129">
        <v>3.11</v>
      </c>
      <c r="K30" s="129">
        <v>3.77</v>
      </c>
      <c r="L30" s="129">
        <v>4.33</v>
      </c>
      <c r="M30" s="129">
        <v>4.203</v>
      </c>
      <c r="N30" s="129">
        <v>2.802</v>
      </c>
      <c r="O30" s="129">
        <v>2.634</v>
      </c>
      <c r="P30" s="129">
        <v>2.746</v>
      </c>
      <c r="Q30" s="129">
        <v>3.641</v>
      </c>
      <c r="R30" s="172">
        <v>3.521</v>
      </c>
      <c r="S30" s="129">
        <v>6.955</v>
      </c>
      <c r="T30" s="129">
        <v>8.435</v>
      </c>
      <c r="U30" s="129">
        <v>8.157</v>
      </c>
      <c r="V30" s="129">
        <f>4.355+3.8</f>
        <v>8.155000000000001</v>
      </c>
      <c r="W30" s="129">
        <f>4.623+3.983</f>
        <v>8.606</v>
      </c>
      <c r="X30" s="129">
        <f>2.198+4.39</f>
        <v>6.587999999999999</v>
      </c>
      <c r="Y30" s="192">
        <f t="shared" si="3"/>
        <v>-23.448756681385085</v>
      </c>
      <c r="Z30" s="105" t="s">
        <v>17</v>
      </c>
    </row>
    <row r="31" spans="1:26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21" t="s">
        <v>39</v>
      </c>
      <c r="Y31" s="280"/>
      <c r="Z31" s="18" t="s">
        <v>19</v>
      </c>
    </row>
    <row r="32" spans="1:26" ht="12.75" customHeight="1">
      <c r="A32" s="16"/>
      <c r="B32" s="105" t="s">
        <v>18</v>
      </c>
      <c r="C32" s="176"/>
      <c r="D32" s="176"/>
      <c r="E32" s="129"/>
      <c r="F32" s="129"/>
      <c r="G32" s="129"/>
      <c r="H32" s="129"/>
      <c r="I32" s="129">
        <v>0.8461</v>
      </c>
      <c r="J32" s="129">
        <v>1.4682</v>
      </c>
      <c r="K32" s="129">
        <v>1.5979</v>
      </c>
      <c r="L32" s="129">
        <v>1.5193</v>
      </c>
      <c r="M32" s="129">
        <v>1.5269</v>
      </c>
      <c r="N32" s="129">
        <v>1.6626</v>
      </c>
      <c r="O32" s="129">
        <v>1.3793</v>
      </c>
      <c r="P32" s="129">
        <v>0.9952</v>
      </c>
      <c r="Q32" s="129">
        <v>0.5997</v>
      </c>
      <c r="R32" s="129">
        <v>0.5225</v>
      </c>
      <c r="S32" s="129">
        <v>0.741</v>
      </c>
      <c r="T32" s="129">
        <v>0.7403</v>
      </c>
      <c r="U32" s="129">
        <v>0.6488</v>
      </c>
      <c r="V32" s="129">
        <v>1.004</v>
      </c>
      <c r="W32" s="129">
        <v>1.101</v>
      </c>
      <c r="X32" s="129">
        <v>0.899</v>
      </c>
      <c r="Y32" s="282">
        <f t="shared" si="3"/>
        <v>-18.34695731153496</v>
      </c>
      <c r="Z32" s="105" t="s">
        <v>18</v>
      </c>
    </row>
    <row r="33" spans="1:26" ht="12.75" customHeight="1">
      <c r="A33" s="16"/>
      <c r="B33" s="18" t="s">
        <v>35</v>
      </c>
      <c r="C33" s="163">
        <v>2</v>
      </c>
      <c r="D33" s="163">
        <v>1.8</v>
      </c>
      <c r="E33" s="153">
        <v>1.1</v>
      </c>
      <c r="F33" s="153">
        <v>0.8</v>
      </c>
      <c r="G33" s="153">
        <v>0.5</v>
      </c>
      <c r="H33" s="153">
        <v>0.4</v>
      </c>
      <c r="I33" s="158">
        <v>0.3</v>
      </c>
      <c r="J33" s="153">
        <v>0.077</v>
      </c>
      <c r="K33" s="153">
        <v>0.1</v>
      </c>
      <c r="L33" s="153">
        <v>0.1</v>
      </c>
      <c r="M33" s="153">
        <v>0.118</v>
      </c>
      <c r="N33" s="153">
        <v>0.118</v>
      </c>
      <c r="O33" s="153">
        <v>0.118</v>
      </c>
      <c r="P33" s="153">
        <v>0.101</v>
      </c>
      <c r="Q33" s="153">
        <v>0.112</v>
      </c>
      <c r="R33" s="153">
        <v>0.109</v>
      </c>
      <c r="S33" s="153">
        <v>0.118</v>
      </c>
      <c r="T33" s="153">
        <v>0.075</v>
      </c>
      <c r="U33" s="153">
        <v>0.066</v>
      </c>
      <c r="V33" s="153">
        <v>0.101</v>
      </c>
      <c r="W33" s="153">
        <v>0.08</v>
      </c>
      <c r="X33" s="153">
        <v>0.061</v>
      </c>
      <c r="Y33" s="280">
        <f t="shared" si="3"/>
        <v>-23.750000000000004</v>
      </c>
      <c r="Z33" s="18" t="s">
        <v>35</v>
      </c>
    </row>
    <row r="34" spans="1:26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282"/>
      <c r="Z34" s="105" t="s">
        <v>36</v>
      </c>
    </row>
    <row r="35" spans="1:26" ht="12.75" customHeight="1">
      <c r="A35" s="16"/>
      <c r="B35" s="19" t="s">
        <v>24</v>
      </c>
      <c r="C35" s="163">
        <v>0.3</v>
      </c>
      <c r="D35" s="163">
        <v>0.4</v>
      </c>
      <c r="E35" s="153">
        <v>0.3</v>
      </c>
      <c r="F35" s="153">
        <v>0.2</v>
      </c>
      <c r="G35" s="153">
        <v>0.19</v>
      </c>
      <c r="H35" s="153">
        <v>0.2</v>
      </c>
      <c r="I35" s="153">
        <v>0.2</v>
      </c>
      <c r="J35" s="153">
        <v>0.2</v>
      </c>
      <c r="K35" s="153">
        <v>0.18</v>
      </c>
      <c r="L35" s="153">
        <v>0.15</v>
      </c>
      <c r="M35" s="153">
        <v>0.15</v>
      </c>
      <c r="N35" s="153">
        <v>0.16</v>
      </c>
      <c r="O35" s="153">
        <v>0.21</v>
      </c>
      <c r="P35" s="153">
        <v>0.19</v>
      </c>
      <c r="Q35" s="153">
        <v>0.18</v>
      </c>
      <c r="R35" s="153">
        <v>0.18</v>
      </c>
      <c r="S35" s="153">
        <v>0.15</v>
      </c>
      <c r="T35" s="153">
        <v>0.17</v>
      </c>
      <c r="U35" s="153">
        <v>0.16</v>
      </c>
      <c r="V35" s="153">
        <v>0.162</v>
      </c>
      <c r="W35" s="153">
        <v>0.149</v>
      </c>
      <c r="X35" s="153">
        <v>0.155</v>
      </c>
      <c r="Y35" s="284">
        <f t="shared" si="3"/>
        <v>4.026845637583887</v>
      </c>
      <c r="Z35" s="19" t="s">
        <v>24</v>
      </c>
    </row>
    <row r="36" spans="1:26" ht="12.75" customHeight="1">
      <c r="A36" s="16"/>
      <c r="B36" s="105" t="s">
        <v>40</v>
      </c>
      <c r="C36" s="196">
        <v>0.3</v>
      </c>
      <c r="D36" s="196">
        <v>0.6</v>
      </c>
      <c r="E36" s="170">
        <v>0.5</v>
      </c>
      <c r="F36" s="170" t="s">
        <v>38</v>
      </c>
      <c r="G36" s="170" t="s">
        <v>38</v>
      </c>
      <c r="H36" s="170" t="s">
        <v>38</v>
      </c>
      <c r="I36" s="170" t="s">
        <v>38</v>
      </c>
      <c r="J36" s="170">
        <v>0.033</v>
      </c>
      <c r="K36" s="170">
        <v>0.022</v>
      </c>
      <c r="L36" s="170">
        <v>0.022</v>
      </c>
      <c r="M36" s="170">
        <v>0.053</v>
      </c>
      <c r="N36" s="170">
        <v>0.052</v>
      </c>
      <c r="O36" s="170">
        <v>0.063536</v>
      </c>
      <c r="P36" s="170">
        <v>0.077484</v>
      </c>
      <c r="Q36" s="170">
        <v>0.089745</v>
      </c>
      <c r="R36" s="170">
        <v>0.1001</v>
      </c>
      <c r="S36" s="170">
        <v>0.1787</v>
      </c>
      <c r="T36" s="170">
        <v>0.1186</v>
      </c>
      <c r="U36" s="170">
        <v>0.1164</v>
      </c>
      <c r="V36" s="170">
        <v>0.108961285</v>
      </c>
      <c r="W36" s="371">
        <v>0.842</v>
      </c>
      <c r="X36" s="170">
        <v>0.727</v>
      </c>
      <c r="Y36" s="194">
        <f t="shared" si="3"/>
        <v>-13.657957244655583</v>
      </c>
      <c r="Z36" s="105" t="s">
        <v>40</v>
      </c>
    </row>
    <row r="37" spans="1:26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1" t="s">
        <v>39</v>
      </c>
      <c r="R37" s="121" t="s">
        <v>39</v>
      </c>
      <c r="S37" s="121" t="s">
        <v>39</v>
      </c>
      <c r="T37" s="121" t="s">
        <v>39</v>
      </c>
      <c r="U37" s="121" t="s">
        <v>39</v>
      </c>
      <c r="V37" s="121" t="s">
        <v>39</v>
      </c>
      <c r="W37" s="121" t="s">
        <v>39</v>
      </c>
      <c r="X37" s="121" t="s">
        <v>39</v>
      </c>
      <c r="Y37" s="280"/>
      <c r="Z37" s="18" t="s">
        <v>4</v>
      </c>
    </row>
    <row r="38" spans="1:26" ht="12.75" customHeight="1">
      <c r="A38" s="16"/>
      <c r="B38" s="108" t="s">
        <v>20</v>
      </c>
      <c r="C38" s="179" t="s">
        <v>39</v>
      </c>
      <c r="D38" s="179" t="s">
        <v>39</v>
      </c>
      <c r="E38" s="132" t="s">
        <v>39</v>
      </c>
      <c r="F38" s="132" t="s">
        <v>39</v>
      </c>
      <c r="G38" s="132" t="s">
        <v>39</v>
      </c>
      <c r="H38" s="132" t="s">
        <v>39</v>
      </c>
      <c r="I38" s="132" t="s">
        <v>39</v>
      </c>
      <c r="J38" s="132" t="s">
        <v>39</v>
      </c>
      <c r="K38" s="132" t="s">
        <v>39</v>
      </c>
      <c r="L38" s="132" t="s">
        <v>39</v>
      </c>
      <c r="M38" s="132" t="s">
        <v>39</v>
      </c>
      <c r="N38" s="132" t="s">
        <v>39</v>
      </c>
      <c r="O38" s="132" t="s">
        <v>39</v>
      </c>
      <c r="P38" s="132" t="s">
        <v>39</v>
      </c>
      <c r="Q38" s="132" t="s">
        <v>39</v>
      </c>
      <c r="R38" s="132" t="s">
        <v>39</v>
      </c>
      <c r="S38" s="132" t="s">
        <v>39</v>
      </c>
      <c r="T38" s="132" t="s">
        <v>39</v>
      </c>
      <c r="U38" s="132" t="s">
        <v>39</v>
      </c>
      <c r="V38" s="132" t="s">
        <v>39</v>
      </c>
      <c r="W38" s="132" t="s">
        <v>39</v>
      </c>
      <c r="X38" s="132" t="s">
        <v>39</v>
      </c>
      <c r="Y38" s="285"/>
      <c r="Z38" s="108" t="s">
        <v>20</v>
      </c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 t="s">
        <v>39</v>
      </c>
      <c r="F40" s="129" t="s">
        <v>39</v>
      </c>
      <c r="G40" s="129" t="s">
        <v>39</v>
      </c>
      <c r="H40" s="129" t="s">
        <v>39</v>
      </c>
      <c r="I40" s="129" t="s">
        <v>39</v>
      </c>
      <c r="J40" s="129" t="s">
        <v>39</v>
      </c>
      <c r="K40" s="129" t="s">
        <v>39</v>
      </c>
      <c r="L40" s="129" t="s">
        <v>39</v>
      </c>
      <c r="M40" s="129" t="s">
        <v>39</v>
      </c>
      <c r="N40" s="129" t="s">
        <v>39</v>
      </c>
      <c r="O40" s="129" t="s">
        <v>39</v>
      </c>
      <c r="P40" s="129" t="s">
        <v>39</v>
      </c>
      <c r="Q40" s="129" t="s">
        <v>39</v>
      </c>
      <c r="R40" s="129" t="s">
        <v>39</v>
      </c>
      <c r="S40" s="129" t="s">
        <v>39</v>
      </c>
      <c r="T40" s="129" t="s">
        <v>39</v>
      </c>
      <c r="U40" s="129" t="s">
        <v>39</v>
      </c>
      <c r="V40" s="129" t="s">
        <v>39</v>
      </c>
      <c r="W40" s="129" t="s">
        <v>39</v>
      </c>
      <c r="X40" s="129" t="s">
        <v>39</v>
      </c>
      <c r="Y40" s="192"/>
      <c r="Z40" s="105" t="s">
        <v>37</v>
      </c>
    </row>
    <row r="41" spans="1:26" ht="12.75" customHeight="1">
      <c r="A41" s="16"/>
      <c r="B41" s="19" t="s">
        <v>7</v>
      </c>
      <c r="C41" s="164">
        <v>0.139</v>
      </c>
      <c r="D41" s="164">
        <v>0.125</v>
      </c>
      <c r="E41" s="322">
        <v>0.196</v>
      </c>
      <c r="F41" s="124">
        <v>0.19</v>
      </c>
      <c r="G41" s="124">
        <v>0.18</v>
      </c>
      <c r="H41" s="124">
        <v>0.17</v>
      </c>
      <c r="I41" s="187">
        <v>0.16</v>
      </c>
      <c r="J41" s="321">
        <v>0.0472</v>
      </c>
      <c r="K41" s="124">
        <v>0.0436</v>
      </c>
      <c r="L41" s="124">
        <v>0.0487</v>
      </c>
      <c r="M41" s="124">
        <v>0.049</v>
      </c>
      <c r="N41" s="124">
        <v>0.0417</v>
      </c>
      <c r="O41" s="124">
        <v>0.0521</v>
      </c>
      <c r="P41" s="124">
        <v>0.0555</v>
      </c>
      <c r="Q41" s="124">
        <v>0.0521</v>
      </c>
      <c r="R41" s="124">
        <v>0.0444</v>
      </c>
      <c r="S41" s="124">
        <v>0.0451</v>
      </c>
      <c r="T41" s="124">
        <v>0.0466</v>
      </c>
      <c r="U41" s="124">
        <v>0.042</v>
      </c>
      <c r="V41" s="124">
        <v>0.0453</v>
      </c>
      <c r="W41" s="124">
        <v>0.04265</v>
      </c>
      <c r="X41" s="124">
        <f>0.041</f>
        <v>0.041</v>
      </c>
      <c r="Y41" s="168">
        <f t="shared" si="3"/>
        <v>-3.86869871043376</v>
      </c>
      <c r="Z41" s="19" t="s">
        <v>7</v>
      </c>
    </row>
    <row r="42" spans="2:26" ht="27.75" customHeight="1">
      <c r="B42" s="392" t="s">
        <v>95</v>
      </c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</row>
    <row r="43" spans="2:19" ht="12.75" customHeight="1">
      <c r="B43" s="390" t="s">
        <v>3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</row>
    <row r="44" spans="1:26" s="54" customFormat="1" ht="12.75" customHeight="1">
      <c r="A44" s="95"/>
      <c r="B44" s="319" t="s">
        <v>59</v>
      </c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W44" s="318"/>
      <c r="X44" s="318"/>
      <c r="Y44" s="318"/>
      <c r="Z44" s="318"/>
    </row>
    <row r="45" spans="1:26" s="54" customFormat="1" ht="12.75" customHeight="1">
      <c r="A45" s="95"/>
      <c r="B45" s="317" t="s">
        <v>88</v>
      </c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</row>
    <row r="46" spans="2:22" ht="12.75">
      <c r="B46" s="137" t="s">
        <v>107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8"/>
      <c r="U46" s="318"/>
      <c r="V46" s="318"/>
    </row>
    <row r="47" spans="2:16" ht="12.75">
      <c r="B47" s="11" t="s">
        <v>143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12.75">
      <c r="B48" s="11" t="s">
        <v>144</v>
      </c>
      <c r="C48"/>
      <c r="D48"/>
      <c r="E48"/>
      <c r="F48"/>
      <c r="G48"/>
      <c r="H48"/>
      <c r="I48"/>
      <c r="J48"/>
      <c r="K48"/>
      <c r="L48"/>
      <c r="M48"/>
      <c r="N48" s="373">
        <v>2000</v>
      </c>
      <c r="O48"/>
      <c r="P48"/>
    </row>
  </sheetData>
  <mergeCells count="4">
    <mergeCell ref="B43:S43"/>
    <mergeCell ref="B2:Z2"/>
    <mergeCell ref="W3:X3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2010-05-05T11:13:37Z</cp:lastPrinted>
  <dcterms:created xsi:type="dcterms:W3CDTF">2003-09-05T14:33:05Z</dcterms:created>
  <dcterms:modified xsi:type="dcterms:W3CDTF">2011-06-01T13:53:03Z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