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9105" yWindow="-225" windowWidth="14640" windowHeight="12105" tabRatio="882" activeTab="11"/>
  </bookViews>
  <sheets>
    <sheet name="T2.2" sheetId="58" r:id="rId1"/>
    <sheet name="freight_graph" sheetId="59" r:id="rId2"/>
    <sheet name="perf_mode_tkm" sheetId="60" r:id="rId3"/>
    <sheet name="perf_land _tkm" sheetId="144" r:id="rId4"/>
    <sheet name="road_by_nat" sheetId="63" r:id="rId5"/>
    <sheet name="road_by_int" sheetId="64" r:id="rId6"/>
    <sheet name="road_by_tot" sheetId="65" r:id="rId7"/>
    <sheet name="road_ter" sheetId="146" r:id="rId8"/>
    <sheet name="rail_tkm" sheetId="66" r:id="rId9"/>
    <sheet name="iww" sheetId="67" r:id="rId10"/>
    <sheet name="pipeline" sheetId="68" r:id="rId11"/>
    <sheet name="usa_goods" sheetId="145"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iww!$B$1:$AF$47</definedName>
    <definedName name="_xlnm.Print_Area" localSheetId="3">'perf_land _tkm'!$B$1:$G$1</definedName>
    <definedName name="_xlnm.Print_Area" localSheetId="2">perf_mode_tkm!$B$1:$J$62</definedName>
    <definedName name="_xlnm.Print_Area" localSheetId="10">pipeline!$B$1:$AF$49</definedName>
    <definedName name="_xlnm.Print_Area" localSheetId="8">rail_tkm!$B$1:$AE$45</definedName>
    <definedName name="_xlnm.Print_Area" localSheetId="5">road_by_int!$B$1:$Y$51</definedName>
    <definedName name="_xlnm.Print_Area" localSheetId="4">road_by_nat!$B$1:$Y$48</definedName>
    <definedName name="_xlnm.Print_Area" localSheetId="6">road_by_tot!$B$1:$Y$53</definedName>
    <definedName name="_xlnm.Print_Area" localSheetId="7">road_ter!$B$1:$O$50</definedName>
    <definedName name="_xlnm.Print_Area" localSheetId="0">T2.2!$B$1:$E$27</definedName>
    <definedName name="_xlnm.Print_Area" localSheetId="11">usa_goods!$B$1:$G$82</definedName>
    <definedName name="Z_534C28F1_E90D_11D3_A4B3_0050041AE0D6_.wvu.Cols" localSheetId="11" hidden="1">usa_goods!#REF!</definedName>
  </definedNames>
  <calcPr calcId="145621"/>
</workbook>
</file>

<file path=xl/calcChain.xml><?xml version="1.0" encoding="utf-8"?>
<calcChain xmlns="http://schemas.openxmlformats.org/spreadsheetml/2006/main">
  <c r="V44" i="59" l="1"/>
  <c r="C44" i="59"/>
  <c r="I27" i="60" l="1"/>
  <c r="H32" i="60"/>
  <c r="G32" i="60"/>
  <c r="F32" i="60"/>
  <c r="E32" i="60"/>
  <c r="C32" i="60"/>
  <c r="D32" i="60"/>
  <c r="H31" i="60"/>
  <c r="G31" i="60"/>
  <c r="F31" i="60"/>
  <c r="E31" i="60"/>
  <c r="D31" i="60"/>
  <c r="C31" i="60"/>
  <c r="H30" i="60"/>
  <c r="G30" i="60"/>
  <c r="F30" i="60"/>
  <c r="E30" i="60"/>
  <c r="D30" i="60"/>
  <c r="C30" i="60"/>
  <c r="H29" i="60"/>
  <c r="G29" i="60"/>
  <c r="F29" i="60"/>
  <c r="E29" i="60"/>
  <c r="D29" i="60"/>
  <c r="C29" i="60"/>
  <c r="H28" i="60"/>
  <c r="G28" i="60"/>
  <c r="F28" i="60"/>
  <c r="E28" i="60"/>
  <c r="D28" i="60"/>
  <c r="C28" i="60"/>
  <c r="H58" i="60" l="1"/>
  <c r="F58" i="60"/>
  <c r="D58" i="60"/>
  <c r="G58" i="60"/>
  <c r="E58" i="60"/>
  <c r="C58" i="60"/>
  <c r="M45" i="146"/>
  <c r="M44" i="146"/>
  <c r="M37" i="146"/>
  <c r="M36" i="146"/>
  <c r="M35" i="146"/>
  <c r="M34" i="146"/>
  <c r="M33" i="146"/>
  <c r="M32" i="146"/>
  <c r="M31" i="146"/>
  <c r="M30" i="146"/>
  <c r="M29" i="146"/>
  <c r="M28" i="146"/>
  <c r="M26" i="146"/>
  <c r="M25" i="146"/>
  <c r="M24" i="146"/>
  <c r="M23" i="146"/>
  <c r="M22" i="146"/>
  <c r="M21" i="146"/>
  <c r="M20" i="146"/>
  <c r="M19" i="146"/>
  <c r="M18" i="146"/>
  <c r="M17" i="146"/>
  <c r="M16" i="146"/>
  <c r="M15" i="146"/>
  <c r="M14" i="146"/>
  <c r="M13" i="146"/>
  <c r="M12" i="146"/>
  <c r="M11" i="146"/>
  <c r="M10" i="146"/>
  <c r="M9" i="146"/>
  <c r="M8" i="146"/>
  <c r="M7" i="146"/>
  <c r="L8" i="146"/>
  <c r="K8" i="146"/>
  <c r="J8" i="146"/>
  <c r="I8" i="146"/>
  <c r="H8" i="146"/>
  <c r="G8" i="146"/>
  <c r="F8" i="146"/>
  <c r="E8" i="146"/>
  <c r="D8" i="146"/>
  <c r="C8" i="146"/>
  <c r="L9" i="146"/>
  <c r="K9" i="146"/>
  <c r="J9" i="146"/>
  <c r="I9" i="146"/>
  <c r="H9" i="146"/>
  <c r="G9" i="146"/>
  <c r="F9" i="146"/>
  <c r="E9" i="146"/>
  <c r="D9" i="146"/>
  <c r="C9" i="146"/>
  <c r="L7" i="146"/>
  <c r="K7" i="146"/>
  <c r="J7" i="146"/>
  <c r="I7" i="146"/>
  <c r="H7" i="146"/>
  <c r="G7" i="146"/>
  <c r="F7" i="146"/>
  <c r="E7" i="146"/>
  <c r="D7" i="146"/>
  <c r="C7" i="146"/>
  <c r="V38" i="65"/>
  <c r="W38" i="65" s="1"/>
  <c r="F53" i="145" l="1"/>
  <c r="E53" i="145"/>
  <c r="D53" i="145"/>
  <c r="F49" i="145"/>
  <c r="E49" i="145"/>
  <c r="D49" i="145"/>
  <c r="F48" i="145"/>
  <c r="C47" i="145"/>
  <c r="D47" i="145"/>
  <c r="E47" i="145"/>
  <c r="F47" i="145"/>
  <c r="G29" i="145"/>
  <c r="F81" i="145" s="1"/>
  <c r="C30" i="145"/>
  <c r="G30" i="145" s="1"/>
  <c r="F82" i="145" s="1"/>
  <c r="G28" i="145"/>
  <c r="C49" i="145" l="1"/>
  <c r="G49" i="145"/>
  <c r="C81" i="145"/>
  <c r="E81" i="145"/>
  <c r="C82" i="145"/>
  <c r="E82" i="145"/>
  <c r="C53" i="145"/>
  <c r="G53" i="145"/>
  <c r="D81" i="145"/>
  <c r="D82" i="145"/>
  <c r="AD44" i="68" l="1"/>
  <c r="AD43" i="68"/>
  <c r="AD41" i="68"/>
  <c r="AD40" i="68"/>
  <c r="AD31" i="68"/>
  <c r="AD29" i="68"/>
  <c r="AD28" i="68"/>
  <c r="AD27" i="68"/>
  <c r="AD25" i="68"/>
  <c r="AD23" i="68"/>
  <c r="AD22" i="68"/>
  <c r="AD20" i="68"/>
  <c r="AD19" i="68"/>
  <c r="AD18" i="68"/>
  <c r="AD17" i="68"/>
  <c r="AD13" i="68"/>
  <c r="AD12" i="68"/>
  <c r="AD11" i="68"/>
  <c r="AD10" i="68"/>
  <c r="AC36" i="68"/>
  <c r="AD36" i="68" s="1"/>
  <c r="AC9" i="68"/>
  <c r="AC7" i="68" s="1"/>
  <c r="AC16" i="68"/>
  <c r="AD16" i="68" s="1"/>
  <c r="AC30" i="68"/>
  <c r="AD30" i="68" s="1"/>
  <c r="AC6" i="68" l="1"/>
  <c r="AC8" i="68" s="1"/>
  <c r="AD9" i="68"/>
  <c r="AD40" i="67"/>
  <c r="AD36" i="67"/>
  <c r="AD34" i="67"/>
  <c r="AD33" i="67"/>
  <c r="AD31" i="67"/>
  <c r="AD29" i="67"/>
  <c r="AD28" i="67"/>
  <c r="AD27" i="67"/>
  <c r="AD25" i="67"/>
  <c r="AD24" i="67"/>
  <c r="AD20" i="67"/>
  <c r="AD19" i="67"/>
  <c r="AD18" i="67"/>
  <c r="AD13" i="67"/>
  <c r="AD11" i="67"/>
  <c r="AD10" i="67"/>
  <c r="AD9" i="67"/>
  <c r="AC7" i="67"/>
  <c r="AC6" i="67"/>
  <c r="AC8" i="67" s="1"/>
  <c r="AD44" i="66" l="1"/>
  <c r="AD43" i="66"/>
  <c r="AD41" i="66"/>
  <c r="AD40" i="66"/>
  <c r="AD39" i="66"/>
  <c r="AD38" i="66"/>
  <c r="AD37" i="66"/>
  <c r="AD36" i="66"/>
  <c r="AD35" i="66"/>
  <c r="AD34" i="66"/>
  <c r="AD33" i="66"/>
  <c r="AD32" i="66"/>
  <c r="AD31" i="66"/>
  <c r="AD30" i="66"/>
  <c r="AD29" i="66"/>
  <c r="AD28" i="66"/>
  <c r="AD27" i="66"/>
  <c r="AD25" i="66"/>
  <c r="AD24" i="66"/>
  <c r="AD23" i="66"/>
  <c r="AD22" i="66"/>
  <c r="AD20" i="66"/>
  <c r="AD19" i="66"/>
  <c r="AD18" i="66"/>
  <c r="AD17" i="66"/>
  <c r="AD16" i="66"/>
  <c r="AD15" i="66"/>
  <c r="AD14" i="66"/>
  <c r="AD13" i="66"/>
  <c r="AD12" i="66"/>
  <c r="AD11" i="66"/>
  <c r="AD10" i="66"/>
  <c r="AD9" i="66"/>
  <c r="AC7" i="66"/>
  <c r="AC6" i="66"/>
  <c r="AC8" i="66" s="1"/>
  <c r="X45" i="63" l="1"/>
  <c r="X45" i="64" s="1"/>
  <c r="X44" i="63"/>
  <c r="X44" i="64" s="1"/>
  <c r="X37" i="63"/>
  <c r="X37" i="64" s="1"/>
  <c r="X36" i="63"/>
  <c r="X36" i="64" s="1"/>
  <c r="X35" i="63"/>
  <c r="X35" i="64" s="1"/>
  <c r="X34" i="63"/>
  <c r="X34" i="64" s="1"/>
  <c r="X33" i="63"/>
  <c r="X33" i="64" s="1"/>
  <c r="X32" i="63"/>
  <c r="X32" i="64" s="1"/>
  <c r="X31" i="63"/>
  <c r="X31" i="64" s="1"/>
  <c r="X30" i="63"/>
  <c r="X30" i="64" s="1"/>
  <c r="X29" i="63"/>
  <c r="X29" i="64" s="1"/>
  <c r="X28" i="63"/>
  <c r="X28" i="64" s="1"/>
  <c r="X27" i="63"/>
  <c r="X27" i="64" s="1"/>
  <c r="X26" i="63"/>
  <c r="X26" i="64" s="1"/>
  <c r="X25" i="63"/>
  <c r="X25" i="64" s="1"/>
  <c r="X24" i="63"/>
  <c r="X24" i="64" s="1"/>
  <c r="X23" i="63"/>
  <c r="X23" i="64" s="1"/>
  <c r="X22" i="63"/>
  <c r="X22" i="64" s="1"/>
  <c r="X21" i="63"/>
  <c r="X21" i="64" s="1"/>
  <c r="X20" i="63"/>
  <c r="X20" i="64" s="1"/>
  <c r="X19" i="63"/>
  <c r="X19" i="64" s="1"/>
  <c r="X18" i="63"/>
  <c r="X18" i="64" s="1"/>
  <c r="X17" i="63"/>
  <c r="X17" i="64" s="1"/>
  <c r="X16" i="63"/>
  <c r="X16" i="64" s="1"/>
  <c r="X15" i="63"/>
  <c r="X15" i="64" s="1"/>
  <c r="X14" i="63"/>
  <c r="X14" i="64" s="1"/>
  <c r="X13" i="63"/>
  <c r="X13" i="64" s="1"/>
  <c r="X12" i="63"/>
  <c r="X12" i="64" s="1"/>
  <c r="X11" i="63"/>
  <c r="X11" i="64" s="1"/>
  <c r="X10" i="63"/>
  <c r="X10" i="64" s="1"/>
  <c r="W45" i="65"/>
  <c r="W44" i="65"/>
  <c r="W43" i="65"/>
  <c r="W42" i="65"/>
  <c r="W41" i="65"/>
  <c r="W40" i="65"/>
  <c r="W39" i="65"/>
  <c r="W37" i="65"/>
  <c r="W36" i="65"/>
  <c r="W35" i="65"/>
  <c r="W34" i="65"/>
  <c r="W33" i="65"/>
  <c r="W32" i="65"/>
  <c r="W31" i="65"/>
  <c r="W30" i="65"/>
  <c r="W29" i="65"/>
  <c r="W28" i="65"/>
  <c r="W27" i="65"/>
  <c r="W26" i="65"/>
  <c r="W25" i="65"/>
  <c r="W24" i="65"/>
  <c r="W23" i="65"/>
  <c r="W22" i="65"/>
  <c r="W21" i="65"/>
  <c r="W20" i="65"/>
  <c r="W19" i="65"/>
  <c r="W18" i="65"/>
  <c r="W17" i="65"/>
  <c r="W16" i="65"/>
  <c r="W15" i="65"/>
  <c r="W14" i="65"/>
  <c r="W13" i="65"/>
  <c r="W12" i="65"/>
  <c r="W11" i="65"/>
  <c r="W10" i="65"/>
  <c r="V8" i="65"/>
  <c r="V7" i="65"/>
  <c r="V9" i="65" l="1"/>
  <c r="Y45" i="64"/>
  <c r="Y44" i="64"/>
  <c r="Y37" i="64"/>
  <c r="Y36" i="64"/>
  <c r="Y35" i="64"/>
  <c r="Y34" i="64"/>
  <c r="Y33" i="64"/>
  <c r="Y32" i="64"/>
  <c r="Y31" i="64"/>
  <c r="Y30" i="64"/>
  <c r="Y29" i="64"/>
  <c r="Y28" i="64"/>
  <c r="Y27" i="64"/>
  <c r="Y26" i="64"/>
  <c r="Y25" i="64"/>
  <c r="Y24" i="64"/>
  <c r="Y23" i="64"/>
  <c r="Y22" i="64"/>
  <c r="Y21" i="64"/>
  <c r="Y20" i="64"/>
  <c r="Y19" i="64"/>
  <c r="Y18" i="64"/>
  <c r="Y17" i="64"/>
  <c r="Y16" i="64"/>
  <c r="Y15" i="64"/>
  <c r="Y14" i="64"/>
  <c r="Y13" i="64"/>
  <c r="Y12" i="64"/>
  <c r="Y11" i="64"/>
  <c r="Y10" i="64"/>
  <c r="V9" i="64"/>
  <c r="V7" i="64"/>
  <c r="V8" i="64" s="1"/>
  <c r="Y42" i="63"/>
  <c r="V43" i="63"/>
  <c r="Y43" i="63" s="1"/>
  <c r="V9" i="63"/>
  <c r="V7" i="63"/>
  <c r="V8" i="63" s="1"/>
  <c r="X8" i="63" s="1"/>
  <c r="X8" i="64" s="1"/>
  <c r="Y45" i="63"/>
  <c r="Y44" i="63"/>
  <c r="Y37" i="63"/>
  <c r="Y36" i="63"/>
  <c r="Y35" i="63"/>
  <c r="Y34" i="63"/>
  <c r="Y33" i="63"/>
  <c r="Y32" i="63"/>
  <c r="Y31" i="63"/>
  <c r="Y30" i="63"/>
  <c r="Y29" i="63"/>
  <c r="Y28" i="63"/>
  <c r="Y27" i="63"/>
  <c r="Y26" i="63"/>
  <c r="Y25" i="63"/>
  <c r="Y24" i="63"/>
  <c r="Y23" i="63"/>
  <c r="Y22" i="63"/>
  <c r="Y21" i="63"/>
  <c r="Y20" i="63"/>
  <c r="Y19" i="63"/>
  <c r="Y18" i="63"/>
  <c r="Y17" i="63"/>
  <c r="Y16" i="63"/>
  <c r="Y15" i="63"/>
  <c r="Y14" i="63"/>
  <c r="Y13" i="63"/>
  <c r="Y12" i="63"/>
  <c r="Y11" i="63"/>
  <c r="Y10" i="63"/>
  <c r="X7" i="63" l="1"/>
  <c r="X7" i="64" s="1"/>
  <c r="X9" i="63"/>
  <c r="X9" i="64" s="1"/>
  <c r="I26" i="60" l="1"/>
  <c r="H57" i="60" l="1"/>
  <c r="I32" i="60"/>
  <c r="C57" i="60"/>
  <c r="E57" i="60"/>
  <c r="G57" i="60"/>
  <c r="D57" i="60"/>
  <c r="F57" i="60"/>
  <c r="U44" i="59"/>
  <c r="E48" i="145"/>
  <c r="C48" i="145"/>
  <c r="D48" i="145" l="1"/>
  <c r="AB7" i="68" l="1"/>
  <c r="AD7" i="68" s="1"/>
  <c r="AB33" i="68" l="1"/>
  <c r="AB6" i="68" l="1"/>
  <c r="AD33" i="68"/>
  <c r="AB44" i="67"/>
  <c r="AC44" i="67" s="1"/>
  <c r="AD44" i="67" s="1"/>
  <c r="AB7" i="67"/>
  <c r="AD7" i="67" s="1"/>
  <c r="AB6" i="67"/>
  <c r="AD6" i="67" s="1"/>
  <c r="AB8" i="68" l="1"/>
  <c r="AD8" i="68" s="1"/>
  <c r="AD6" i="68"/>
  <c r="AB8" i="67"/>
  <c r="AD8" i="67" s="1"/>
  <c r="AA9" i="66"/>
  <c r="AB6" i="66"/>
  <c r="AD6" i="66" s="1"/>
  <c r="AB7" i="66" l="1"/>
  <c r="U8" i="65"/>
  <c r="W8" i="65" s="1"/>
  <c r="U7" i="65"/>
  <c r="W7" i="65" s="1"/>
  <c r="AB8" i="66" l="1"/>
  <c r="AD8" i="66" s="1"/>
  <c r="AD7" i="66"/>
  <c r="U9" i="65"/>
  <c r="W9" i="65" s="1"/>
  <c r="U9" i="64"/>
  <c r="Y9" i="64" s="1"/>
  <c r="U7" i="64"/>
  <c r="Y7" i="64" s="1"/>
  <c r="U9" i="63"/>
  <c r="Y9" i="63" s="1"/>
  <c r="U7" i="63"/>
  <c r="U8" i="63" l="1"/>
  <c r="Y8" i="63" s="1"/>
  <c r="Y7" i="63"/>
  <c r="U8" i="64"/>
  <c r="Y8" i="64" s="1"/>
  <c r="T44" i="59"/>
  <c r="S44" i="59"/>
  <c r="R44" i="59"/>
  <c r="Q44" i="59"/>
  <c r="P44" i="59"/>
  <c r="O44" i="59"/>
  <c r="N44" i="59"/>
  <c r="M44" i="59"/>
  <c r="L44" i="59"/>
  <c r="K44" i="59"/>
  <c r="J44" i="59"/>
  <c r="I44" i="59"/>
  <c r="H44" i="59"/>
  <c r="G44" i="59"/>
  <c r="F44" i="59"/>
  <c r="E44" i="59"/>
  <c r="D44" i="59"/>
  <c r="I25" i="60" l="1"/>
  <c r="F52" i="145"/>
  <c r="E52" i="145"/>
  <c r="D52" i="145"/>
  <c r="C52" i="145"/>
  <c r="D46" i="145"/>
  <c r="E46" i="145"/>
  <c r="F46" i="145"/>
  <c r="C46" i="145"/>
  <c r="G48" i="145"/>
  <c r="G27" i="145"/>
  <c r="G47" i="145" s="1"/>
  <c r="C79" i="145" l="1"/>
  <c r="F80" i="145"/>
  <c r="D80" i="145"/>
  <c r="F79" i="145"/>
  <c r="D79" i="145"/>
  <c r="E80" i="145"/>
  <c r="C80" i="145"/>
  <c r="E79" i="145"/>
  <c r="H56" i="60"/>
  <c r="F56" i="60"/>
  <c r="D56" i="60"/>
  <c r="G56" i="60"/>
  <c r="E56" i="60"/>
  <c r="C56" i="60"/>
  <c r="AA41" i="68" l="1"/>
  <c r="Z7" i="68"/>
  <c r="Y7" i="68"/>
  <c r="X7" i="68"/>
  <c r="W7" i="68"/>
  <c r="AA7" i="68" l="1"/>
  <c r="Z6" i="68"/>
  <c r="AA6" i="68" l="1"/>
  <c r="Z8" i="68"/>
  <c r="AA7" i="67"/>
  <c r="AA6" i="67"/>
  <c r="Z7" i="67"/>
  <c r="Z6" i="67"/>
  <c r="AA8" i="68" l="1"/>
  <c r="AA8" i="67"/>
  <c r="Z8" i="67"/>
  <c r="Z7" i="66"/>
  <c r="Y7" i="66"/>
  <c r="X7" i="66"/>
  <c r="W7" i="66"/>
  <c r="V7" i="66"/>
  <c r="U7" i="66"/>
  <c r="T7" i="66"/>
  <c r="S7" i="66"/>
  <c r="R7" i="66"/>
  <c r="Q7" i="66"/>
  <c r="P7" i="66"/>
  <c r="O7" i="66"/>
  <c r="N7" i="66"/>
  <c r="M7" i="66"/>
  <c r="L7" i="66"/>
  <c r="K7" i="66"/>
  <c r="J7" i="66"/>
  <c r="I7" i="66"/>
  <c r="Z6" i="66"/>
  <c r="Z8" i="66" s="1"/>
  <c r="Y6" i="66"/>
  <c r="X6" i="66"/>
  <c r="X8" i="66" s="1"/>
  <c r="W6" i="66"/>
  <c r="W8" i="66" s="1"/>
  <c r="V6" i="66"/>
  <c r="V8" i="66" s="1"/>
  <c r="U6" i="66"/>
  <c r="U8" i="66" s="1"/>
  <c r="T6" i="66"/>
  <c r="T8" i="66" s="1"/>
  <c r="S6" i="66"/>
  <c r="S8" i="66" s="1"/>
  <c r="R6" i="66"/>
  <c r="R8" i="66" s="1"/>
  <c r="Q6" i="66"/>
  <c r="Q8" i="66" s="1"/>
  <c r="P6" i="66"/>
  <c r="P8" i="66" s="1"/>
  <c r="O6" i="66"/>
  <c r="O8" i="66" s="1"/>
  <c r="N6" i="66"/>
  <c r="N8" i="66" s="1"/>
  <c r="M6" i="66"/>
  <c r="M8" i="66" s="1"/>
  <c r="L6" i="66"/>
  <c r="L8" i="66" s="1"/>
  <c r="K6" i="66"/>
  <c r="K8" i="66" s="1"/>
  <c r="J6" i="66"/>
  <c r="J8" i="66" s="1"/>
  <c r="I6" i="66"/>
  <c r="I8" i="66" s="1"/>
  <c r="H6" i="66"/>
  <c r="H7" i="66"/>
  <c r="G6" i="66"/>
  <c r="F6" i="66"/>
  <c r="H8" i="66" l="1"/>
  <c r="AA6" i="66"/>
  <c r="AA7" i="66"/>
  <c r="Y8" i="66"/>
  <c r="F7" i="66"/>
  <c r="G7" i="66"/>
  <c r="G8" i="66" s="1"/>
  <c r="F8" i="66"/>
  <c r="E7" i="66"/>
  <c r="T42" i="65"/>
  <c r="S7" i="65"/>
  <c r="S8" i="65"/>
  <c r="D8" i="65"/>
  <c r="E8" i="65"/>
  <c r="F8" i="65"/>
  <c r="G8" i="65"/>
  <c r="H8" i="65"/>
  <c r="I8" i="65"/>
  <c r="J8" i="65"/>
  <c r="K8" i="65"/>
  <c r="L8" i="65"/>
  <c r="M8" i="65"/>
  <c r="N8" i="65"/>
  <c r="O8" i="65"/>
  <c r="P8" i="65"/>
  <c r="Q8" i="65"/>
  <c r="R8" i="65"/>
  <c r="C8" i="65"/>
  <c r="G8" i="64"/>
  <c r="G8" i="63"/>
  <c r="S9" i="64"/>
  <c r="R9" i="64"/>
  <c r="Q9" i="64"/>
  <c r="P9" i="64"/>
  <c r="O9" i="64"/>
  <c r="N9" i="64"/>
  <c r="M9" i="64"/>
  <c r="L9" i="64"/>
  <c r="K9" i="64"/>
  <c r="J9" i="64"/>
  <c r="I9" i="64"/>
  <c r="H9" i="64"/>
  <c r="S7" i="64"/>
  <c r="S8" i="64" s="1"/>
  <c r="R7" i="64"/>
  <c r="R8" i="64" s="1"/>
  <c r="Q7" i="64"/>
  <c r="Q8" i="64" s="1"/>
  <c r="P7" i="64"/>
  <c r="P8" i="64" s="1"/>
  <c r="O7" i="64"/>
  <c r="O8" i="64" s="1"/>
  <c r="N7" i="64"/>
  <c r="N8" i="64" s="1"/>
  <c r="M7" i="64"/>
  <c r="M8" i="64" s="1"/>
  <c r="L7" i="64"/>
  <c r="L8" i="64" s="1"/>
  <c r="K7" i="64"/>
  <c r="K8" i="64" s="1"/>
  <c r="J7" i="64"/>
  <c r="J8" i="64" s="1"/>
  <c r="I7" i="64"/>
  <c r="I8" i="64" s="1"/>
  <c r="H7" i="64"/>
  <c r="H8" i="64" s="1"/>
  <c r="T9" i="64"/>
  <c r="R9" i="63"/>
  <c r="Q9" i="63"/>
  <c r="P9" i="63"/>
  <c r="O9" i="63"/>
  <c r="N9" i="63"/>
  <c r="M9" i="63"/>
  <c r="L9" i="63"/>
  <c r="K9" i="63"/>
  <c r="J9" i="63"/>
  <c r="I9" i="63"/>
  <c r="H9" i="63"/>
  <c r="R7" i="63"/>
  <c r="Q7" i="63"/>
  <c r="P7" i="63"/>
  <c r="O7" i="63"/>
  <c r="N7" i="63"/>
  <c r="M7" i="63"/>
  <c r="L7" i="63"/>
  <c r="K7" i="63"/>
  <c r="J7" i="63"/>
  <c r="I7" i="63"/>
  <c r="H7" i="63"/>
  <c r="I8" i="63" l="1"/>
  <c r="K8" i="63"/>
  <c r="M8" i="63"/>
  <c r="O8" i="63"/>
  <c r="Q8" i="63"/>
  <c r="H8" i="63"/>
  <c r="J8" i="63"/>
  <c r="L8" i="63"/>
  <c r="N8" i="63"/>
  <c r="P8" i="63"/>
  <c r="T7" i="64"/>
  <c r="R8" i="63"/>
  <c r="S9" i="65"/>
  <c r="AA8" i="66"/>
  <c r="T8" i="64" l="1"/>
  <c r="T9" i="63"/>
  <c r="S9" i="63" l="1"/>
  <c r="S7" i="63"/>
  <c r="T7" i="63" l="1"/>
  <c r="S8" i="63"/>
  <c r="T8" i="63" l="1"/>
  <c r="T7" i="65"/>
  <c r="T8" i="65"/>
  <c r="T9" i="65" l="1"/>
  <c r="F44" i="145"/>
  <c r="F45" i="145"/>
  <c r="E44" i="145"/>
  <c r="E45" i="145"/>
  <c r="D44" i="145"/>
  <c r="D45" i="145"/>
  <c r="C44" i="145"/>
  <c r="C45" i="145"/>
  <c r="D43" i="145"/>
  <c r="E43" i="145"/>
  <c r="F43" i="145"/>
  <c r="C43" i="145"/>
  <c r="G25" i="145"/>
  <c r="F77" i="145" s="1"/>
  <c r="G26" i="145"/>
  <c r="G46" i="145" s="1"/>
  <c r="G24" i="145"/>
  <c r="E76" i="145" s="1"/>
  <c r="Y6" i="68"/>
  <c r="G44" i="145" l="1"/>
  <c r="C78" i="145"/>
  <c r="D78" i="145"/>
  <c r="E78" i="145"/>
  <c r="F78" i="145"/>
  <c r="G45" i="145"/>
  <c r="C77" i="145"/>
  <c r="D77" i="145"/>
  <c r="E77" i="145"/>
  <c r="Y8" i="68"/>
  <c r="F76" i="145"/>
  <c r="D76" i="145"/>
  <c r="C76" i="145"/>
  <c r="I22" i="60" l="1"/>
  <c r="I21" i="60"/>
  <c r="I20" i="60"/>
  <c r="I19" i="60"/>
  <c r="I18" i="60"/>
  <c r="I17" i="60"/>
  <c r="I16" i="60"/>
  <c r="I15" i="60"/>
  <c r="I14" i="60"/>
  <c r="I13" i="60"/>
  <c r="I12" i="60"/>
  <c r="I11" i="60"/>
  <c r="I10" i="60"/>
  <c r="I9" i="60"/>
  <c r="I8" i="60"/>
  <c r="X6" i="68"/>
  <c r="Y6" i="67"/>
  <c r="Y7" i="67"/>
  <c r="X6" i="67"/>
  <c r="X7" i="67"/>
  <c r="R7" i="65"/>
  <c r="W6" i="68"/>
  <c r="V6" i="68"/>
  <c r="V7" i="68"/>
  <c r="U6" i="68"/>
  <c r="U7" i="68"/>
  <c r="T6" i="68"/>
  <c r="T7" i="68"/>
  <c r="S6" i="68"/>
  <c r="S7" i="68"/>
  <c r="R6" i="68"/>
  <c r="R7" i="68"/>
  <c r="Q6" i="68"/>
  <c r="Q7" i="68"/>
  <c r="P6" i="68"/>
  <c r="P7" i="68"/>
  <c r="O6" i="68"/>
  <c r="O7" i="68"/>
  <c r="N6" i="68"/>
  <c r="N7" i="68"/>
  <c r="M6" i="68"/>
  <c r="M7" i="68"/>
  <c r="L6" i="68"/>
  <c r="L7" i="68"/>
  <c r="K6" i="68"/>
  <c r="K7" i="68"/>
  <c r="J6" i="68"/>
  <c r="J7" i="68"/>
  <c r="I6" i="68"/>
  <c r="I7" i="68"/>
  <c r="H7" i="68"/>
  <c r="G7" i="68"/>
  <c r="F7" i="68"/>
  <c r="E7" i="68"/>
  <c r="D7" i="68"/>
  <c r="C7" i="68"/>
  <c r="W6" i="67"/>
  <c r="W7" i="67"/>
  <c r="V6" i="67"/>
  <c r="V7" i="67"/>
  <c r="U6" i="67"/>
  <c r="U7" i="67"/>
  <c r="T6" i="67"/>
  <c r="T7" i="67"/>
  <c r="S6" i="67"/>
  <c r="S7" i="67"/>
  <c r="R6" i="67"/>
  <c r="R7" i="67"/>
  <c r="Q6" i="67"/>
  <c r="Q7" i="67"/>
  <c r="P6" i="67"/>
  <c r="P7" i="67"/>
  <c r="O6" i="67"/>
  <c r="O7" i="67"/>
  <c r="N6" i="67"/>
  <c r="N7" i="67"/>
  <c r="M6" i="67"/>
  <c r="M7" i="67"/>
  <c r="L6" i="67"/>
  <c r="L7" i="67"/>
  <c r="K6" i="67"/>
  <c r="K7" i="67"/>
  <c r="J6" i="67"/>
  <c r="J7" i="67"/>
  <c r="I6" i="67"/>
  <c r="I7" i="67"/>
  <c r="H6" i="67"/>
  <c r="H7" i="67"/>
  <c r="G6" i="67"/>
  <c r="G7" i="67"/>
  <c r="F6" i="67"/>
  <c r="F7" i="67"/>
  <c r="E6" i="67"/>
  <c r="E7" i="67"/>
  <c r="D6" i="67"/>
  <c r="D7" i="67"/>
  <c r="C6" i="67"/>
  <c r="C7" i="67"/>
  <c r="E6" i="66"/>
  <c r="E8" i="66" s="1"/>
  <c r="D6" i="66"/>
  <c r="D7" i="66"/>
  <c r="C6" i="66"/>
  <c r="C7" i="66"/>
  <c r="Q7" i="65"/>
  <c r="Q9" i="65" s="1"/>
  <c r="P7" i="65"/>
  <c r="O7" i="65"/>
  <c r="N7" i="65"/>
  <c r="M7" i="65"/>
  <c r="L7" i="65"/>
  <c r="K7" i="65"/>
  <c r="J7" i="65"/>
  <c r="I7" i="65"/>
  <c r="H7" i="65"/>
  <c r="G7" i="65"/>
  <c r="G9" i="65" s="1"/>
  <c r="F7" i="65"/>
  <c r="E7" i="65"/>
  <c r="D7" i="65"/>
  <c r="C7" i="65"/>
  <c r="F8" i="64"/>
  <c r="E8" i="64"/>
  <c r="D8" i="64"/>
  <c r="C8" i="64"/>
  <c r="F8" i="63"/>
  <c r="E8" i="63"/>
  <c r="D8" i="63"/>
  <c r="C8" i="63"/>
  <c r="G12" i="145"/>
  <c r="D64" i="145" s="1"/>
  <c r="G7" i="145"/>
  <c r="F50" i="145"/>
  <c r="D50" i="145"/>
  <c r="C50" i="145"/>
  <c r="G17" i="145"/>
  <c r="G52" i="145" s="1"/>
  <c r="F51" i="145"/>
  <c r="D51" i="145"/>
  <c r="C51" i="145"/>
  <c r="G23" i="145"/>
  <c r="G22" i="145"/>
  <c r="F42" i="145"/>
  <c r="D42" i="145"/>
  <c r="C42" i="145"/>
  <c r="G21" i="145"/>
  <c r="F41" i="145"/>
  <c r="D41" i="145"/>
  <c r="C41" i="145"/>
  <c r="G20" i="145"/>
  <c r="D72" i="145" s="1"/>
  <c r="F40" i="145"/>
  <c r="D40" i="145"/>
  <c r="C40" i="145"/>
  <c r="G19" i="145"/>
  <c r="F39" i="145"/>
  <c r="D39" i="145"/>
  <c r="C39" i="145"/>
  <c r="G18" i="145"/>
  <c r="F38" i="145"/>
  <c r="D38" i="145"/>
  <c r="C38" i="145"/>
  <c r="F37" i="145"/>
  <c r="D37" i="145"/>
  <c r="C37" i="145"/>
  <c r="G8" i="145"/>
  <c r="E60" i="145" s="1"/>
  <c r="G9" i="145"/>
  <c r="G10" i="145"/>
  <c r="G11" i="145"/>
  <c r="F63" i="145" s="1"/>
  <c r="G13" i="145"/>
  <c r="G14" i="145"/>
  <c r="G15" i="145"/>
  <c r="G16" i="145"/>
  <c r="F68" i="145" s="1"/>
  <c r="R9" i="65"/>
  <c r="I28" i="60" l="1"/>
  <c r="I29" i="60"/>
  <c r="I31" i="60"/>
  <c r="I30" i="60"/>
  <c r="E72" i="145"/>
  <c r="C69" i="145"/>
  <c r="G40" i="145"/>
  <c r="H39" i="60"/>
  <c r="F39" i="60"/>
  <c r="D39" i="60"/>
  <c r="E39" i="60"/>
  <c r="G39" i="60"/>
  <c r="C39" i="60"/>
  <c r="H41" i="60"/>
  <c r="F41" i="60"/>
  <c r="D41" i="60"/>
  <c r="G41" i="60"/>
  <c r="C41" i="60"/>
  <c r="E41" i="60"/>
  <c r="H43" i="60"/>
  <c r="F43" i="60"/>
  <c r="D43" i="60"/>
  <c r="E43" i="60"/>
  <c r="G43" i="60"/>
  <c r="C43" i="60"/>
  <c r="H45" i="60"/>
  <c r="F45" i="60"/>
  <c r="D45" i="60"/>
  <c r="G45" i="60"/>
  <c r="C45" i="60"/>
  <c r="E45" i="60"/>
  <c r="H47" i="60"/>
  <c r="F47" i="60"/>
  <c r="D47" i="60"/>
  <c r="G47" i="60"/>
  <c r="E47" i="60"/>
  <c r="C47" i="60"/>
  <c r="H49" i="60"/>
  <c r="F49" i="60"/>
  <c r="D49" i="60"/>
  <c r="G49" i="60"/>
  <c r="E49" i="60"/>
  <c r="C49" i="60"/>
  <c r="H51" i="60"/>
  <c r="F51" i="60"/>
  <c r="D51" i="60"/>
  <c r="G51" i="60"/>
  <c r="E51" i="60"/>
  <c r="C51" i="60"/>
  <c r="H53" i="60"/>
  <c r="F53" i="60"/>
  <c r="D53" i="60"/>
  <c r="G53" i="60"/>
  <c r="E53" i="60"/>
  <c r="C53" i="60"/>
  <c r="H40" i="60"/>
  <c r="F40" i="60"/>
  <c r="D40" i="60"/>
  <c r="E40" i="60"/>
  <c r="C40" i="60"/>
  <c r="G40" i="60"/>
  <c r="H42" i="60"/>
  <c r="F42" i="60"/>
  <c r="D42" i="60"/>
  <c r="G42" i="60"/>
  <c r="C42" i="60"/>
  <c r="E42" i="60"/>
  <c r="H44" i="60"/>
  <c r="F44" i="60"/>
  <c r="D44" i="60"/>
  <c r="E44" i="60"/>
  <c r="C44" i="60"/>
  <c r="G44" i="60"/>
  <c r="H46" i="60"/>
  <c r="F46" i="60"/>
  <c r="D46" i="60"/>
  <c r="G46" i="60"/>
  <c r="E46" i="60"/>
  <c r="C46" i="60"/>
  <c r="H48" i="60"/>
  <c r="F48" i="60"/>
  <c r="D48" i="60"/>
  <c r="E48" i="60"/>
  <c r="G48" i="60"/>
  <c r="C48" i="60"/>
  <c r="H50" i="60"/>
  <c r="F50" i="60"/>
  <c r="D50" i="60"/>
  <c r="G50" i="60"/>
  <c r="E50" i="60"/>
  <c r="C50" i="60"/>
  <c r="H52" i="60"/>
  <c r="F52" i="60"/>
  <c r="D52" i="60"/>
  <c r="G52" i="60"/>
  <c r="E52" i="60"/>
  <c r="C52" i="60"/>
  <c r="D75" i="145"/>
  <c r="G43" i="145"/>
  <c r="D69" i="145"/>
  <c r="O8" i="68"/>
  <c r="I8" i="68"/>
  <c r="J8" i="68"/>
  <c r="M8" i="68"/>
  <c r="N8" i="68"/>
  <c r="Q8" i="68"/>
  <c r="S8" i="68"/>
  <c r="T8" i="68"/>
  <c r="K8" i="68"/>
  <c r="P8" i="68"/>
  <c r="U8" i="68"/>
  <c r="W8" i="68"/>
  <c r="X8" i="68"/>
  <c r="L8" i="68"/>
  <c r="R8" i="68"/>
  <c r="V8" i="68"/>
  <c r="N8" i="67"/>
  <c r="X8" i="67"/>
  <c r="C8" i="67"/>
  <c r="H8" i="67"/>
  <c r="I8" i="67"/>
  <c r="K8" i="67"/>
  <c r="M8" i="67"/>
  <c r="V8" i="67"/>
  <c r="D8" i="67"/>
  <c r="F8" i="67"/>
  <c r="R8" i="67"/>
  <c r="T8" i="67"/>
  <c r="E8" i="67"/>
  <c r="W8" i="67"/>
  <c r="U8" i="67"/>
  <c r="P8" i="67"/>
  <c r="Q8" i="67"/>
  <c r="C8" i="66"/>
  <c r="D8" i="66"/>
  <c r="K9" i="65"/>
  <c r="O9" i="65"/>
  <c r="E9" i="65"/>
  <c r="F9" i="65"/>
  <c r="I9" i="65"/>
  <c r="J9" i="65"/>
  <c r="M9" i="65"/>
  <c r="N9" i="65"/>
  <c r="P9" i="65"/>
  <c r="I24" i="60"/>
  <c r="F69" i="145"/>
  <c r="G50" i="145"/>
  <c r="E75" i="145"/>
  <c r="G51" i="145"/>
  <c r="F75" i="145"/>
  <c r="F64" i="145"/>
  <c r="F66" i="145"/>
  <c r="D66" i="145"/>
  <c r="D63" i="145"/>
  <c r="D68" i="145"/>
  <c r="E68" i="145"/>
  <c r="E66" i="145"/>
  <c r="C64" i="145"/>
  <c r="E64" i="145"/>
  <c r="E63" i="145"/>
  <c r="C67" i="145"/>
  <c r="D67" i="145"/>
  <c r="F67" i="145"/>
  <c r="E67" i="145"/>
  <c r="D65" i="145"/>
  <c r="F65" i="145"/>
  <c r="C65" i="145"/>
  <c r="D62" i="145"/>
  <c r="F62" i="145"/>
  <c r="C62" i="145"/>
  <c r="C61" i="145"/>
  <c r="F61" i="145"/>
  <c r="D61" i="145"/>
  <c r="F70" i="145"/>
  <c r="G37" i="145"/>
  <c r="C70" i="145"/>
  <c r="D70" i="145"/>
  <c r="E70" i="145"/>
  <c r="C71" i="145"/>
  <c r="F71" i="145"/>
  <c r="D71" i="145"/>
  <c r="G38" i="145"/>
  <c r="F72" i="145"/>
  <c r="G39" i="145"/>
  <c r="C72" i="145"/>
  <c r="C73" i="145"/>
  <c r="F73" i="145"/>
  <c r="D73" i="145"/>
  <c r="F74" i="145"/>
  <c r="C74" i="145"/>
  <c r="G42" i="145"/>
  <c r="D74" i="145"/>
  <c r="G41" i="145"/>
  <c r="E59" i="145"/>
  <c r="C59" i="145"/>
  <c r="F59" i="145"/>
  <c r="D59" i="145"/>
  <c r="D60" i="145"/>
  <c r="C60" i="145"/>
  <c r="F60" i="145"/>
  <c r="E69" i="145"/>
  <c r="E74" i="145"/>
  <c r="C75" i="145"/>
  <c r="E73" i="145"/>
  <c r="E71" i="145"/>
  <c r="C68" i="145"/>
  <c r="C66" i="145"/>
  <c r="E65" i="145"/>
  <c r="C63" i="145"/>
  <c r="E62" i="145"/>
  <c r="E61" i="145"/>
  <c r="E37" i="145"/>
  <c r="E38" i="145"/>
  <c r="E39" i="145"/>
  <c r="E40" i="145"/>
  <c r="E41" i="145"/>
  <c r="E42" i="145"/>
  <c r="E51" i="145"/>
  <c r="E50" i="145"/>
  <c r="Y8" i="67"/>
  <c r="G8" i="67"/>
  <c r="J8" i="67"/>
  <c r="L8" i="67"/>
  <c r="O8" i="67"/>
  <c r="S8" i="67"/>
  <c r="C9" i="65"/>
  <c r="D9" i="65"/>
  <c r="H9" i="65"/>
  <c r="L9" i="65"/>
  <c r="G55" i="60" l="1"/>
  <c r="E55" i="60"/>
  <c r="C55" i="60"/>
  <c r="H55" i="60"/>
  <c r="F55" i="60"/>
  <c r="D55" i="60"/>
  <c r="I23" i="60"/>
  <c r="G54" i="60" l="1"/>
  <c r="E54" i="60"/>
  <c r="C54" i="60"/>
  <c r="H54" i="60"/>
  <c r="F54" i="60"/>
  <c r="D54" i="60"/>
</calcChain>
</file>

<file path=xl/sharedStrings.xml><?xml version="1.0" encoding="utf-8"?>
<sst xmlns="http://schemas.openxmlformats.org/spreadsheetml/2006/main" count="1777" uniqueCount="162">
  <si>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</si>
  <si>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</si>
  <si>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</si>
  <si>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</si>
  <si>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</si>
  <si>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</si>
  <si>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</si>
  <si>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</si>
  <si>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</si>
  <si>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</si>
  <si>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</si>
  <si>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</si>
  <si>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</si>
  <si>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</si>
  <si>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</si>
  <si>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</si>
  <si>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</si>
  <si>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</si>
  <si>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</si>
  <si>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</si>
  <si>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</si>
  <si>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</si>
  <si>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</si>
  <si>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</si>
  <si>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</si>
  <si>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</si>
  <si>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</si>
  <si>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</si>
  <si>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</si>
  <si>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</si>
  <si>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</si>
  <si>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</si>
  <si>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</si>
  <si>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</si>
  <si>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</si>
  <si>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</si>
  <si>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</si>
  <si>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</si>
  <si>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</si>
  <si>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</si>
  <si>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</si>
  <si>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</si>
  <si>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</si>
  <si>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</si>
  <si>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</si>
  <si>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</si>
  <si>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</si>
  <si>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</si>
  <si>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</si>
  <si>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</si>
  <si>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</si>
  <si>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</si>
  <si>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</si>
  <si>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</si>
  <si>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</si>
  <si>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</si>
  <si>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</si>
  <si>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</si>
  <si>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</si>
  <si>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</si>
  <si>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</si>
  <si>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</si>
  <si>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</si>
  <si>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</si>
  <si>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</si>
  <si>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</si>
  <si>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</si>
  <si>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</si>
  <si>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</si>
  <si>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</si>
  <si>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</si>
  <si>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</si>
  <si>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</si>
  <si>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</si>
  <si>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</si>
  <si>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</si>
  <si>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</si>
  <si>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</si>
  <si>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</si>
  <si>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</si>
  <si>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</si>
  <si>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</si>
  <si>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</si>
  <si>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</si>
  <si>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</si>
  <si>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</si>
  <si>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</si>
  <si>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</si>
  <si>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</si>
  <si>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</si>
  <si>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</si>
  <si>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</si>
  <si>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</si>
  <si>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</si>
  <si>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</si>
  <si>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</si>
  <si>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</si>
  <si>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</si>
  <si>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</si>
  <si>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</si>
  <si>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</si>
  <si>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</si>
  <si>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</si>
  <si>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</si>
  <si>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</si>
  <si>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</si>
  <si>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</si>
  <si>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</si>
  <si>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</si>
  <si>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</si>
  <si>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</si>
  <si>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</si>
  <si>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</si>
  <si>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</si>
  <si>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</si>
  <si>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</si>
  <si>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</si>
  <si>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</si>
  <si>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r>
      <t>Road:</t>
    </r>
    <r>
      <rPr>
        <sz val="8"/>
        <rFont val="Arial"/>
        <family val="2"/>
      </rPr>
      <t xml:space="preserve"> national and international haulage by vehicles registered in the EU-28.</t>
    </r>
  </si>
  <si>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</si>
  <si>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</si>
  <si>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</si>
  <si>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</si>
  <si>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</si>
  <si>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</si>
  <si>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</si>
  <si>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</si>
  <si>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</si>
  <si>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t>Pipelines - Oil</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</si>
  <si>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</si>
  <si>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</si>
  <si>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t>change 13/14</t>
  </si>
  <si>
    <r>
      <rPr>
        <b/>
        <sz val="8"/>
        <rFont val="Arial"/>
        <family val="2"/>
      </rPr>
      <t>DK:</t>
    </r>
    <r>
      <rPr>
        <sz val="8"/>
        <rFont val="Arial"/>
        <family val="2"/>
      </rPr>
      <t xml:space="preserve"> 2014 values based on quarterly data. 
</t>
    </r>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</si>
  <si>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t>Inland Water- ways (1)</t>
  </si>
  <si>
    <r>
      <t>Source</t>
    </r>
    <r>
      <rPr>
        <sz val="8"/>
        <rFont val="Arial"/>
        <family val="2"/>
      </rPr>
      <t>: U.S. Department of Transportation, International Transport Forum, estimates (</t>
    </r>
    <r>
      <rPr>
        <i/>
        <sz val="8"/>
        <rFont val="Arial"/>
        <family val="2"/>
      </rPr>
      <t>in italics</t>
    </r>
    <r>
      <rPr>
        <sz val="8"/>
        <rFont val="Arial"/>
        <family val="2"/>
      </rPr>
      <t>).</t>
    </r>
  </si>
  <si>
    <r>
      <t xml:space="preserve">Note: </t>
    </r>
    <r>
      <rPr>
        <sz val="8"/>
        <rFont val="Arial"/>
        <family val="2"/>
      </rPr>
      <t>time series for road transport revised according to the estimates based on the Freight Analysis Framework (FAF). From 2011 onwards, values are taken from the US Pocket Guides to Transportation.</t>
    </r>
  </si>
  <si>
    <t>2011-2013</t>
  </si>
  <si>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</si>
  <si>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</si>
  <si>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r>
      <rPr>
        <b/>
        <sz val="8"/>
        <rFont val="Arial"/>
        <family val="2"/>
      </rPr>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</si>
  <si>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</si>
  <si>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</si>
  <si>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</si>
  <si>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</si>
  <si>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</si>
  <si>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r>
      <rPr>
        <b/>
        <sz val="8"/>
        <rFont val="Arial"/>
        <family val="2"/>
      </rPr>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</si>
  <si>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</si>
  <si>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</si>
  <si>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</si>
  <si>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t>1995 -2014</t>
  </si>
  <si>
    <t>2000 -2014</t>
  </si>
  <si>
    <t>2013-2014</t>
  </si>
  <si>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</si>
  <si>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</si>
  <si>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</si>
  <si>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</si>
  <si>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</si>
  <si>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</si>
  <si>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</si>
  <si>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r>
      <rPr>
        <b/>
        <sz val="8"/>
        <rFont val="Arial"/>
        <family val="2"/>
      </rPr>
      <t/>
    </r>
  </si>
  <si>
    <r>
      <t xml:space="preserve">SE: </t>
    </r>
    <r>
      <rPr>
        <sz val="8"/>
        <rFont val="Arial"/>
        <family val="2"/>
      </rPr>
      <t>break in series in 2014 due to a methodological change on the vehicles not in use.</t>
    </r>
  </si>
  <si>
    <r>
      <t xml:space="preserve">(1): </t>
    </r>
    <r>
      <rPr>
        <sz val="8"/>
        <rFont val="Arial"/>
        <family val="2"/>
      </rPr>
      <t>as of 2011, the column refers not only to inland waterways but to water transportation.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</si>
</sst>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 \ "/>
    <numFmt numFmtId="166" formatCode="0.0\ \ "/>
    <numFmt numFmtId="167" formatCode="#\ ##0\ "/>
    <numFmt numFmtId="168" formatCode="0.0%;\-0.0%"/>
    <numFmt numFmtId="170" formatCode="###0.00_)"/>
    <numFmt numFmtId="173" formatCode="0.000"/>
    <numFmt numFmtId="174" formatCode="#\ ##0.0"/>
    <numFmt numFmtId="176" formatCode="#,##0_)"/>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b/>
      <sz val="8"/>
      <name val="Helvetica"/>
      <family val="2"/>
    </font>
    <font>
      <sz val="10"/>
      <name val="Helvetica"/>
      <family val="2"/>
    </font>
    <font>
      <sz val="12"/>
      <name val="Arial"/>
      <family val="2"/>
    </font>
    <font>
      <sz val="8"/>
      <name val="Helvetica"/>
      <family val="2"/>
    </font>
    <font>
      <b/>
      <sz val="10"/>
      <name val="Times"/>
      <family val="1"/>
    </font>
    <font>
      <b/>
      <sz val="7"/>
      <name val="Arial"/>
      <family val="2"/>
    </font>
    <font>
      <b/>
      <vertAlign val="subscript"/>
      <sz val="8"/>
      <name val="Arial"/>
      <family val="2"/>
    </font>
    <font>
      <b/>
      <sz val="8"/>
      <color indexed="9"/>
      <name val="Arial"/>
      <family val="2"/>
    </font>
    <font>
      <sz val="11"/>
      <name val="Arial"/>
      <family val="2"/>
    </font>
    <font>
      <b/>
      <sz val="14"/>
      <name val="Helv"/>
    </font>
    <font>
      <b/>
      <sz val="10"/>
      <name val="Helv"/>
    </font>
    <font>
      <sz val="10"/>
      <name val="Helv"/>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Helv"/>
    </font>
    <font>
      <b/>
      <sz val="12"/>
      <name val="Helv"/>
    </font>
    <font>
      <sz val="9"/>
      <name val="Helv"/>
    </font>
    <font>
      <vertAlign val="superscript"/>
      <sz val="12"/>
      <name val="Helv"/>
    </font>
    <font>
      <b/>
      <sz val="9"/>
      <name val="Helv"/>
    </font>
    <font>
      <sz val="8.5"/>
      <name val="Helv"/>
    </font>
    <font>
      <sz val="8"/>
      <name val="Helv"/>
    </font>
    <font>
      <sz val="9"/>
      <name val="Arial"/>
      <family val="2"/>
    </font>
    <font>
      <b/>
      <vertAlign val="superscript"/>
      <sz val="8"/>
      <name val="Arial"/>
      <family val="2"/>
    </font>
    <font>
      <vertAlign val="superscript"/>
      <sz val="8"/>
      <name val="Arial"/>
      <family val="2"/>
    </font>
  </fonts>
  <fills count="45">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9"/>
      </patternFill>
    </fill>
    <fill>
      <patternFill patternType="solid">
        <fgColor indexed="22"/>
        <bgColor indexed="55"/>
      </patternFill>
    </fill>
    <fill>
      <patternFill patternType="solid">
        <fgColor indexed="9"/>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style="thick">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hair">
        <color indexed="64"/>
      </left>
      <right/>
      <top/>
      <bottom style="thin">
        <color indexed="64"/>
      </bottom>
      <diagonal/>
    </border>
    <border>
      <left/>
      <right/>
      <top/>
      <bottom style="thin">
        <color indexed="22"/>
      </bottom>
      <diagonal/>
    </border>
    <border>
      <left/>
      <right style="thin">
        <color indexed="64"/>
      </right>
      <top style="thin">
        <color indexed="64"/>
      </top>
      <bottom style="thin">
        <color indexed="64"/>
      </bottom>
      <diagonal/>
    </border>
    <border>
      <left style="thick">
        <color auto="1"/>
      </left>
      <right/>
      <top/>
      <bottom/>
      <diagonal/>
    </border>
    <border>
      <left style="thick">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8"/>
      </bottom>
      <diagonal/>
    </border>
    <border>
      <left style="thick">
        <color indexed="64"/>
      </left>
      <right style="thin">
        <color indexed="64"/>
      </right>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s>
  <cellStyleXfs count="110">
    <xf numFmtId="0" fontId="0" fillId="0" borderId="0"/>
    <xf numFmtId="0" fontId="9" fillId="0" borderId="0"/>
    <xf numFmtId="0" fontId="23" fillId="2" borderId="0" applyNumberFormat="0" applyBorder="0">
      <protection locked="0"/>
    </xf>
    <xf numFmtId="0" fontId="24" fillId="3" borderId="0" applyNumberFormat="0" applyBorder="0">
      <protection locked="0"/>
    </xf>
    <xf numFmtId="0" fontId="35" fillId="0" borderId="0"/>
    <xf numFmtId="0" fontId="36" fillId="0" borderId="0">
      <alignment horizontal="left" vertical="top"/>
    </xf>
    <xf numFmtId="170" fontId="38" fillId="0" borderId="28" applyNumberFormat="0" applyFill="0">
      <alignment horizontal="right"/>
    </xf>
    <xf numFmtId="43" fontId="39" fillId="0" borderId="0" applyFont="0" applyFill="0" applyBorder="0" applyAlignment="0" applyProtection="0"/>
    <xf numFmtId="0" fontId="40" fillId="0" borderId="0" applyNumberFormat="0" applyFill="0" applyBorder="0" applyAlignment="0" applyProtection="0"/>
    <xf numFmtId="0" fontId="41" fillId="0" borderId="32" applyNumberFormat="0" applyFill="0" applyAlignment="0" applyProtection="0"/>
    <xf numFmtId="0" fontId="42" fillId="0" borderId="33" applyNumberFormat="0" applyFill="0" applyAlignment="0" applyProtection="0"/>
    <xf numFmtId="0" fontId="43" fillId="0" borderId="34" applyNumberFormat="0" applyFill="0" applyAlignment="0" applyProtection="0"/>
    <xf numFmtId="0" fontId="43" fillId="0" borderId="0" applyNumberFormat="0" applyFill="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7" fillId="14" borderId="35" applyNumberFormat="0" applyAlignment="0" applyProtection="0"/>
    <xf numFmtId="0" fontId="48" fillId="15" borderId="36" applyNumberFormat="0" applyAlignment="0" applyProtection="0"/>
    <xf numFmtId="0" fontId="49" fillId="15" borderId="35" applyNumberFormat="0" applyAlignment="0" applyProtection="0"/>
    <xf numFmtId="0" fontId="50" fillId="0" borderId="37" applyNumberFormat="0" applyFill="0" applyAlignment="0" applyProtection="0"/>
    <xf numFmtId="0" fontId="51" fillId="16" borderId="3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40" applyNumberFormat="0" applyFill="0" applyAlignment="0" applyProtection="0"/>
    <xf numFmtId="0" fontId="55"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55" fillId="41" borderId="0" applyNumberFormat="0" applyBorder="0" applyAlignment="0" applyProtection="0"/>
    <xf numFmtId="0" fontId="4" fillId="0" borderId="0"/>
    <xf numFmtId="0" fontId="3" fillId="17" borderId="39" applyNumberFormat="0" applyFont="0" applyAlignment="0" applyProtection="0"/>
    <xf numFmtId="0" fontId="2" fillId="17" borderId="39"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7" fillId="0" borderId="0">
      <alignment horizontal="left" vertical="center" wrapText="1"/>
    </xf>
    <xf numFmtId="0" fontId="2" fillId="27" borderId="0" applyNumberFormat="0" applyBorder="0" applyAlignment="0" applyProtection="0"/>
    <xf numFmtId="0" fontId="2" fillId="28" borderId="0" applyNumberFormat="0" applyBorder="0" applyAlignment="0" applyProtection="0"/>
    <xf numFmtId="0" fontId="56" fillId="0" borderId="0">
      <alignment horizontal="center" vertical="center" wrapText="1"/>
    </xf>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176" fontId="58" fillId="0" borderId="28">
      <alignment horizontal="right" vertical="center"/>
    </xf>
    <xf numFmtId="49" fontId="59" fillId="0" borderId="28">
      <alignment horizontal="left" vertical="center"/>
    </xf>
    <xf numFmtId="170" fontId="38" fillId="0" borderId="28" applyNumberFormat="0" applyFill="0">
      <alignment horizontal="right"/>
    </xf>
    <xf numFmtId="0" fontId="37" fillId="0" borderId="28">
      <alignment horizontal="left"/>
    </xf>
    <xf numFmtId="0" fontId="60" fillId="0" borderId="12">
      <alignment horizontal="right" vertical="center"/>
    </xf>
    <xf numFmtId="0" fontId="61" fillId="0" borderId="28">
      <alignment horizontal="left" vertical="center"/>
    </xf>
    <xf numFmtId="0" fontId="38" fillId="0" borderId="28">
      <alignment horizontal="left" vertical="center"/>
    </xf>
    <xf numFmtId="0" fontId="37" fillId="0" borderId="28">
      <alignment horizontal="left"/>
    </xf>
    <xf numFmtId="0" fontId="37" fillId="42" borderId="0">
      <alignment horizontal="centerContinuous" wrapText="1"/>
    </xf>
    <xf numFmtId="49" fontId="37" fillId="42" borderId="4">
      <alignment horizontal="left" vertical="center"/>
    </xf>
    <xf numFmtId="0" fontId="37" fillId="42" borderId="0">
      <alignment horizontal="centerContinuous" vertical="center" wrapText="1"/>
    </xf>
    <xf numFmtId="3" fontId="58" fillId="0" borderId="0">
      <alignment horizontal="left" vertical="center"/>
    </xf>
    <xf numFmtId="0" fontId="56" fillId="0" borderId="0">
      <alignment horizontal="left" vertical="center"/>
    </xf>
    <xf numFmtId="0" fontId="62" fillId="0" borderId="0">
      <alignment horizontal="right"/>
    </xf>
    <xf numFmtId="49" fontId="62" fillId="0" borderId="0">
      <alignment horizontal="center"/>
    </xf>
    <xf numFmtId="0" fontId="59" fillId="0" borderId="0">
      <alignment horizontal="right"/>
    </xf>
    <xf numFmtId="0" fontId="62" fillId="0" borderId="0">
      <alignment horizontal="left"/>
    </xf>
    <xf numFmtId="49" fontId="58" fillId="0" borderId="0">
      <alignment horizontal="left" vertical="center"/>
    </xf>
    <xf numFmtId="49" fontId="59" fillId="0" borderId="28">
      <alignment horizontal="left"/>
    </xf>
    <xf numFmtId="170" fontId="58" fillId="0" borderId="0" applyNumberFormat="0">
      <alignment horizontal="right"/>
    </xf>
    <xf numFmtId="0" fontId="60" fillId="43" borderId="0">
      <alignment horizontal="centerContinuous" vertical="center" wrapText="1"/>
    </xf>
    <xf numFmtId="0" fontId="60" fillId="0" borderId="41">
      <alignment horizontal="left" vertical="center"/>
    </xf>
    <xf numFmtId="0" fontId="36" fillId="0" borderId="0">
      <alignment horizontal="left" vertical="top"/>
    </xf>
    <xf numFmtId="0" fontId="37" fillId="0" borderId="0">
      <alignment horizontal="left"/>
    </xf>
    <xf numFmtId="0" fontId="57" fillId="0" borderId="0">
      <alignment horizontal="left"/>
    </xf>
    <xf numFmtId="0" fontId="38" fillId="0" borderId="0">
      <alignment horizontal="left"/>
    </xf>
    <xf numFmtId="0" fontId="57" fillId="0" borderId="0">
      <alignment horizontal="left"/>
    </xf>
    <xf numFmtId="0" fontId="38" fillId="0" borderId="0">
      <alignment horizontal="left"/>
    </xf>
    <xf numFmtId="49" fontId="58" fillId="0" borderId="28">
      <alignment horizontal="left"/>
    </xf>
    <xf numFmtId="0" fontId="60" fillId="0" borderId="12">
      <alignment horizontal="left"/>
    </xf>
    <xf numFmtId="0" fontId="37" fillId="0" borderId="0">
      <alignment horizontal="left" vertical="center"/>
    </xf>
    <xf numFmtId="49" fontId="62" fillId="0" borderId="28">
      <alignment horizontal="left"/>
    </xf>
    <xf numFmtId="0" fontId="1" fillId="17" borderId="39"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525">
    <xf numFmtId="0" fontId="0" fillId="0" borderId="0" xfId="0"/>
    <xf numFmtId="0" fontId="0" fillId="0" borderId="0" xfId="0" applyBorder="1"/>
    <xf numFmtId="0" fontId="7" fillId="0" borderId="0" xfId="0" applyFont="1" applyBorder="1"/>
    <xf numFmtId="0" fontId="7" fillId="0" borderId="0" xfId="0" applyFont="1"/>
    <xf numFmtId="0" fontId="0" fillId="0" borderId="0" xfId="0" applyFill="1" applyBorder="1"/>
    <xf numFmtId="0" fontId="12" fillId="0" borderId="0" xfId="0" applyFont="1"/>
    <xf numFmtId="0" fontId="15" fillId="0" borderId="0" xfId="0" applyFont="1"/>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xf>
    <xf numFmtId="0" fontId="16" fillId="0" borderId="0" xfId="0" applyFont="1"/>
    <xf numFmtId="0" fontId="11" fillId="0" borderId="0" xfId="0" applyFont="1"/>
    <xf numFmtId="0" fontId="9" fillId="0" borderId="0" xfId="0" applyFont="1"/>
    <xf numFmtId="0" fontId="19" fillId="0" borderId="0" xfId="0" applyFont="1" applyAlignment="1">
      <alignment horizontal="left" vertical="center"/>
    </xf>
    <xf numFmtId="0" fontId="20" fillId="0" borderId="0" xfId="0" applyFont="1"/>
    <xf numFmtId="0" fontId="7" fillId="0" borderId="0" xfId="0" applyFont="1" applyAlignment="1">
      <alignment horizont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0" borderId="0" xfId="0" quotePrefix="1" applyFont="1" applyAlignment="1">
      <alignment horizontal="right" vertical="top"/>
    </xf>
    <xf numFmtId="0" fontId="10" fillId="0" borderId="0" xfId="0" quotePrefix="1" applyFont="1" applyBorder="1" applyAlignment="1">
      <alignment horizontal="right" vertical="top"/>
    </xf>
    <xf numFmtId="0" fontId="9" fillId="0" borderId="0" xfId="0" applyFont="1" applyBorder="1" applyAlignment="1">
      <alignment horizontal="right" vertical="center"/>
    </xf>
    <xf numFmtId="0" fontId="9" fillId="0" borderId="4" xfId="0" applyFont="1" applyBorder="1" applyAlignment="1">
      <alignment horizontal="right" vertical="center"/>
    </xf>
    <xf numFmtId="0" fontId="9" fillId="0" borderId="0" xfId="0" applyFont="1" applyFill="1" applyBorder="1" applyAlignment="1">
      <alignment horizontal="right" vertical="center"/>
    </xf>
    <xf numFmtId="0" fontId="5" fillId="0" borderId="4" xfId="0" applyFont="1" applyBorder="1" applyAlignment="1">
      <alignment horizontal="center" vertical="center"/>
    </xf>
    <xf numFmtId="0" fontId="25" fillId="0" borderId="0" xfId="0" applyFont="1" applyAlignment="1">
      <alignment horizontal="center"/>
    </xf>
    <xf numFmtId="0" fontId="0" fillId="0" borderId="0" xfId="0" applyAlignment="1">
      <alignment vertical="center"/>
    </xf>
    <xf numFmtId="0" fontId="11" fillId="0" borderId="0" xfId="0" applyFont="1" applyBorder="1" applyAlignment="1">
      <alignment horizontal="left" vertical="top" wrapText="1"/>
    </xf>
    <xf numFmtId="0" fontId="11" fillId="0" borderId="0" xfId="0" applyFont="1" applyBorder="1"/>
    <xf numFmtId="0" fontId="0" fillId="0" borderId="0" xfId="0" applyBorder="1" applyAlignment="1">
      <alignment vertical="center"/>
    </xf>
    <xf numFmtId="0" fontId="7" fillId="0" borderId="0" xfId="0" applyFont="1" applyFill="1" applyBorder="1"/>
    <xf numFmtId="0" fontId="14" fillId="0" borderId="0" xfId="0" applyFont="1"/>
    <xf numFmtId="0" fontId="0" fillId="0" borderId="5" xfId="0" applyFill="1" applyBorder="1"/>
    <xf numFmtId="0" fontId="28" fillId="0" borderId="0" xfId="0" applyFont="1" applyAlignment="1">
      <alignment vertical="center"/>
    </xf>
    <xf numFmtId="0" fontId="25" fillId="0" borderId="0" xfId="0" applyFont="1" applyFill="1" applyBorder="1" applyAlignment="1">
      <alignment horizontal="center"/>
    </xf>
    <xf numFmtId="0" fontId="11" fillId="0" borderId="0" xfId="0" applyFont="1" applyFill="1" applyBorder="1" applyAlignment="1">
      <alignment horizontal="center"/>
    </xf>
    <xf numFmtId="0" fontId="15" fillId="0" borderId="0" xfId="0" applyFont="1" applyBorder="1" applyAlignment="1">
      <alignment horizontal="left" vertical="top" wrapText="1"/>
    </xf>
    <xf numFmtId="0" fontId="4" fillId="0" borderId="0" xfId="0" applyFont="1" applyBorder="1" applyAlignment="1">
      <alignment horizontal="left" vertical="top"/>
    </xf>
    <xf numFmtId="0" fontId="29" fillId="0" borderId="0" xfId="0" applyFont="1"/>
    <xf numFmtId="0" fontId="26" fillId="0" borderId="0" xfId="0" quotePrefix="1" applyFont="1" applyBorder="1" applyAlignment="1">
      <alignment horizontal="right" vertical="top"/>
    </xf>
    <xf numFmtId="0" fontId="29" fillId="0" borderId="0" xfId="0" applyFont="1" applyBorder="1" applyAlignment="1">
      <alignment horizontal="left" vertical="top"/>
    </xf>
    <xf numFmtId="0" fontId="26" fillId="0" borderId="0" xfId="0" quotePrefix="1" applyFont="1" applyBorder="1" applyAlignment="1">
      <alignment horizontal="right" vertical="center"/>
    </xf>
    <xf numFmtId="0" fontId="29" fillId="0" borderId="0" xfId="0" applyFont="1" applyBorder="1" applyAlignment="1">
      <alignment vertical="top"/>
    </xf>
    <xf numFmtId="0" fontId="29" fillId="0" borderId="0" xfId="0" applyFont="1" applyAlignment="1">
      <alignment vertical="top" wrapText="1"/>
    </xf>
    <xf numFmtId="0" fontId="9" fillId="0" borderId="4" xfId="0" applyFont="1" applyBorder="1" applyAlignment="1">
      <alignment horizontal="right"/>
    </xf>
    <xf numFmtId="0" fontId="9" fillId="0" borderId="4" xfId="0" applyFont="1" applyBorder="1" applyAlignment="1">
      <alignment horizontal="center"/>
    </xf>
    <xf numFmtId="0" fontId="9" fillId="0" borderId="0" xfId="0" applyFont="1" applyBorder="1" applyAlignment="1">
      <alignment horizontal="right"/>
    </xf>
    <xf numFmtId="9" fontId="7" fillId="0" borderId="0" xfId="0" applyNumberFormat="1" applyFont="1" applyAlignment="1">
      <alignment horizontal="center"/>
    </xf>
    <xf numFmtId="0" fontId="7" fillId="0" borderId="0" xfId="0" applyFont="1" applyAlignment="1">
      <alignment vertical="top"/>
    </xf>
    <xf numFmtId="0" fontId="25" fillId="0" borderId="0" xfId="0" applyFont="1" applyBorder="1" applyAlignment="1">
      <alignment horizontal="center" vertical="center" wrapText="1"/>
    </xf>
    <xf numFmtId="9" fontId="7" fillId="0" borderId="0" xfId="0" applyNumberFormat="1" applyFont="1" applyAlignment="1">
      <alignment horizontal="center" vertical="top"/>
    </xf>
    <xf numFmtId="49" fontId="5" fillId="0" borderId="0" xfId="0" applyNumberFormat="1" applyFont="1" applyAlignment="1">
      <alignment horizontal="left" vertical="center"/>
    </xf>
    <xf numFmtId="165" fontId="5" fillId="0" borderId="0" xfId="0" quotePrefix="1" applyNumberFormat="1" applyFont="1" applyAlignment="1">
      <alignment horizontal="left" vertical="center"/>
    </xf>
    <xf numFmtId="0" fontId="5" fillId="0" borderId="0" xfId="0" applyFont="1" applyAlignment="1">
      <alignment horizontal="left" vertical="center" wrapText="1"/>
    </xf>
    <xf numFmtId="0" fontId="31"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17" fontId="6" fillId="0" borderId="0" xfId="0" quotePrefix="1" applyNumberFormat="1" applyFont="1" applyBorder="1" applyAlignment="1">
      <alignment horizontal="center" vertical="center" wrapText="1"/>
    </xf>
    <xf numFmtId="0" fontId="11" fillId="4" borderId="2" xfId="0" applyFont="1" applyFill="1" applyBorder="1" applyAlignment="1">
      <alignment horizontal="center" vertical="center"/>
    </xf>
    <xf numFmtId="164" fontId="9" fillId="0" borderId="0" xfId="0" applyNumberFormat="1" applyFont="1" applyFill="1" applyBorder="1" applyAlignment="1">
      <alignment horizontal="right" vertical="center"/>
    </xf>
    <xf numFmtId="164" fontId="9" fillId="0" borderId="4" xfId="0" applyNumberFormat="1" applyFont="1" applyFill="1" applyBorder="1" applyAlignment="1">
      <alignment horizontal="right" vertical="center"/>
    </xf>
    <xf numFmtId="0" fontId="0" fillId="0" borderId="0" xfId="0" applyFill="1"/>
    <xf numFmtId="164" fontId="9" fillId="0" borderId="0" xfId="0" applyNumberFormat="1" applyFont="1" applyFill="1" applyBorder="1" applyAlignment="1">
      <alignment horizontal="center" vertical="center"/>
    </xf>
    <xf numFmtId="0" fontId="26" fillId="0" borderId="0" xfId="0" applyFont="1" applyBorder="1" applyAlignment="1">
      <alignment horizontal="center" vertical="top" wrapText="1"/>
    </xf>
    <xf numFmtId="1" fontId="8" fillId="0" borderId="0" xfId="0" applyNumberFormat="1" applyFont="1" applyFill="1" applyBorder="1" applyAlignment="1">
      <alignment horizontal="center" vertical="center"/>
    </xf>
    <xf numFmtId="0" fontId="11" fillId="0" borderId="0" xfId="0" applyFont="1" applyBorder="1" applyAlignment="1">
      <alignment horizontal="left" wrapText="1"/>
    </xf>
    <xf numFmtId="1" fontId="8" fillId="0" borderId="4" xfId="0" applyNumberFormat="1" applyFont="1" applyFill="1" applyBorder="1" applyAlignment="1">
      <alignment horizontal="center" vertical="center"/>
    </xf>
    <xf numFmtId="0" fontId="14" fillId="0" borderId="0" xfId="0" applyFont="1" applyBorder="1" applyAlignment="1">
      <alignment horizontal="left" vertical="top"/>
    </xf>
    <xf numFmtId="0" fontId="11" fillId="5" borderId="1" xfId="0" applyFont="1" applyFill="1" applyBorder="1" applyAlignment="1">
      <alignment horizontal="center" vertical="top" wrapText="1"/>
    </xf>
    <xf numFmtId="0" fontId="11" fillId="5" borderId="6" xfId="0" applyFont="1" applyFill="1" applyBorder="1" applyAlignment="1">
      <alignment horizontal="center" vertical="top"/>
    </xf>
    <xf numFmtId="0" fontId="7" fillId="5" borderId="3" xfId="0" quotePrefix="1" applyFont="1" applyFill="1" applyBorder="1" applyAlignment="1">
      <alignment horizontal="center" vertical="top" wrapText="1"/>
    </xf>
    <xf numFmtId="0" fontId="11" fillId="5" borderId="3" xfId="0" applyFont="1" applyFill="1" applyBorder="1" applyAlignment="1">
      <alignment horizontal="center" vertical="top"/>
    </xf>
    <xf numFmtId="0" fontId="32" fillId="4" borderId="1" xfId="0" applyFont="1" applyFill="1" applyBorder="1" applyAlignment="1">
      <alignment horizontal="center" vertical="center"/>
    </xf>
    <xf numFmtId="0" fontId="32" fillId="4" borderId="2" xfId="0" applyFont="1" applyFill="1" applyBorder="1" applyAlignment="1">
      <alignment horizontal="center" vertical="center"/>
    </xf>
    <xf numFmtId="0" fontId="11" fillId="0" borderId="0" xfId="0" applyFont="1" applyFill="1" applyBorder="1"/>
    <xf numFmtId="0" fontId="11" fillId="5" borderId="1" xfId="0" applyFont="1" applyFill="1" applyBorder="1" applyAlignment="1">
      <alignment horizontal="center" vertical="top"/>
    </xf>
    <xf numFmtId="0" fontId="11" fillId="5" borderId="7" xfId="0" applyFont="1" applyFill="1" applyBorder="1" applyAlignment="1">
      <alignment horizontal="center" vertical="top"/>
    </xf>
    <xf numFmtId="164" fontId="11" fillId="0" borderId="2" xfId="0" applyNumberFormat="1" applyFont="1" applyFill="1" applyBorder="1" applyAlignment="1">
      <alignment horizontal="center" vertical="center"/>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11" fillId="5" borderId="6" xfId="0" quotePrefix="1" applyFont="1" applyFill="1" applyBorder="1" applyAlignment="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6" fillId="0" borderId="0" xfId="0" applyNumberFormat="1" applyFont="1" applyBorder="1" applyAlignment="1">
      <alignment horizontal="center" vertical="top"/>
    </xf>
    <xf numFmtId="1" fontId="8" fillId="5" borderId="0" xfId="0" applyNumberFormat="1" applyFont="1" applyFill="1" applyBorder="1" applyAlignment="1">
      <alignment horizontal="center" vertical="center"/>
    </xf>
    <xf numFmtId="1" fontId="8" fillId="5" borderId="4" xfId="0" applyNumberFormat="1" applyFont="1" applyFill="1" applyBorder="1" applyAlignment="1">
      <alignment horizontal="center" vertical="center"/>
    </xf>
    <xf numFmtId="1" fontId="8" fillId="5" borderId="8" xfId="0" applyNumberFormat="1" applyFont="1" applyFill="1" applyBorder="1" applyAlignment="1">
      <alignment horizontal="center"/>
    </xf>
    <xf numFmtId="1" fontId="8" fillId="5" borderId="9" xfId="0" applyNumberFormat="1" applyFont="1" applyFill="1" applyBorder="1" applyAlignment="1">
      <alignment horizontal="center"/>
    </xf>
    <xf numFmtId="1" fontId="8" fillId="5" borderId="10"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164" fontId="22" fillId="4" borderId="11" xfId="0" applyNumberFormat="1" applyFont="1" applyFill="1" applyBorder="1" applyAlignment="1">
      <alignment horizontal="right" vertical="center"/>
    </xf>
    <xf numFmtId="164" fontId="22" fillId="4" borderId="0" xfId="0" applyNumberFormat="1" applyFont="1" applyFill="1" applyBorder="1" applyAlignment="1">
      <alignment horizontal="right" vertical="center"/>
    </xf>
    <xf numFmtId="0" fontId="8" fillId="4" borderId="3" xfId="0" applyFont="1" applyFill="1" applyBorder="1" applyAlignment="1">
      <alignment horizontal="center" vertical="center"/>
    </xf>
    <xf numFmtId="164" fontId="22" fillId="4" borderId="4" xfId="0" applyNumberFormat="1" applyFont="1" applyFill="1" applyBorder="1" applyAlignment="1">
      <alignment horizontal="right" vertical="center"/>
    </xf>
    <xf numFmtId="1" fontId="8" fillId="0" borderId="11"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64" fontId="22" fillId="4" borderId="10" xfId="0" applyNumberFormat="1" applyFont="1" applyFill="1" applyBorder="1" applyAlignment="1">
      <alignment horizontal="righ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4" fontId="0" fillId="0" borderId="0" xfId="0" applyNumberFormat="1"/>
    <xf numFmtId="0" fontId="9" fillId="0" borderId="0" xfId="0" applyFont="1" applyAlignment="1">
      <alignment vertical="top"/>
    </xf>
    <xf numFmtId="0" fontId="11" fillId="0" borderId="0" xfId="0" applyFont="1" applyAlignment="1">
      <alignment vertical="top"/>
    </xf>
    <xf numFmtId="164" fontId="9" fillId="0" borderId="9" xfId="0" applyNumberFormat="1" applyFont="1" applyFill="1" applyBorder="1" applyAlignment="1">
      <alignment horizontal="center" vertical="center"/>
    </xf>
    <xf numFmtId="2" fontId="9" fillId="0" borderId="2" xfId="0" applyNumberFormat="1" applyFont="1" applyFill="1" applyBorder="1" applyAlignment="1">
      <alignment horizontal="right" vertical="center"/>
    </xf>
    <xf numFmtId="2" fontId="9" fillId="0" borderId="2" xfId="0" applyNumberFormat="1" applyFont="1" applyBorder="1" applyAlignment="1">
      <alignment horizontal="right" vertical="center"/>
    </xf>
    <xf numFmtId="2" fontId="9" fillId="0" borderId="3" xfId="0" applyNumberFormat="1" applyFont="1" applyFill="1" applyBorder="1" applyAlignment="1">
      <alignment horizontal="right" vertical="center"/>
    </xf>
    <xf numFmtId="164" fontId="9" fillId="0" borderId="2" xfId="0" applyNumberFormat="1" applyFont="1" applyFill="1" applyBorder="1" applyAlignment="1">
      <alignment horizontal="right" vertical="center"/>
    </xf>
    <xf numFmtId="164" fontId="9" fillId="0" borderId="2" xfId="0" applyNumberFormat="1" applyFont="1" applyBorder="1" applyAlignment="1">
      <alignment horizontal="right" vertical="center"/>
    </xf>
    <xf numFmtId="164" fontId="9" fillId="0" borderId="3" xfId="0" applyNumberFormat="1" applyFont="1" applyFill="1" applyBorder="1" applyAlignment="1">
      <alignment horizontal="right" vertical="center"/>
    </xf>
    <xf numFmtId="2" fontId="9" fillId="0" borderId="1" xfId="0" applyNumberFormat="1" applyFont="1" applyFill="1" applyBorder="1" applyAlignment="1">
      <alignment horizontal="right" vertical="center"/>
    </xf>
    <xf numFmtId="2" fontId="9" fillId="4" borderId="13" xfId="0" applyNumberFormat="1" applyFont="1" applyFill="1" applyBorder="1" applyAlignment="1">
      <alignment horizontal="right" vertical="center"/>
    </xf>
    <xf numFmtId="0" fontId="32" fillId="5" borderId="1" xfId="0" applyFont="1" applyFill="1" applyBorder="1" applyAlignment="1">
      <alignment horizontal="center" wrapText="1"/>
    </xf>
    <xf numFmtId="0" fontId="11" fillId="5" borderId="2" xfId="0" applyFont="1" applyFill="1" applyBorder="1" applyAlignment="1">
      <alignment horizontal="center" vertical="top"/>
    </xf>
    <xf numFmtId="2" fontId="9" fillId="4" borderId="2" xfId="0" applyNumberFormat="1" applyFont="1" applyFill="1" applyBorder="1" applyAlignment="1">
      <alignment horizontal="right" vertical="center"/>
    </xf>
    <xf numFmtId="2" fontId="9" fillId="4" borderId="3" xfId="0" applyNumberFormat="1" applyFont="1" applyFill="1" applyBorder="1" applyAlignment="1">
      <alignment horizontal="right" vertical="center"/>
    </xf>
    <xf numFmtId="1" fontId="8" fillId="5" borderId="1" xfId="0" applyNumberFormat="1" applyFont="1" applyFill="1" applyBorder="1" applyAlignment="1">
      <alignment horizontal="center"/>
    </xf>
    <xf numFmtId="1" fontId="8" fillId="5" borderId="3" xfId="0" applyNumberFormat="1" applyFont="1" applyFill="1" applyBorder="1" applyAlignment="1">
      <alignment horizontal="center" vertical="center"/>
    </xf>
    <xf numFmtId="164" fontId="9" fillId="4" borderId="2" xfId="0" applyNumberFormat="1" applyFont="1" applyFill="1" applyBorder="1" applyAlignment="1">
      <alignment horizontal="right" vertical="center"/>
    </xf>
    <xf numFmtId="1" fontId="8" fillId="5" borderId="2" xfId="0" applyNumberFormat="1" applyFont="1" applyFill="1" applyBorder="1" applyAlignment="1">
      <alignment horizontal="center" vertical="center"/>
    </xf>
    <xf numFmtId="167" fontId="21" fillId="0" borderId="8" xfId="0" applyNumberFormat="1" applyFont="1" applyFill="1" applyBorder="1" applyAlignment="1">
      <alignment horizontal="right" vertical="center"/>
    </xf>
    <xf numFmtId="167" fontId="9" fillId="0" borderId="9" xfId="0" applyNumberFormat="1" applyFont="1" applyFill="1" applyBorder="1" applyAlignment="1">
      <alignment horizontal="right" vertical="center"/>
    </xf>
    <xf numFmtId="167" fontId="21" fillId="0" borderId="9" xfId="0" applyNumberFormat="1" applyFont="1" applyFill="1" applyBorder="1" applyAlignment="1">
      <alignment horizontal="right" vertical="center"/>
    </xf>
    <xf numFmtId="164" fontId="21" fillId="0" borderId="6" xfId="0" applyNumberFormat="1" applyFont="1" applyFill="1" applyBorder="1" applyAlignment="1">
      <alignment horizontal="right" vertical="center"/>
    </xf>
    <xf numFmtId="167" fontId="21" fillId="0" borderId="11"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21" fillId="0" borderId="0" xfId="0" applyNumberFormat="1" applyFont="1" applyFill="1" applyBorder="1" applyAlignment="1">
      <alignment horizontal="right" vertical="center"/>
    </xf>
    <xf numFmtId="164" fontId="21" fillId="0" borderId="5" xfId="0" applyNumberFormat="1" applyFont="1" applyFill="1" applyBorder="1" applyAlignment="1">
      <alignment horizontal="right" vertical="center"/>
    </xf>
    <xf numFmtId="164" fontId="21" fillId="0" borderId="7" xfId="0" applyNumberFormat="1" applyFont="1" applyFill="1" applyBorder="1" applyAlignment="1">
      <alignment horizontal="right" vertical="center"/>
    </xf>
    <xf numFmtId="168" fontId="30" fillId="0" borderId="0" xfId="0" applyNumberFormat="1" applyFont="1" applyFill="1" applyBorder="1" applyAlignment="1">
      <alignment horizontal="right" vertical="center"/>
    </xf>
    <xf numFmtId="168" fontId="27" fillId="0" borderId="1" xfId="0" applyNumberFormat="1" applyFont="1" applyFill="1" applyBorder="1" applyAlignment="1">
      <alignment horizontal="right" vertical="center"/>
    </xf>
    <xf numFmtId="168" fontId="30" fillId="0" borderId="10" xfId="0" applyNumberFormat="1" applyFont="1" applyFill="1" applyBorder="1" applyAlignment="1">
      <alignment horizontal="right" vertical="center"/>
    </xf>
    <xf numFmtId="168" fontId="30" fillId="0" borderId="4" xfId="0" applyNumberFormat="1" applyFont="1" applyFill="1" applyBorder="1" applyAlignment="1">
      <alignment horizontal="right" vertical="center"/>
    </xf>
    <xf numFmtId="168" fontId="27" fillId="0" borderId="3" xfId="0" applyNumberFormat="1" applyFont="1" applyFill="1" applyBorder="1" applyAlignment="1">
      <alignment horizontal="right" vertical="center"/>
    </xf>
    <xf numFmtId="168" fontId="30" fillId="0" borderId="8" xfId="0" applyNumberFormat="1" applyFont="1" applyFill="1" applyBorder="1" applyAlignment="1">
      <alignment horizontal="right" vertical="center"/>
    </xf>
    <xf numFmtId="168" fontId="30" fillId="0" borderId="9" xfId="0" applyNumberFormat="1" applyFont="1" applyFill="1" applyBorder="1" applyAlignment="1">
      <alignment horizontal="right" vertical="center"/>
    </xf>
    <xf numFmtId="0" fontId="11"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 xfId="0" applyFont="1" applyFill="1" applyBorder="1" applyAlignment="1">
      <alignment horizontal="center" vertical="center"/>
    </xf>
    <xf numFmtId="164" fontId="9" fillId="0" borderId="11" xfId="0" applyNumberFormat="1" applyFont="1" applyFill="1" applyBorder="1" applyAlignment="1">
      <alignment horizontal="right" vertical="center"/>
    </xf>
    <xf numFmtId="164" fontId="9" fillId="0" borderId="10" xfId="0" applyNumberFormat="1" applyFont="1" applyFill="1" applyBorder="1" applyAlignment="1">
      <alignment horizontal="right" vertical="center"/>
    </xf>
    <xf numFmtId="164" fontId="22" fillId="4" borderId="9" xfId="0" applyNumberFormat="1" applyFont="1" applyFill="1" applyBorder="1" applyAlignment="1">
      <alignment horizontal="right" vertical="center"/>
    </xf>
    <xf numFmtId="0" fontId="32" fillId="5" borderId="6" xfId="0" applyFont="1" applyFill="1" applyBorder="1" applyAlignment="1">
      <alignment horizontal="center" wrapText="1"/>
    </xf>
    <xf numFmtId="164" fontId="22" fillId="4" borderId="1" xfId="0" applyNumberFormat="1" applyFont="1" applyFill="1" applyBorder="1" applyAlignment="1">
      <alignment horizontal="right" vertical="center"/>
    </xf>
    <xf numFmtId="164" fontId="22" fillId="4" borderId="2" xfId="0" applyNumberFormat="1" applyFont="1" applyFill="1" applyBorder="1" applyAlignment="1">
      <alignment horizontal="right" vertical="center"/>
    </xf>
    <xf numFmtId="164" fontId="22" fillId="4" borderId="3" xfId="0" applyNumberFormat="1" applyFont="1" applyFill="1" applyBorder="1" applyAlignment="1">
      <alignment horizontal="right" vertical="center"/>
    </xf>
    <xf numFmtId="164" fontId="7" fillId="0" borderId="2" xfId="0" applyNumberFormat="1" applyFont="1" applyBorder="1" applyAlignment="1">
      <alignment horizontal="right" vertical="center"/>
    </xf>
    <xf numFmtId="164" fontId="7" fillId="0" borderId="2" xfId="0" applyNumberFormat="1" applyFont="1" applyFill="1" applyBorder="1" applyAlignment="1">
      <alignment horizontal="right" vertical="center"/>
    </xf>
    <xf numFmtId="164" fontId="7" fillId="4" borderId="2" xfId="0" applyNumberFormat="1" applyFont="1" applyFill="1" applyBorder="1" applyAlignment="1">
      <alignment horizontal="right" vertical="center"/>
    </xf>
    <xf numFmtId="164" fontId="7" fillId="4" borderId="3" xfId="0" applyNumberFormat="1" applyFont="1" applyFill="1" applyBorder="1" applyAlignment="1">
      <alignment horizontal="right" vertical="center"/>
    </xf>
    <xf numFmtId="0" fontId="32" fillId="4" borderId="2" xfId="0" applyFont="1" applyFill="1" applyBorder="1" applyAlignment="1">
      <alignment horizontal="center"/>
    </xf>
    <xf numFmtId="0" fontId="32" fillId="4" borderId="3" xfId="0" applyFont="1" applyFill="1" applyBorder="1" applyAlignment="1">
      <alignment horizontal="center" vertical="center"/>
    </xf>
    <xf numFmtId="0" fontId="32" fillId="4" borderId="1" xfId="0" applyFont="1" applyFill="1" applyBorder="1" applyAlignment="1">
      <alignment horizontal="center"/>
    </xf>
    <xf numFmtId="0" fontId="32" fillId="4" borderId="14" xfId="0" applyFont="1" applyFill="1" applyBorder="1" applyAlignment="1">
      <alignment horizontal="center"/>
    </xf>
    <xf numFmtId="0" fontId="7" fillId="5" borderId="2" xfId="0" quotePrefix="1" applyFont="1" applyFill="1" applyBorder="1" applyAlignment="1">
      <alignment horizontal="center" vertical="top" wrapText="1"/>
    </xf>
    <xf numFmtId="0" fontId="11" fillId="5" borderId="5" xfId="0" applyFont="1" applyFill="1" applyBorder="1" applyAlignment="1">
      <alignment horizontal="center" vertical="top"/>
    </xf>
    <xf numFmtId="164" fontId="11" fillId="0" borderId="1" xfId="0" applyNumberFormat="1" applyFont="1" applyFill="1" applyBorder="1" applyAlignment="1">
      <alignment horizontal="center" vertical="center"/>
    </xf>
    <xf numFmtId="0" fontId="32" fillId="4" borderId="18" xfId="0" applyFont="1" applyFill="1" applyBorder="1" applyAlignment="1">
      <alignment horizontal="center"/>
    </xf>
    <xf numFmtId="164" fontId="22" fillId="4" borderId="8" xfId="0" applyNumberFormat="1" applyFont="1" applyFill="1" applyBorder="1" applyAlignment="1">
      <alignment horizontal="right" vertical="center"/>
    </xf>
    <xf numFmtId="0" fontId="7" fillId="0" borderId="0" xfId="0" applyFont="1" applyAlignment="1"/>
    <xf numFmtId="0" fontId="11" fillId="0" borderId="0" xfId="0" applyFont="1" applyAlignment="1">
      <alignment horizontal="left" vertical="top"/>
    </xf>
    <xf numFmtId="164" fontId="11" fillId="4" borderId="1" xfId="0" applyNumberFormat="1" applyFont="1" applyFill="1" applyBorder="1" applyAlignment="1">
      <alignment horizontal="right" vertical="center"/>
    </xf>
    <xf numFmtId="164" fontId="11" fillId="4" borderId="9" xfId="0" applyNumberFormat="1" applyFont="1" applyFill="1" applyBorder="1" applyAlignment="1">
      <alignment horizontal="right" vertical="center"/>
    </xf>
    <xf numFmtId="164" fontId="11" fillId="4" borderId="2" xfId="0" applyNumberFormat="1" applyFont="1" applyFill="1" applyBorder="1" applyAlignment="1">
      <alignment horizontal="right" vertical="center"/>
    </xf>
    <xf numFmtId="164" fontId="11" fillId="4" borderId="0" xfId="0" applyNumberFormat="1" applyFont="1" applyFill="1" applyBorder="1" applyAlignment="1">
      <alignment horizontal="right" vertical="center"/>
    </xf>
    <xf numFmtId="164" fontId="11" fillId="4" borderId="3" xfId="0" applyNumberFormat="1" applyFont="1" applyFill="1" applyBorder="1" applyAlignment="1">
      <alignment horizontal="right" vertical="center"/>
    </xf>
    <xf numFmtId="164" fontId="11" fillId="4" borderId="4" xfId="0" applyNumberFormat="1" applyFont="1" applyFill="1" applyBorder="1" applyAlignment="1">
      <alignment horizontal="right" vertical="center"/>
    </xf>
    <xf numFmtId="0" fontId="11" fillId="0" borderId="0" xfId="0" applyNumberFormat="1" applyFont="1" applyAlignment="1">
      <alignment vertical="top"/>
    </xf>
    <xf numFmtId="0" fontId="7" fillId="0" borderId="0" xfId="0" applyNumberFormat="1" applyFont="1" applyAlignment="1">
      <alignment vertical="top"/>
    </xf>
    <xf numFmtId="0" fontId="11" fillId="0" borderId="0" xfId="0" applyNumberFormat="1" applyFont="1" applyBorder="1" applyAlignment="1">
      <alignment horizontal="left" vertical="top"/>
    </xf>
    <xf numFmtId="0" fontId="11" fillId="0" borderId="24" xfId="0" applyFont="1" applyFill="1" applyBorder="1" applyAlignment="1">
      <alignment horizontal="left" vertical="top" wrapText="1"/>
    </xf>
    <xf numFmtId="0" fontId="8" fillId="0" borderId="0" xfId="0" applyFont="1"/>
    <xf numFmtId="168" fontId="27" fillId="0" borderId="0" xfId="0" applyNumberFormat="1" applyFont="1" applyFill="1" applyBorder="1" applyAlignment="1">
      <alignment horizontal="right" vertical="center"/>
    </xf>
    <xf numFmtId="0" fontId="11" fillId="0" borderId="0" xfId="0" applyFont="1" applyFill="1" applyBorder="1" applyAlignment="1">
      <alignment horizontal="center" vertical="center" wrapText="1"/>
    </xf>
    <xf numFmtId="0" fontId="11" fillId="0" borderId="0" xfId="0" applyFont="1" applyBorder="1" applyAlignment="1">
      <alignment wrapText="1"/>
    </xf>
    <xf numFmtId="0" fontId="11" fillId="0" borderId="0" xfId="0" quotePrefix="1" applyFont="1" applyFill="1" applyBorder="1" applyAlignment="1">
      <alignment wrapText="1"/>
    </xf>
    <xf numFmtId="0" fontId="0" fillId="0" borderId="7" xfId="0" applyFill="1" applyBorder="1"/>
    <xf numFmtId="0" fontId="9" fillId="0" borderId="0" xfId="0" quotePrefix="1" applyFont="1" applyFill="1" applyBorder="1" applyAlignment="1">
      <alignment vertical="top" wrapText="1"/>
    </xf>
    <xf numFmtId="1" fontId="34" fillId="6" borderId="9" xfId="0" applyNumberFormat="1" applyFont="1" applyFill="1" applyBorder="1" applyAlignment="1">
      <alignment horizontal="center" vertical="center"/>
    </xf>
    <xf numFmtId="0" fontId="26" fillId="0" borderId="0" xfId="0" applyFont="1" applyBorder="1" applyAlignment="1">
      <alignment vertical="top" wrapText="1"/>
    </xf>
    <xf numFmtId="0" fontId="25" fillId="0" borderId="0" xfId="0" applyFont="1" applyBorder="1" applyAlignment="1">
      <alignment vertical="center" wrapText="1"/>
    </xf>
    <xf numFmtId="1" fontId="8" fillId="7" borderId="1" xfId="0" applyNumberFormat="1" applyFont="1" applyFill="1" applyBorder="1" applyAlignment="1">
      <alignment horizontal="center" vertical="center"/>
    </xf>
    <xf numFmtId="0" fontId="9" fillId="0" borderId="0" xfId="0" quotePrefix="1" applyFont="1" applyFill="1" applyBorder="1" applyAlignment="1">
      <alignment horizontal="left" vertical="top" wrapText="1"/>
    </xf>
    <xf numFmtId="1" fontId="8" fillId="5" borderId="6" xfId="0" applyNumberFormat="1" applyFont="1" applyFill="1" applyBorder="1" applyAlignment="1">
      <alignment horizontal="center"/>
    </xf>
    <xf numFmtId="1" fontId="8" fillId="5" borderId="7" xfId="0" applyNumberFormat="1" applyFont="1" applyFill="1" applyBorder="1" applyAlignment="1">
      <alignment horizontal="center" vertical="center"/>
    </xf>
    <xf numFmtId="164" fontId="21" fillId="0" borderId="0" xfId="0" applyNumberFormat="1" applyFont="1" applyFill="1" applyBorder="1" applyAlignment="1">
      <alignment horizontal="right" vertical="center"/>
    </xf>
    <xf numFmtId="0" fontId="32" fillId="4" borderId="8" xfId="0" applyFont="1" applyFill="1" applyBorder="1" applyAlignment="1">
      <alignment horizontal="center" vertical="center" wrapText="1"/>
    </xf>
    <xf numFmtId="0" fontId="32" fillId="4" borderId="24" xfId="0" applyFont="1" applyFill="1" applyBorder="1" applyAlignment="1">
      <alignment horizontal="center" vertical="center" wrapText="1"/>
    </xf>
    <xf numFmtId="164" fontId="21" fillId="0" borderId="8" xfId="0" applyNumberFormat="1" applyFont="1" applyFill="1" applyBorder="1" applyAlignment="1">
      <alignment horizontal="right" vertical="center"/>
    </xf>
    <xf numFmtId="164" fontId="21" fillId="0" borderId="9" xfId="0" applyNumberFormat="1" applyFont="1" applyFill="1" applyBorder="1" applyAlignment="1">
      <alignment horizontal="right" vertical="center"/>
    </xf>
    <xf numFmtId="164" fontId="21" fillId="0" borderId="11" xfId="0" applyNumberFormat="1" applyFont="1" applyFill="1" applyBorder="1" applyAlignment="1">
      <alignment horizontal="right" vertical="center"/>
    </xf>
    <xf numFmtId="164" fontId="21" fillId="0" borderId="4" xfId="0" applyNumberFormat="1" applyFont="1" applyFill="1" applyBorder="1" applyAlignment="1">
      <alignment horizontal="right" vertical="center"/>
    </xf>
    <xf numFmtId="0" fontId="11" fillId="4" borderId="3" xfId="0" applyFont="1" applyFill="1" applyBorder="1" applyAlignment="1">
      <alignment horizontal="center" vertical="center"/>
    </xf>
    <xf numFmtId="1" fontId="8" fillId="8" borderId="24" xfId="0" applyNumberFormat="1" applyFont="1" applyFill="1" applyBorder="1" applyAlignment="1">
      <alignment horizontal="center" vertical="center"/>
    </xf>
    <xf numFmtId="164" fontId="9" fillId="0" borderId="24" xfId="0" quotePrefix="1" applyNumberFormat="1" applyFont="1" applyBorder="1" applyAlignment="1">
      <alignment vertical="center"/>
    </xf>
    <xf numFmtId="164" fontId="9" fillId="0" borderId="24" xfId="0" applyNumberFormat="1" applyFont="1" applyBorder="1" applyAlignment="1">
      <alignment vertical="center"/>
    </xf>
    <xf numFmtId="164" fontId="7" fillId="0" borderId="11" xfId="0" applyNumberFormat="1" applyFont="1" applyBorder="1" applyAlignment="1">
      <alignment horizontal="right" vertical="center"/>
    </xf>
    <xf numFmtId="164" fontId="7" fillId="0" borderId="0" xfId="0" applyNumberFormat="1" applyFont="1" applyBorder="1" applyAlignment="1">
      <alignment horizontal="right" vertical="center"/>
    </xf>
    <xf numFmtId="164" fontId="9" fillId="0" borderId="13" xfId="0" applyNumberFormat="1" applyFont="1" applyFill="1" applyBorder="1" applyAlignment="1">
      <alignment horizontal="right" vertical="center"/>
    </xf>
    <xf numFmtId="164" fontId="9" fillId="4" borderId="11" xfId="0" applyNumberFormat="1" applyFont="1" applyFill="1" applyBorder="1" applyAlignment="1">
      <alignment horizontal="right" vertical="center"/>
    </xf>
    <xf numFmtId="164" fontId="9" fillId="4" borderId="0" xfId="0" applyNumberFormat="1" applyFont="1" applyFill="1" applyBorder="1" applyAlignment="1">
      <alignment horizontal="right" vertical="center"/>
    </xf>
    <xf numFmtId="164" fontId="9" fillId="4" borderId="5" xfId="0" applyNumberFormat="1" applyFont="1" applyFill="1" applyBorder="1" applyAlignment="1">
      <alignment horizontal="right" vertical="center"/>
    </xf>
    <xf numFmtId="164" fontId="7" fillId="0" borderId="11"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164" fontId="7" fillId="4" borderId="11" xfId="0" applyNumberFormat="1" applyFont="1" applyFill="1" applyBorder="1" applyAlignment="1">
      <alignment horizontal="right" vertical="center"/>
    </xf>
    <xf numFmtId="164" fontId="7" fillId="4" borderId="0" xfId="0" applyNumberFormat="1" applyFont="1" applyFill="1" applyBorder="1" applyAlignment="1">
      <alignment horizontal="right" vertical="center"/>
    </xf>
    <xf numFmtId="164" fontId="9" fillId="4" borderId="13" xfId="0" applyNumberFormat="1" applyFont="1" applyFill="1" applyBorder="1" applyAlignment="1">
      <alignment horizontal="right" vertical="center"/>
    </xf>
    <xf numFmtId="164" fontId="21" fillId="4" borderId="11" xfId="0" applyNumberFormat="1" applyFont="1" applyFill="1" applyBorder="1" applyAlignment="1">
      <alignment horizontal="right" vertical="center"/>
    </xf>
    <xf numFmtId="164" fontId="21" fillId="4" borderId="0" xfId="0" applyNumberFormat="1" applyFont="1" applyFill="1" applyBorder="1" applyAlignment="1">
      <alignment horizontal="right" vertical="center"/>
    </xf>
    <xf numFmtId="164" fontId="9" fillId="0" borderId="11"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9" fillId="0" borderId="5" xfId="0" applyNumberFormat="1" applyFont="1" applyBorder="1" applyAlignment="1">
      <alignment horizontal="right" vertical="center"/>
    </xf>
    <xf numFmtId="164" fontId="9" fillId="0" borderId="5" xfId="0" applyNumberFormat="1" applyFont="1" applyFill="1" applyBorder="1" applyAlignment="1">
      <alignment horizontal="right" vertical="center"/>
    </xf>
    <xf numFmtId="164" fontId="9" fillId="4" borderId="10" xfId="0" applyNumberFormat="1" applyFont="1" applyFill="1" applyBorder="1" applyAlignment="1">
      <alignment horizontal="right" vertical="center"/>
    </xf>
    <xf numFmtId="164" fontId="9" fillId="4" borderId="4" xfId="0" applyNumberFormat="1" applyFont="1" applyFill="1" applyBorder="1" applyAlignment="1">
      <alignment horizontal="right" vertical="center"/>
    </xf>
    <xf numFmtId="164" fontId="9" fillId="0" borderId="9" xfId="0"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164" fontId="21" fillId="0" borderId="0" xfId="0" applyNumberFormat="1" applyFont="1" applyBorder="1" applyAlignment="1">
      <alignment horizontal="right" vertical="center"/>
    </xf>
    <xf numFmtId="164" fontId="9" fillId="0" borderId="26" xfId="0" applyNumberFormat="1" applyFont="1" applyFill="1" applyBorder="1" applyAlignment="1">
      <alignment horizontal="right" vertical="center"/>
    </xf>
    <xf numFmtId="164" fontId="9" fillId="0" borderId="4" xfId="0" applyNumberFormat="1" applyFont="1" applyBorder="1" applyAlignment="1">
      <alignment horizontal="right" vertical="center"/>
    </xf>
    <xf numFmtId="164" fontId="8" fillId="4" borderId="6" xfId="0" applyNumberFormat="1" applyFont="1" applyFill="1" applyBorder="1" applyAlignment="1">
      <alignment horizontal="center" vertical="center"/>
    </xf>
    <xf numFmtId="164" fontId="8" fillId="4" borderId="5" xfId="0" applyNumberFormat="1" applyFont="1" applyFill="1" applyBorder="1" applyAlignment="1">
      <alignment horizontal="center" vertical="center"/>
    </xf>
    <xf numFmtId="164" fontId="8" fillId="4" borderId="7" xfId="0" applyNumberFormat="1" applyFont="1" applyFill="1" applyBorder="1" applyAlignment="1">
      <alignment horizontal="center" vertical="center"/>
    </xf>
    <xf numFmtId="164" fontId="9" fillId="0" borderId="8" xfId="0" applyNumberFormat="1" applyFont="1" applyBorder="1" applyAlignment="1">
      <alignment horizontal="right" vertical="center"/>
    </xf>
    <xf numFmtId="164" fontId="9" fillId="0" borderId="9" xfId="0" applyNumberFormat="1" applyFont="1" applyBorder="1" applyAlignment="1">
      <alignment horizontal="right" vertical="center"/>
    </xf>
    <xf numFmtId="164" fontId="8" fillId="0" borderId="5" xfId="0"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164" fontId="0" fillId="0" borderId="0" xfId="0" applyNumberFormat="1"/>
    <xf numFmtId="0" fontId="26" fillId="0" borderId="0" xfId="0" applyFont="1" applyBorder="1" applyAlignment="1">
      <alignment horizontal="center" vertical="top" wrapText="1"/>
    </xf>
    <xf numFmtId="0" fontId="25" fillId="0" borderId="0" xfId="0" applyFont="1" applyBorder="1" applyAlignment="1">
      <alignment horizontal="center" vertical="center" wrapText="1"/>
    </xf>
    <xf numFmtId="0" fontId="9" fillId="0" borderId="0" xfId="0" quotePrefix="1" applyFont="1" applyFill="1" applyBorder="1" applyAlignment="1">
      <alignment horizontal="left" vertical="top" wrapText="1"/>
    </xf>
    <xf numFmtId="0" fontId="4" fillId="0" borderId="0" xfId="0" applyNumberFormat="1" applyFont="1" applyFill="1" applyBorder="1" applyAlignment="1"/>
    <xf numFmtId="0" fontId="7" fillId="0" borderId="0" xfId="0" quotePrefix="1" applyFont="1" applyAlignment="1">
      <alignment vertical="top"/>
    </xf>
    <xf numFmtId="164" fontId="7" fillId="0" borderId="9" xfId="0" applyNumberFormat="1" applyFont="1" applyBorder="1" applyAlignment="1">
      <alignment horizontal="right" vertical="center"/>
    </xf>
    <xf numFmtId="164" fontId="7" fillId="0" borderId="5" xfId="0" applyNumberFormat="1" applyFont="1" applyFill="1" applyBorder="1" applyAlignment="1">
      <alignment horizontal="right" vertical="center"/>
    </xf>
    <xf numFmtId="164" fontId="8" fillId="4" borderId="1" xfId="0" applyNumberFormat="1" applyFont="1" applyFill="1" applyBorder="1" applyAlignment="1">
      <alignment horizontal="right" vertical="center"/>
    </xf>
    <xf numFmtId="164" fontId="8" fillId="4" borderId="2" xfId="0" applyNumberFormat="1" applyFont="1" applyFill="1" applyBorder="1" applyAlignment="1">
      <alignment horizontal="right" vertical="center"/>
    </xf>
    <xf numFmtId="164" fontId="8" fillId="4" borderId="3" xfId="0" applyNumberFormat="1" applyFont="1" applyFill="1" applyBorder="1" applyAlignment="1">
      <alignment horizontal="right" vertical="center"/>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6" fontId="0" fillId="0" borderId="0" xfId="0" applyNumberFormat="1" applyFill="1" applyBorder="1" applyAlignment="1"/>
    <xf numFmtId="164" fontId="7" fillId="4" borderId="7" xfId="0" applyNumberFormat="1" applyFont="1" applyFill="1" applyBorder="1" applyAlignment="1">
      <alignment horizontal="right" vertical="center"/>
    </xf>
    <xf numFmtId="164" fontId="21" fillId="4" borderId="2" xfId="0" applyNumberFormat="1" applyFont="1" applyFill="1" applyBorder="1" applyAlignment="1">
      <alignment horizontal="right" vertical="center"/>
    </xf>
    <xf numFmtId="0" fontId="26" fillId="0" borderId="0" xfId="0" applyFont="1" applyBorder="1" applyAlignment="1">
      <alignment horizontal="center" vertical="top" wrapText="1"/>
    </xf>
    <xf numFmtId="0" fontId="25" fillId="0" borderId="0" xfId="0" applyFont="1" applyBorder="1" applyAlignment="1">
      <alignment horizontal="center" vertical="center" wrapText="1"/>
    </xf>
    <xf numFmtId="0" fontId="9" fillId="0" borderId="0" xfId="0" quotePrefix="1" applyFont="1" applyFill="1" applyBorder="1" applyAlignment="1">
      <alignment horizontal="left" vertical="top" wrapText="1"/>
    </xf>
    <xf numFmtId="0" fontId="7" fillId="0" borderId="0" xfId="0" applyFont="1" applyBorder="1" applyAlignment="1">
      <alignment horizontal="right" vertical="center"/>
    </xf>
    <xf numFmtId="164" fontId="21" fillId="4" borderId="5" xfId="0" applyNumberFormat="1" applyFont="1" applyFill="1" applyBorder="1" applyAlignment="1">
      <alignment horizontal="right" vertical="center"/>
    </xf>
    <xf numFmtId="0" fontId="35" fillId="0" borderId="0" xfId="4"/>
    <xf numFmtId="0" fontId="4" fillId="0" borderId="0" xfId="4" applyNumberFormat="1" applyFont="1" applyFill="1" applyBorder="1" applyAlignment="1"/>
    <xf numFmtId="164" fontId="8" fillId="4" borderId="1" xfId="0" applyNumberFormat="1" applyFont="1" applyFill="1" applyBorder="1" applyAlignment="1">
      <alignment horizontal="center" vertical="center"/>
    </xf>
    <xf numFmtId="164" fontId="8" fillId="4" borderId="2" xfId="0" applyNumberFormat="1" applyFont="1" applyFill="1" applyBorder="1" applyAlignment="1">
      <alignment horizontal="center" vertical="center"/>
    </xf>
    <xf numFmtId="164" fontId="8" fillId="4" borderId="3"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4" borderId="2" xfId="0" applyNumberFormat="1" applyFont="1" applyFill="1" applyBorder="1" applyAlignment="1">
      <alignment horizontal="center" vertical="center"/>
    </xf>
    <xf numFmtId="164" fontId="21" fillId="4" borderId="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4" borderId="4" xfId="0" applyNumberFormat="1" applyFont="1" applyFill="1" applyBorder="1" applyAlignment="1">
      <alignment horizontal="right" vertical="center"/>
    </xf>
    <xf numFmtId="164" fontId="7" fillId="4" borderId="5" xfId="0" applyNumberFormat="1" applyFont="1" applyFill="1" applyBorder="1" applyAlignment="1">
      <alignment horizontal="right" vertical="center"/>
    </xf>
    <xf numFmtId="164" fontId="7" fillId="0" borderId="5" xfId="0" applyNumberFormat="1" applyFont="1" applyBorder="1" applyAlignment="1">
      <alignment horizontal="right" vertical="center"/>
    </xf>
    <xf numFmtId="0" fontId="8" fillId="0" borderId="0" xfId="0" applyFont="1" applyAlignment="1">
      <alignment vertical="top"/>
    </xf>
    <xf numFmtId="164" fontId="8" fillId="4" borderId="9" xfId="0" applyNumberFormat="1" applyFont="1" applyFill="1" applyBorder="1" applyAlignment="1">
      <alignment horizontal="right" vertical="center"/>
    </xf>
    <xf numFmtId="164" fontId="8" fillId="4" borderId="0" xfId="0" applyNumberFormat="1" applyFont="1" applyFill="1" applyBorder="1" applyAlignment="1">
      <alignment horizontal="right" vertical="center"/>
    </xf>
    <xf numFmtId="164" fontId="8" fillId="4" borderId="4" xfId="0" applyNumberFormat="1" applyFont="1" applyFill="1" applyBorder="1" applyAlignment="1">
      <alignment horizontal="right" vertical="center"/>
    </xf>
    <xf numFmtId="164" fontId="7" fillId="0" borderId="9" xfId="0" applyNumberFormat="1" applyFont="1" applyFill="1" applyBorder="1" applyAlignment="1">
      <alignment horizontal="right" vertical="center"/>
    </xf>
    <xf numFmtId="0" fontId="8" fillId="9" borderId="2" xfId="0" applyFont="1" applyFill="1" applyBorder="1" applyAlignment="1">
      <alignment horizontal="center" vertical="center"/>
    </xf>
    <xf numFmtId="2" fontId="9" fillId="9" borderId="2" xfId="0" applyNumberFormat="1" applyFont="1" applyFill="1" applyBorder="1" applyAlignment="1">
      <alignment horizontal="right" vertical="center"/>
    </xf>
    <xf numFmtId="164" fontId="9" fillId="9" borderId="0" xfId="0" applyNumberFormat="1" applyFont="1" applyFill="1" applyBorder="1" applyAlignment="1">
      <alignment horizontal="right" vertical="center"/>
    </xf>
    <xf numFmtId="164" fontId="9" fillId="9" borderId="13" xfId="0" applyNumberFormat="1" applyFont="1" applyFill="1" applyBorder="1" applyAlignment="1">
      <alignment horizontal="right" vertical="center"/>
    </xf>
    <xf numFmtId="164" fontId="7" fillId="4" borderId="13" xfId="0" applyNumberFormat="1" applyFont="1" applyFill="1" applyBorder="1" applyAlignment="1">
      <alignment horizontal="right" vertical="center"/>
    </xf>
    <xf numFmtId="164" fontId="7" fillId="0" borderId="2" xfId="0" applyNumberFormat="1" applyFont="1" applyBorder="1" applyAlignment="1">
      <alignment horizontal="center" vertical="center"/>
    </xf>
    <xf numFmtId="164" fontId="7" fillId="9" borderId="0" xfId="0" applyNumberFormat="1" applyFont="1" applyFill="1" applyBorder="1" applyAlignment="1">
      <alignment horizontal="right" vertical="center"/>
    </xf>
    <xf numFmtId="164" fontId="7" fillId="9" borderId="2" xfId="0" applyNumberFormat="1" applyFont="1" applyFill="1" applyBorder="1" applyAlignment="1">
      <alignment horizontal="center" vertical="center"/>
    </xf>
    <xf numFmtId="0" fontId="8" fillId="10" borderId="2" xfId="0" applyFont="1" applyFill="1" applyBorder="1" applyAlignment="1">
      <alignment horizontal="center" vertical="center"/>
    </xf>
    <xf numFmtId="2" fontId="9" fillId="10" borderId="2" xfId="0" applyNumberFormat="1" applyFont="1" applyFill="1" applyBorder="1" applyAlignment="1">
      <alignment horizontal="right" vertical="center"/>
    </xf>
    <xf numFmtId="164" fontId="9" fillId="10" borderId="0" xfId="0" applyNumberFormat="1" applyFont="1" applyFill="1" applyBorder="1" applyAlignment="1">
      <alignment horizontal="right" vertical="center"/>
    </xf>
    <xf numFmtId="164" fontId="9" fillId="10" borderId="25" xfId="0" applyNumberFormat="1" applyFont="1" applyFill="1" applyBorder="1" applyAlignment="1">
      <alignment horizontal="right" vertical="center"/>
    </xf>
    <xf numFmtId="164" fontId="7" fillId="10" borderId="0" xfId="0" applyNumberFormat="1" applyFont="1" applyFill="1" applyBorder="1" applyAlignment="1">
      <alignment horizontal="right" vertical="center"/>
    </xf>
    <xf numFmtId="164" fontId="9" fillId="10" borderId="4" xfId="0" applyNumberFormat="1" applyFont="1" applyFill="1" applyBorder="1" applyAlignment="1">
      <alignment horizontal="right" vertical="center"/>
    </xf>
    <xf numFmtId="164" fontId="9" fillId="4" borderId="30" xfId="0" applyNumberFormat="1" applyFont="1" applyFill="1" applyBorder="1" applyAlignment="1">
      <alignment horizontal="right" vertical="center"/>
    </xf>
    <xf numFmtId="164" fontId="9" fillId="0" borderId="30" xfId="0" applyNumberFormat="1" applyFont="1" applyFill="1" applyBorder="1" applyAlignment="1">
      <alignment horizontal="right" vertical="center"/>
    </xf>
    <xf numFmtId="164" fontId="21" fillId="9" borderId="0" xfId="0" applyNumberFormat="1" applyFont="1" applyFill="1" applyBorder="1" applyAlignment="1">
      <alignment horizontal="right" vertical="center"/>
    </xf>
    <xf numFmtId="164" fontId="21" fillId="0" borderId="9" xfId="0" applyNumberFormat="1" applyFont="1" applyBorder="1" applyAlignment="1">
      <alignment horizontal="right" vertical="center"/>
    </xf>
    <xf numFmtId="0" fontId="8" fillId="0" borderId="0" xfId="0" applyFont="1" applyFill="1" applyBorder="1" applyAlignment="1">
      <alignment horizontal="left"/>
    </xf>
    <xf numFmtId="0" fontId="26" fillId="0" borderId="0" xfId="0" applyFont="1" applyBorder="1" applyAlignment="1">
      <alignment horizontal="center" vertical="top" wrapText="1"/>
    </xf>
    <xf numFmtId="0" fontId="25" fillId="0" borderId="0" xfId="0" applyFont="1" applyBorder="1" applyAlignment="1">
      <alignment horizontal="center" vertical="center" wrapText="1"/>
    </xf>
    <xf numFmtId="0" fontId="9" fillId="0" borderId="0" xfId="0" quotePrefix="1" applyFont="1" applyFill="1" applyBorder="1" applyAlignment="1">
      <alignment horizontal="left" vertical="top" wrapText="1"/>
    </xf>
    <xf numFmtId="164" fontId="7" fillId="4" borderId="30" xfId="0" applyNumberFormat="1" applyFont="1" applyFill="1" applyBorder="1" applyAlignment="1">
      <alignment horizontal="right" vertical="center"/>
    </xf>
    <xf numFmtId="164" fontId="9" fillId="10" borderId="11" xfId="0" applyNumberFormat="1" applyFont="1" applyFill="1" applyBorder="1" applyAlignment="1">
      <alignment horizontal="right" vertical="center"/>
    </xf>
    <xf numFmtId="164" fontId="9" fillId="10" borderId="5" xfId="0" applyNumberFormat="1" applyFont="1" applyFill="1" applyBorder="1" applyAlignment="1">
      <alignment horizontal="right" vertical="center"/>
    </xf>
    <xf numFmtId="164" fontId="9" fillId="10" borderId="2" xfId="0" applyNumberFormat="1" applyFont="1" applyFill="1" applyBorder="1" applyAlignment="1">
      <alignment horizontal="right" vertical="center"/>
    </xf>
    <xf numFmtId="0" fontId="8" fillId="10" borderId="1" xfId="0" applyFont="1" applyFill="1" applyBorder="1" applyAlignment="1">
      <alignment horizontal="center" vertical="center"/>
    </xf>
    <xf numFmtId="164" fontId="21" fillId="10" borderId="11" xfId="0" applyNumberFormat="1" applyFont="1" applyFill="1" applyBorder="1" applyAlignment="1">
      <alignment horizontal="right" vertical="center"/>
    </xf>
    <xf numFmtId="164" fontId="21" fillId="10" borderId="0" xfId="0" applyNumberFormat="1" applyFont="1" applyFill="1" applyBorder="1" applyAlignment="1">
      <alignment horizontal="right" vertical="center"/>
    </xf>
    <xf numFmtId="164" fontId="9" fillId="10" borderId="9" xfId="0" applyNumberFormat="1" applyFont="1" applyFill="1" applyBorder="1" applyAlignment="1">
      <alignment horizontal="right" vertical="center"/>
    </xf>
    <xf numFmtId="164" fontId="7" fillId="10" borderId="9" xfId="0" applyNumberFormat="1" applyFont="1" applyFill="1" applyBorder="1" applyAlignment="1">
      <alignment horizontal="right" vertical="center"/>
    </xf>
    <xf numFmtId="164" fontId="7" fillId="10" borderId="6" xfId="0" applyNumberFormat="1" applyFont="1" applyFill="1" applyBorder="1" applyAlignment="1">
      <alignment horizontal="right" vertical="center"/>
    </xf>
    <xf numFmtId="164" fontId="8" fillId="10" borderId="6" xfId="0" applyNumberFormat="1" applyFont="1" applyFill="1" applyBorder="1" applyAlignment="1">
      <alignment horizontal="center" vertical="center"/>
    </xf>
    <xf numFmtId="164" fontId="9" fillId="10" borderId="1" xfId="0" applyNumberFormat="1" applyFont="1" applyFill="1" applyBorder="1" applyAlignment="1">
      <alignment horizontal="right" vertical="center"/>
    </xf>
    <xf numFmtId="164" fontId="21" fillId="10" borderId="1" xfId="0" applyNumberFormat="1" applyFont="1" applyFill="1" applyBorder="1" applyAlignment="1">
      <alignment horizontal="right" vertical="center"/>
    </xf>
    <xf numFmtId="164" fontId="21" fillId="10" borderId="9" xfId="0" applyNumberFormat="1" applyFont="1" applyFill="1" applyBorder="1" applyAlignment="1">
      <alignment horizontal="right" vertical="center"/>
    </xf>
    <xf numFmtId="164" fontId="21" fillId="10" borderId="6" xfId="0" applyNumberFormat="1" applyFont="1" applyFill="1" applyBorder="1" applyAlignment="1">
      <alignment horizontal="right" vertical="center"/>
    </xf>
    <xf numFmtId="164" fontId="21" fillId="0" borderId="2" xfId="0" applyNumberFormat="1" applyFont="1" applyFill="1" applyBorder="1" applyAlignment="1">
      <alignment horizontal="right" vertical="center"/>
    </xf>
    <xf numFmtId="164" fontId="7" fillId="10" borderId="2" xfId="0" applyNumberFormat="1" applyFont="1" applyFill="1" applyBorder="1" applyAlignment="1">
      <alignment horizontal="center" vertical="center"/>
    </xf>
    <xf numFmtId="164" fontId="7" fillId="10" borderId="1" xfId="0" applyNumberFormat="1" applyFont="1" applyFill="1" applyBorder="1" applyAlignment="1">
      <alignment horizontal="center" vertical="center"/>
    </xf>
    <xf numFmtId="173" fontId="0" fillId="0" borderId="0" xfId="0" applyNumberFormat="1"/>
    <xf numFmtId="173" fontId="9" fillId="0" borderId="0" xfId="0" applyNumberFormat="1" applyFont="1" applyFill="1" applyBorder="1" applyAlignment="1">
      <alignment horizontal="right" vertical="center"/>
    </xf>
    <xf numFmtId="174" fontId="22" fillId="4" borderId="8" xfId="0" applyNumberFormat="1" applyFont="1" applyFill="1" applyBorder="1" applyAlignment="1">
      <alignment horizontal="right" vertical="center"/>
    </xf>
    <xf numFmtId="174" fontId="22" fillId="4" borderId="9" xfId="0" applyNumberFormat="1" applyFont="1" applyFill="1" applyBorder="1" applyAlignment="1">
      <alignment horizontal="right" vertical="center"/>
    </xf>
    <xf numFmtId="174" fontId="22" fillId="4" borderId="6" xfId="0" applyNumberFormat="1" applyFont="1" applyFill="1" applyBorder="1" applyAlignment="1">
      <alignment horizontal="right" vertical="center"/>
    </xf>
    <xf numFmtId="174" fontId="22" fillId="4" borderId="11" xfId="0" applyNumberFormat="1" applyFont="1" applyFill="1" applyBorder="1" applyAlignment="1">
      <alignment horizontal="right" vertical="center"/>
    </xf>
    <xf numFmtId="174" fontId="22" fillId="4" borderId="0" xfId="0" applyNumberFormat="1" applyFont="1" applyFill="1" applyBorder="1" applyAlignment="1">
      <alignment horizontal="right" vertical="center"/>
    </xf>
    <xf numFmtId="174" fontId="8" fillId="4" borderId="0" xfId="0" applyNumberFormat="1" applyFont="1" applyFill="1" applyBorder="1" applyAlignment="1">
      <alignment horizontal="right" vertical="center"/>
    </xf>
    <xf numFmtId="174" fontId="11" fillId="4" borderId="0" xfId="0" applyNumberFormat="1" applyFont="1" applyFill="1" applyBorder="1" applyAlignment="1">
      <alignment horizontal="right" vertical="center"/>
    </xf>
    <xf numFmtId="174" fontId="8" fillId="4" borderId="5" xfId="0" applyNumberFormat="1" applyFont="1" applyFill="1" applyBorder="1" applyAlignment="1">
      <alignment horizontal="right" vertical="center"/>
    </xf>
    <xf numFmtId="174" fontId="22" fillId="4" borderId="10" xfId="0" applyNumberFormat="1" applyFont="1" applyFill="1" applyBorder="1" applyAlignment="1">
      <alignment horizontal="right" vertical="center"/>
    </xf>
    <xf numFmtId="174" fontId="22" fillId="4" borderId="4" xfId="0" applyNumberFormat="1" applyFont="1" applyFill="1" applyBorder="1" applyAlignment="1">
      <alignment horizontal="right" vertical="center"/>
    </xf>
    <xf numFmtId="174" fontId="22" fillId="4" borderId="7" xfId="0" applyNumberFormat="1" applyFont="1" applyFill="1" applyBorder="1" applyAlignment="1">
      <alignment horizontal="right" vertical="center"/>
    </xf>
    <xf numFmtId="164" fontId="21" fillId="0" borderId="6" xfId="0" applyNumberFormat="1" applyFont="1" applyBorder="1" applyAlignment="1">
      <alignment horizontal="right" vertical="center"/>
    </xf>
    <xf numFmtId="0" fontId="8" fillId="10" borderId="3" xfId="0" applyFont="1" applyFill="1" applyBorder="1" applyAlignment="1">
      <alignment horizontal="center" vertical="center"/>
    </xf>
    <xf numFmtId="2" fontId="9" fillId="10" borderId="3" xfId="0" applyNumberFormat="1" applyFont="1" applyFill="1" applyBorder="1" applyAlignment="1">
      <alignment horizontal="right" vertical="center"/>
    </xf>
    <xf numFmtId="164" fontId="9" fillId="10" borderId="7"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7" fillId="10" borderId="5" xfId="0" applyNumberFormat="1" applyFont="1" applyFill="1" applyBorder="1" applyAlignment="1">
      <alignment horizontal="right" vertical="center"/>
    </xf>
    <xf numFmtId="164" fontId="9" fillId="0" borderId="31" xfId="0" applyNumberFormat="1" applyFont="1" applyFill="1" applyBorder="1" applyAlignment="1">
      <alignment horizontal="right" vertical="center"/>
    </xf>
    <xf numFmtId="164" fontId="7" fillId="10" borderId="3" xfId="0" applyNumberFormat="1" applyFont="1" applyFill="1" applyBorder="1" applyAlignment="1">
      <alignment horizontal="right" vertical="center"/>
    </xf>
    <xf numFmtId="164" fontId="7" fillId="10" borderId="2" xfId="0" applyNumberFormat="1" applyFont="1" applyFill="1" applyBorder="1" applyAlignment="1">
      <alignment horizontal="right" vertical="center"/>
    </xf>
    <xf numFmtId="164" fontId="7" fillId="0" borderId="3" xfId="0" applyNumberFormat="1" applyFont="1" applyFill="1" applyBorder="1" applyAlignment="1">
      <alignment horizontal="right" vertical="center"/>
    </xf>
    <xf numFmtId="164" fontId="9" fillId="9" borderId="5" xfId="0" applyNumberFormat="1" applyFont="1" applyFill="1" applyBorder="1" applyAlignment="1">
      <alignment horizontal="right" vertical="center"/>
    </xf>
    <xf numFmtId="164" fontId="7" fillId="9" borderId="5" xfId="0" applyNumberFormat="1" applyFont="1" applyFill="1" applyBorder="1" applyAlignment="1">
      <alignment horizontal="right" vertical="center"/>
    </xf>
    <xf numFmtId="164" fontId="9" fillId="10" borderId="13" xfId="0" applyNumberFormat="1" applyFont="1" applyFill="1" applyBorder="1" applyAlignment="1">
      <alignment horizontal="right" vertical="center"/>
    </xf>
    <xf numFmtId="2" fontId="7" fillId="0" borderId="2" xfId="0" applyNumberFormat="1" applyFont="1" applyFill="1" applyBorder="1" applyAlignment="1">
      <alignment horizontal="right" vertical="center"/>
    </xf>
    <xf numFmtId="2" fontId="7" fillId="10" borderId="1" xfId="0" applyNumberFormat="1" applyFont="1" applyFill="1" applyBorder="1" applyAlignment="1">
      <alignment horizontal="right" vertical="center"/>
    </xf>
    <xf numFmtId="164" fontId="7" fillId="0" borderId="4" xfId="0" applyNumberFormat="1" applyFont="1" applyFill="1" applyBorder="1" applyAlignment="1">
      <alignment horizontal="right" vertical="center"/>
    </xf>
    <xf numFmtId="164" fontId="7" fillId="9" borderId="2" xfId="0" applyNumberFormat="1" applyFont="1" applyFill="1" applyBorder="1" applyAlignment="1">
      <alignment horizontal="right" vertical="center"/>
    </xf>
    <xf numFmtId="164" fontId="9" fillId="9" borderId="2" xfId="0" applyNumberFormat="1" applyFont="1" applyFill="1" applyBorder="1" applyAlignment="1">
      <alignment horizontal="right" vertical="center"/>
    </xf>
    <xf numFmtId="164" fontId="7" fillId="10" borderId="2" xfId="0" applyNumberFormat="1" applyFont="1" applyFill="1" applyBorder="1" applyAlignment="1">
      <alignment horizontal="right"/>
    </xf>
    <xf numFmtId="164" fontId="7" fillId="0" borderId="2" xfId="0" applyNumberFormat="1" applyFont="1" applyBorder="1" applyAlignment="1">
      <alignment horizontal="right"/>
    </xf>
    <xf numFmtId="164" fontId="21" fillId="0" borderId="2" xfId="0" applyNumberFormat="1" applyFont="1" applyBorder="1" applyAlignment="1">
      <alignment horizontal="right"/>
    </xf>
    <xf numFmtId="164" fontId="21" fillId="9" borderId="5" xfId="0" applyNumberFormat="1" applyFont="1" applyFill="1" applyBorder="1" applyAlignment="1">
      <alignment horizontal="right" vertical="center"/>
    </xf>
    <xf numFmtId="164" fontId="7" fillId="0" borderId="6" xfId="0" applyNumberFormat="1" applyFont="1" applyFill="1" applyBorder="1" applyAlignment="1">
      <alignment horizontal="right" vertical="center"/>
    </xf>
    <xf numFmtId="2" fontId="9" fillId="10" borderId="1" xfId="0" applyNumberFormat="1" applyFont="1" applyFill="1" applyBorder="1" applyAlignment="1">
      <alignment horizontal="right" vertical="center"/>
    </xf>
    <xf numFmtId="164" fontId="7" fillId="0" borderId="1" xfId="0" applyNumberFormat="1" applyFont="1" applyFill="1" applyBorder="1" applyAlignment="1">
      <alignment horizontal="center"/>
    </xf>
    <xf numFmtId="2" fontId="7" fillId="10" borderId="2" xfId="0" applyNumberFormat="1" applyFont="1" applyFill="1" applyBorder="1" applyAlignment="1">
      <alignment horizontal="right" vertical="center"/>
    </xf>
    <xf numFmtId="164" fontId="9" fillId="10" borderId="10" xfId="0" applyNumberFormat="1" applyFont="1" applyFill="1" applyBorder="1" applyAlignment="1">
      <alignment horizontal="right" vertical="center"/>
    </xf>
    <xf numFmtId="164" fontId="9" fillId="10" borderId="27" xfId="0" applyNumberFormat="1" applyFont="1" applyFill="1" applyBorder="1" applyAlignment="1">
      <alignment horizontal="right" vertical="center"/>
    </xf>
    <xf numFmtId="164" fontId="21" fillId="10" borderId="5" xfId="0" applyNumberFormat="1" applyFont="1" applyFill="1" applyBorder="1" applyAlignment="1">
      <alignment horizontal="right" vertical="center"/>
    </xf>
    <xf numFmtId="164" fontId="21" fillId="0" borderId="2" xfId="0" applyNumberFormat="1" applyFont="1" applyBorder="1" applyAlignment="1">
      <alignment horizontal="right" vertical="center"/>
    </xf>
    <xf numFmtId="164" fontId="7" fillId="10" borderId="1" xfId="0" applyNumberFormat="1" applyFont="1" applyFill="1" applyBorder="1" applyAlignment="1">
      <alignment horizontal="right"/>
    </xf>
    <xf numFmtId="164" fontId="7" fillId="10" borderId="1" xfId="0" applyNumberFormat="1" applyFont="1" applyFill="1" applyBorder="1" applyAlignment="1">
      <alignment horizontal="right" vertical="center"/>
    </xf>
    <xf numFmtId="164" fontId="7" fillId="10" borderId="3" xfId="0" applyNumberFormat="1" applyFont="1" applyFill="1" applyBorder="1" applyAlignment="1">
      <alignment horizontal="right"/>
    </xf>
    <xf numFmtId="164" fontId="21" fillId="9" borderId="2" xfId="0" applyNumberFormat="1" applyFont="1" applyFill="1" applyBorder="1" applyAlignment="1">
      <alignment horizontal="right" vertical="center"/>
    </xf>
    <xf numFmtId="166" fontId="7" fillId="0" borderId="19" xfId="0" applyNumberFormat="1" applyFont="1" applyFill="1" applyBorder="1" applyAlignment="1">
      <alignment horizontal="right"/>
    </xf>
    <xf numFmtId="166" fontId="7" fillId="0" borderId="5" xfId="0" applyNumberFormat="1" applyFont="1" applyFill="1" applyBorder="1" applyAlignment="1">
      <alignment horizontal="right"/>
    </xf>
    <xf numFmtId="166" fontId="7" fillId="0" borderId="0" xfId="0" applyNumberFormat="1" applyFont="1" applyFill="1" applyBorder="1" applyAlignment="1">
      <alignment horizontal="right"/>
    </xf>
    <xf numFmtId="166" fontId="7" fillId="0" borderId="11" xfId="0" applyNumberFormat="1" applyFont="1" applyFill="1" applyBorder="1" applyAlignment="1">
      <alignment horizontal="right"/>
    </xf>
    <xf numFmtId="166" fontId="7" fillId="0" borderId="21" xfId="0" applyNumberFormat="1" applyFont="1" applyFill="1" applyBorder="1" applyAlignment="1">
      <alignment horizontal="right"/>
    </xf>
    <xf numFmtId="166" fontId="7" fillId="0" borderId="20" xfId="0" applyNumberFormat="1" applyFont="1" applyFill="1" applyBorder="1" applyAlignment="1">
      <alignment horizontal="right"/>
    </xf>
    <xf numFmtId="164" fontId="7" fillId="0" borderId="4"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8" fillId="10" borderId="7" xfId="0" applyNumberFormat="1" applyFont="1" applyFill="1" applyBorder="1" applyAlignment="1">
      <alignment horizontal="center" vertical="center"/>
    </xf>
    <xf numFmtId="164" fontId="9" fillId="10" borderId="3" xfId="0" applyNumberFormat="1" applyFont="1" applyFill="1" applyBorder="1" applyAlignment="1">
      <alignment horizontal="right" vertical="center"/>
    </xf>
    <xf numFmtId="164" fontId="7" fillId="10" borderId="3" xfId="0" applyNumberFormat="1" applyFont="1" applyFill="1" applyBorder="1" applyAlignment="1">
      <alignment horizontal="center" vertical="center"/>
    </xf>
    <xf numFmtId="0" fontId="0" fillId="0" borderId="9" xfId="0" applyBorder="1"/>
    <xf numFmtId="167" fontId="21" fillId="0" borderId="9" xfId="7" applyNumberFormat="1" applyFont="1" applyFill="1" applyBorder="1" applyAlignment="1">
      <alignment horizontal="right" vertical="center"/>
    </xf>
    <xf numFmtId="167" fontId="22" fillId="0" borderId="1" xfId="0" applyNumberFormat="1" applyFont="1" applyFill="1" applyBorder="1" applyAlignment="1">
      <alignment horizontal="right" vertical="center"/>
    </xf>
    <xf numFmtId="167" fontId="21" fillId="0" borderId="0" xfId="7" applyNumberFormat="1" applyFont="1" applyFill="1" applyBorder="1" applyAlignment="1">
      <alignment horizontal="right" vertical="center"/>
    </xf>
    <xf numFmtId="167" fontId="22" fillId="0" borderId="2"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74" fontId="9" fillId="0" borderId="8" xfId="0" applyNumberFormat="1" applyFont="1" applyFill="1" applyBorder="1" applyAlignment="1">
      <alignment horizontal="center"/>
    </xf>
    <xf numFmtId="174" fontId="9" fillId="0" borderId="9" xfId="0" applyNumberFormat="1" applyFont="1" applyFill="1" applyBorder="1" applyAlignment="1">
      <alignment horizontal="center"/>
    </xf>
    <xf numFmtId="174" fontId="9" fillId="0" borderId="6" xfId="0" applyNumberFormat="1" applyFont="1" applyFill="1" applyBorder="1" applyAlignment="1">
      <alignment horizontal="center"/>
    </xf>
    <xf numFmtId="174" fontId="11" fillId="0" borderId="2" xfId="0" applyNumberFormat="1" applyFont="1" applyFill="1" applyBorder="1" applyAlignment="1">
      <alignment horizontal="center"/>
    </xf>
    <xf numFmtId="174" fontId="9" fillId="0" borderId="11" xfId="0" applyNumberFormat="1" applyFont="1" applyFill="1" applyBorder="1" applyAlignment="1">
      <alignment horizontal="center"/>
    </xf>
    <xf numFmtId="174" fontId="9" fillId="0" borderId="0" xfId="0" applyNumberFormat="1" applyFont="1" applyFill="1" applyBorder="1" applyAlignment="1">
      <alignment horizontal="center"/>
    </xf>
    <xf numFmtId="174" fontId="9" fillId="0" borderId="5" xfId="0" applyNumberFormat="1" applyFont="1" applyFill="1" applyBorder="1" applyAlignment="1">
      <alignment horizontal="center"/>
    </xf>
    <xf numFmtId="174" fontId="9" fillId="0" borderId="15" xfId="0" applyNumberFormat="1" applyFont="1" applyFill="1" applyBorder="1" applyAlignment="1">
      <alignment horizontal="center"/>
    </xf>
    <xf numFmtId="174" fontId="9" fillId="0" borderId="16" xfId="0" applyNumberFormat="1" applyFont="1" applyFill="1" applyBorder="1" applyAlignment="1">
      <alignment horizontal="center"/>
    </xf>
    <xf numFmtId="174" fontId="9" fillId="0" borderId="17" xfId="0" applyNumberFormat="1" applyFont="1" applyFill="1" applyBorder="1" applyAlignment="1">
      <alignment horizontal="center"/>
    </xf>
    <xf numFmtId="174" fontId="11" fillId="0" borderId="14" xfId="0" applyNumberFormat="1" applyFont="1" applyFill="1" applyBorder="1" applyAlignment="1">
      <alignment horizontal="center"/>
    </xf>
    <xf numFmtId="174" fontId="9" fillId="0" borderId="0" xfId="0" applyNumberFormat="1" applyFont="1" applyFill="1" applyBorder="1" applyAlignment="1">
      <alignment horizontal="center" vertical="center"/>
    </xf>
    <xf numFmtId="174" fontId="9" fillId="0" borderId="5" xfId="0" applyNumberFormat="1" applyFont="1" applyFill="1" applyBorder="1" applyAlignment="1">
      <alignment horizontal="center" vertical="center"/>
    </xf>
    <xf numFmtId="174" fontId="7" fillId="0" borderId="11" xfId="0" applyNumberFormat="1" applyFont="1" applyFill="1" applyBorder="1" applyAlignment="1">
      <alignment horizontal="center"/>
    </xf>
    <xf numFmtId="174" fontId="7" fillId="0" borderId="11" xfId="0" applyNumberFormat="1" applyFont="1" applyFill="1" applyBorder="1" applyAlignment="1">
      <alignment horizontal="center" vertical="center"/>
    </xf>
    <xf numFmtId="174" fontId="8" fillId="0" borderId="2" xfId="0" applyNumberFormat="1" applyFont="1" applyFill="1" applyBorder="1" applyAlignment="1">
      <alignment horizontal="center"/>
    </xf>
    <xf numFmtId="174" fontId="7" fillId="0" borderId="0" xfId="0" applyNumberFormat="1" applyFont="1" applyFill="1" applyBorder="1" applyAlignment="1">
      <alignment horizontal="center"/>
    </xf>
    <xf numFmtId="174" fontId="7" fillId="0" borderId="5" xfId="0" applyNumberFormat="1" applyFont="1" applyFill="1" applyBorder="1" applyAlignment="1">
      <alignment horizontal="center"/>
    </xf>
    <xf numFmtId="0" fontId="26" fillId="0" borderId="0" xfId="0" applyFont="1" applyBorder="1" applyAlignment="1">
      <alignment horizontal="center" vertical="top" wrapText="1"/>
    </xf>
    <xf numFmtId="0" fontId="25" fillId="0" borderId="0" xfId="0" applyFont="1" applyBorder="1" applyAlignment="1">
      <alignment horizontal="center" vertical="center" wrapText="1"/>
    </xf>
    <xf numFmtId="0" fontId="9" fillId="0" borderId="0" xfId="0" quotePrefix="1" applyFont="1" applyFill="1" applyBorder="1" applyAlignment="1">
      <alignment horizontal="left" vertical="top" wrapText="1"/>
    </xf>
    <xf numFmtId="0" fontId="11" fillId="0" borderId="0" xfId="0" quotePrefix="1" applyFont="1" applyFill="1" applyBorder="1" applyAlignment="1">
      <alignment wrapText="1"/>
    </xf>
    <xf numFmtId="0" fontId="8" fillId="10" borderId="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1" fontId="8" fillId="5" borderId="5" xfId="0" applyNumberFormat="1" applyFont="1" applyFill="1" applyBorder="1" applyAlignment="1">
      <alignment horizontal="center" vertical="center"/>
    </xf>
    <xf numFmtId="164" fontId="11" fillId="4" borderId="2" xfId="0" applyNumberFormat="1" applyFont="1" applyFill="1" applyBorder="1" applyAlignment="1">
      <alignment horizontal="center" vertical="center"/>
    </xf>
    <xf numFmtId="164" fontId="9" fillId="0" borderId="42" xfId="0" applyNumberFormat="1" applyFont="1" applyBorder="1" applyAlignment="1">
      <alignment horizontal="right" vertical="center"/>
    </xf>
    <xf numFmtId="164" fontId="22" fillId="4" borderId="5" xfId="0" applyNumberFormat="1" applyFont="1" applyFill="1" applyBorder="1" applyAlignment="1">
      <alignment horizontal="right" vertical="center"/>
    </xf>
    <xf numFmtId="164" fontId="8" fillId="4" borderId="5" xfId="0" applyNumberFormat="1" applyFont="1" applyFill="1" applyBorder="1" applyAlignment="1">
      <alignment horizontal="right" vertical="center"/>
    </xf>
    <xf numFmtId="164" fontId="22" fillId="4" borderId="7" xfId="0" applyNumberFormat="1" applyFont="1" applyFill="1" applyBorder="1" applyAlignment="1">
      <alignment horizontal="right" vertical="center"/>
    </xf>
    <xf numFmtId="164" fontId="9" fillId="4" borderId="42" xfId="0" applyNumberFormat="1" applyFont="1" applyFill="1" applyBorder="1" applyAlignment="1">
      <alignment horizontal="right" vertical="center"/>
    </xf>
    <xf numFmtId="164" fontId="7" fillId="10" borderId="7" xfId="0" applyNumberFormat="1" applyFont="1" applyFill="1" applyBorder="1" applyAlignment="1">
      <alignment horizontal="right" vertical="center"/>
    </xf>
    <xf numFmtId="164" fontId="7" fillId="0" borderId="10" xfId="0" applyNumberFormat="1" applyFont="1" applyFill="1" applyBorder="1" applyAlignment="1">
      <alignment horizontal="center" vertical="center"/>
    </xf>
    <xf numFmtId="164" fontId="8" fillId="0" borderId="24" xfId="0" applyNumberFormat="1" applyFont="1" applyFill="1" applyBorder="1" applyAlignment="1">
      <alignment horizontal="center" vertical="center"/>
    </xf>
    <xf numFmtId="166" fontId="7" fillId="0" borderId="10" xfId="0" applyNumberFormat="1" applyFont="1" applyFill="1" applyBorder="1" applyAlignment="1">
      <alignment horizontal="right"/>
    </xf>
    <xf numFmtId="166" fontId="7" fillId="0" borderId="4" xfId="0" applyNumberFormat="1" applyFont="1" applyFill="1" applyBorder="1" applyAlignment="1">
      <alignment horizontal="right"/>
    </xf>
    <xf numFmtId="166" fontId="7" fillId="0" borderId="7" xfId="0" applyNumberFormat="1" applyFont="1" applyFill="1" applyBorder="1" applyAlignment="1">
      <alignment horizontal="right"/>
    </xf>
    <xf numFmtId="164" fontId="7" fillId="0" borderId="23" xfId="0" applyNumberFormat="1" applyFont="1" applyFill="1" applyBorder="1" applyAlignment="1">
      <alignment horizontal="center" vertical="center"/>
    </xf>
    <xf numFmtId="174" fontId="8" fillId="0" borderId="43" xfId="0" applyNumberFormat="1" applyFont="1" applyFill="1" applyBorder="1" applyAlignment="1">
      <alignment horizontal="center"/>
    </xf>
    <xf numFmtId="174" fontId="7" fillId="0" borderId="45" xfId="0" applyNumberFormat="1" applyFont="1" applyFill="1" applyBorder="1" applyAlignment="1">
      <alignment horizontal="center"/>
    </xf>
    <xf numFmtId="174" fontId="7" fillId="0" borderId="44" xfId="0" applyNumberFormat="1" applyFont="1" applyFill="1" applyBorder="1" applyAlignment="1">
      <alignment horizontal="center"/>
    </xf>
    <xf numFmtId="0" fontId="32" fillId="4" borderId="43" xfId="0" applyFont="1" applyFill="1" applyBorder="1" applyAlignment="1">
      <alignment horizontal="center" vertical="center"/>
    </xf>
    <xf numFmtId="0" fontId="0" fillId="0" borderId="0" xfId="0"/>
    <xf numFmtId="174" fontId="8" fillId="0" borderId="3" xfId="0" applyNumberFormat="1" applyFont="1" applyFill="1" applyBorder="1" applyAlignment="1">
      <alignment horizontal="center"/>
    </xf>
    <xf numFmtId="174" fontId="7" fillId="0" borderId="4" xfId="0" applyNumberFormat="1" applyFont="1" applyFill="1" applyBorder="1" applyAlignment="1">
      <alignment horizontal="center" vertical="center"/>
    </xf>
    <xf numFmtId="174" fontId="7" fillId="0" borderId="4" xfId="0" applyNumberFormat="1" applyFont="1" applyFill="1" applyBorder="1" applyAlignment="1">
      <alignment horizontal="center"/>
    </xf>
    <xf numFmtId="174" fontId="7" fillId="0" borderId="0" xfId="0" applyNumberFormat="1" applyFont="1" applyFill="1" applyBorder="1" applyAlignment="1">
      <alignment horizontal="center" vertical="center"/>
    </xf>
    <xf numFmtId="174" fontId="7" fillId="0" borderId="44" xfId="0" applyNumberFormat="1" applyFont="1" applyFill="1" applyBorder="1" applyAlignment="1">
      <alignment horizontal="center" vertical="center"/>
    </xf>
    <xf numFmtId="166" fontId="7" fillId="0" borderId="45" xfId="0" applyNumberFormat="1" applyFont="1" applyFill="1" applyBorder="1" applyAlignment="1">
      <alignment horizontal="right"/>
    </xf>
    <xf numFmtId="166" fontId="7" fillId="0" borderId="44" xfId="0" applyNumberFormat="1" applyFont="1" applyFill="1" applyBorder="1" applyAlignment="1">
      <alignment horizontal="right"/>
    </xf>
    <xf numFmtId="166" fontId="7" fillId="0" borderId="46" xfId="0" applyNumberFormat="1" applyFont="1" applyFill="1" applyBorder="1" applyAlignment="1">
      <alignment horizontal="right"/>
    </xf>
    <xf numFmtId="164" fontId="8" fillId="0" borderId="43" xfId="0" applyNumberFormat="1" applyFont="1" applyFill="1" applyBorder="1" applyAlignment="1">
      <alignment horizontal="center" vertical="center"/>
    </xf>
    <xf numFmtId="164" fontId="7" fillId="0" borderId="44" xfId="0" applyNumberFormat="1" applyFont="1" applyFill="1" applyBorder="1" applyAlignment="1">
      <alignment horizontal="center" vertical="center"/>
    </xf>
    <xf numFmtId="164" fontId="7" fillId="0" borderId="46" xfId="0" applyNumberFormat="1" applyFont="1" applyFill="1" applyBorder="1" applyAlignment="1">
      <alignment horizontal="center" vertical="center"/>
    </xf>
    <xf numFmtId="164" fontId="21" fillId="4" borderId="11" xfId="0" applyNumberFormat="1" applyFont="1" applyFill="1" applyBorder="1" applyAlignment="1">
      <alignment horizontal="center" vertical="center"/>
    </xf>
    <xf numFmtId="164" fontId="21" fillId="4" borderId="5" xfId="0" applyNumberFormat="1" applyFont="1" applyFill="1" applyBorder="1" applyAlignment="1">
      <alignment horizontal="center" vertical="center"/>
    </xf>
    <xf numFmtId="164" fontId="21" fillId="4" borderId="0" xfId="0" applyNumberFormat="1" applyFont="1" applyFill="1" applyBorder="1" applyAlignment="1">
      <alignment horizontal="center" vertical="center"/>
    </xf>
    <xf numFmtId="0" fontId="7" fillId="0" borderId="0" xfId="0" quotePrefix="1" applyFont="1"/>
    <xf numFmtId="164" fontId="21" fillId="0" borderId="2" xfId="0" applyNumberFormat="1" applyFont="1" applyFill="1" applyBorder="1" applyAlignment="1">
      <alignment horizontal="center" vertical="center"/>
    </xf>
    <xf numFmtId="174" fontId="8" fillId="4" borderId="9" xfId="0" applyNumberFormat="1" applyFont="1" applyFill="1" applyBorder="1" applyAlignment="1">
      <alignment horizontal="right" vertical="center"/>
    </xf>
    <xf numFmtId="174" fontId="8" fillId="4" borderId="4" xfId="0" applyNumberFormat="1" applyFont="1" applyFill="1" applyBorder="1" applyAlignment="1">
      <alignment horizontal="right" vertical="center"/>
    </xf>
    <xf numFmtId="49" fontId="4" fillId="0" borderId="0" xfId="0" applyNumberFormat="1" applyFont="1" applyAlignment="1">
      <alignment horizontal="left" vertical="center"/>
    </xf>
    <xf numFmtId="0" fontId="4" fillId="0" borderId="0" xfId="0" applyFont="1" applyAlignment="1">
      <alignment horizontal="left" vertical="center" wrapText="1"/>
    </xf>
    <xf numFmtId="0" fontId="8" fillId="4" borderId="2" xfId="0" applyFont="1" applyFill="1" applyBorder="1" applyAlignment="1">
      <alignment horizontal="center" vertical="center" wrapText="1"/>
    </xf>
    <xf numFmtId="0" fontId="14" fillId="0" borderId="0" xfId="0" applyFont="1" applyAlignment="1">
      <alignment vertical="top"/>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164" fontId="22" fillId="4" borderId="9" xfId="0" applyNumberFormat="1" applyFont="1" applyFill="1" applyBorder="1" applyAlignment="1">
      <alignment horizontal="right"/>
    </xf>
    <xf numFmtId="164" fontId="22" fillId="4" borderId="0" xfId="0" applyNumberFormat="1" applyFont="1" applyFill="1" applyBorder="1" applyAlignment="1">
      <alignment horizontal="right"/>
    </xf>
    <xf numFmtId="164" fontId="22" fillId="4" borderId="4" xfId="0" applyNumberFormat="1" applyFont="1" applyFill="1" applyBorder="1" applyAlignment="1">
      <alignment horizontal="right"/>
    </xf>
    <xf numFmtId="164" fontId="21" fillId="0" borderId="0" xfId="0" applyNumberFormat="1" applyFont="1" applyFill="1" applyBorder="1" applyAlignment="1">
      <alignment horizontal="center" vertical="center"/>
    </xf>
    <xf numFmtId="164" fontId="21" fillId="10" borderId="0" xfId="0" applyNumberFormat="1" applyFont="1" applyFill="1" applyBorder="1" applyAlignment="1">
      <alignment horizontal="center" vertical="center"/>
    </xf>
    <xf numFmtId="164" fontId="21" fillId="0" borderId="9" xfId="0" applyNumberFormat="1" applyFont="1" applyFill="1" applyBorder="1" applyAlignment="1">
      <alignment horizontal="center" vertical="center"/>
    </xf>
    <xf numFmtId="164" fontId="21" fillId="10" borderId="4" xfId="0" applyNumberFormat="1" applyFont="1" applyFill="1" applyBorder="1" applyAlignment="1">
      <alignment horizontal="right" vertical="center"/>
    </xf>
    <xf numFmtId="0" fontId="8" fillId="0" borderId="0" xfId="0" applyFont="1" applyAlignment="1"/>
    <xf numFmtId="164" fontId="21" fillId="10" borderId="0" xfId="0" applyNumberFormat="1" applyFont="1" applyFill="1" applyBorder="1" applyAlignment="1">
      <alignment vertical="center"/>
    </xf>
    <xf numFmtId="164" fontId="21" fillId="0" borderId="0" xfId="0" applyNumberFormat="1" applyFont="1" applyFill="1" applyBorder="1" applyAlignment="1">
      <alignment vertical="center"/>
    </xf>
    <xf numFmtId="164" fontId="21" fillId="0" borderId="0" xfId="0" applyNumberFormat="1" applyFont="1" applyBorder="1" applyAlignment="1">
      <alignment vertical="center"/>
    </xf>
    <xf numFmtId="164" fontId="21" fillId="4" borderId="0" xfId="0" applyNumberFormat="1" applyFont="1" applyFill="1" applyBorder="1" applyAlignment="1">
      <alignment vertical="center"/>
    </xf>
    <xf numFmtId="164" fontId="21" fillId="44" borderId="0" xfId="0" applyNumberFormat="1" applyFont="1" applyFill="1" applyBorder="1" applyAlignment="1">
      <alignment vertical="center"/>
    </xf>
    <xf numFmtId="164" fontId="21" fillId="4" borderId="0" xfId="0" applyNumberFormat="1" applyFont="1" applyFill="1" applyBorder="1" applyAlignment="1"/>
    <xf numFmtId="0" fontId="13" fillId="0" borderId="0" xfId="0" applyFont="1" applyAlignment="1">
      <alignment horizontal="center" vertical="center" wrapText="1"/>
    </xf>
    <xf numFmtId="0" fontId="6" fillId="0" borderId="0" xfId="0" applyFont="1" applyAlignment="1">
      <alignment horizontal="center" vertical="top" wrapText="1"/>
    </xf>
    <xf numFmtId="0" fontId="6" fillId="0" borderId="0" xfId="0" quotePrefix="1" applyNumberFormat="1"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vertical="top" wrapText="1"/>
    </xf>
    <xf numFmtId="0" fontId="10" fillId="0" borderId="0" xfId="0" applyFont="1" applyBorder="1" applyAlignment="1">
      <alignment horizontal="center" vertical="top" wrapText="1"/>
    </xf>
    <xf numFmtId="0" fontId="25" fillId="0"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7" fillId="0" borderId="0" xfId="0" quotePrefix="1" applyFont="1" applyAlignment="1">
      <alignment horizontal="left" wrapText="1"/>
    </xf>
    <xf numFmtId="0" fontId="8" fillId="0" borderId="0" xfId="0" applyFont="1" applyAlignment="1">
      <alignment wrapText="1"/>
    </xf>
    <xf numFmtId="0" fontId="11" fillId="0" borderId="0" xfId="0" applyFont="1" applyAlignment="1">
      <alignment wrapText="1"/>
    </xf>
    <xf numFmtId="0" fontId="8" fillId="4" borderId="1" xfId="0" applyFont="1" applyFill="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wrapText="1"/>
    </xf>
    <xf numFmtId="0" fontId="15" fillId="0" borderId="0" xfId="0" applyFont="1" applyAlignment="1">
      <alignment horizontal="center" vertical="center"/>
    </xf>
    <xf numFmtId="0" fontId="26" fillId="0" borderId="0" xfId="0" applyFont="1" applyBorder="1" applyAlignment="1">
      <alignment horizontal="center" vertical="top" wrapText="1"/>
    </xf>
    <xf numFmtId="0" fontId="25" fillId="0" borderId="0" xfId="0" applyFont="1" applyBorder="1" applyAlignment="1">
      <alignment horizontal="center" vertical="center" wrapText="1"/>
    </xf>
    <xf numFmtId="0" fontId="15" fillId="0" borderId="1"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8" fillId="0" borderId="0" xfId="0" applyFont="1" applyBorder="1" applyAlignment="1">
      <alignment horizontal="left" wrapText="1"/>
    </xf>
    <xf numFmtId="0" fontId="11" fillId="0" borderId="0" xfId="0" applyFont="1" applyBorder="1" applyAlignment="1">
      <alignment horizontal="left" wrapText="1"/>
    </xf>
    <xf numFmtId="0" fontId="9" fillId="0" borderId="0" xfId="0" quotePrefix="1" applyFont="1" applyFill="1" applyBorder="1" applyAlignment="1">
      <alignment horizontal="left" vertical="top" wrapText="1"/>
    </xf>
    <xf numFmtId="0" fontId="11" fillId="0" borderId="0" xfId="0" quotePrefix="1" applyFont="1" applyFill="1" applyBorder="1" applyAlignment="1">
      <alignment horizontal="left" wrapText="1"/>
    </xf>
    <xf numFmtId="0" fontId="7" fillId="0" borderId="0" xfId="0" quotePrefix="1" applyFont="1" applyFill="1" applyBorder="1" applyAlignment="1">
      <alignment vertical="top" wrapText="1"/>
    </xf>
    <xf numFmtId="0" fontId="9" fillId="0" borderId="0" xfId="0" quotePrefix="1" applyFont="1" applyFill="1" applyBorder="1" applyAlignment="1">
      <alignment vertical="top" wrapText="1"/>
    </xf>
    <xf numFmtId="0" fontId="8" fillId="0" borderId="0" xfId="0" quotePrefix="1" applyFont="1" applyFill="1" applyBorder="1" applyAlignment="1">
      <alignment wrapText="1"/>
    </xf>
    <xf numFmtId="0" fontId="11" fillId="0" borderId="0" xfId="0" quotePrefix="1" applyFont="1" applyFill="1" applyBorder="1" applyAlignment="1">
      <alignment wrapText="1"/>
    </xf>
    <xf numFmtId="0" fontId="15" fillId="0" borderId="0" xfId="0" applyFont="1" applyBorder="1" applyAlignment="1">
      <alignment horizontal="center" vertical="center" wrapText="1"/>
    </xf>
    <xf numFmtId="0" fontId="26" fillId="0" borderId="0" xfId="0" applyFont="1" applyBorder="1" applyAlignment="1">
      <alignment horizontal="center" vertical="top"/>
    </xf>
    <xf numFmtId="0" fontId="11" fillId="0" borderId="9" xfId="0" quotePrefix="1" applyFont="1" applyFill="1" applyBorder="1" applyAlignment="1">
      <alignment wrapText="1"/>
    </xf>
    <xf numFmtId="49" fontId="7" fillId="0" borderId="0" xfId="0" applyNumberFormat="1" applyFont="1" applyBorder="1" applyAlignment="1">
      <alignment horizontal="left" vertical="top" wrapText="1"/>
    </xf>
    <xf numFmtId="49" fontId="11" fillId="0" borderId="0" xfId="0" applyNumberFormat="1" applyFont="1" applyBorder="1" applyAlignment="1">
      <alignment horizontal="left" wrapText="1"/>
    </xf>
    <xf numFmtId="0" fontId="8" fillId="0" borderId="9" xfId="0" applyFont="1" applyBorder="1" applyAlignment="1">
      <alignment wrapText="1"/>
    </xf>
    <xf numFmtId="0" fontId="11" fillId="0" borderId="9" xfId="0" applyFont="1" applyBorder="1" applyAlignment="1">
      <alignment wrapText="1"/>
    </xf>
    <xf numFmtId="0" fontId="7" fillId="0" borderId="4" xfId="0" applyFont="1" applyBorder="1" applyAlignment="1">
      <alignment horizontal="right" vertical="center"/>
    </xf>
    <xf numFmtId="0" fontId="9" fillId="0" borderId="4" xfId="0" applyFont="1" applyBorder="1" applyAlignment="1">
      <alignment horizontal="right" vertical="center"/>
    </xf>
    <xf numFmtId="0" fontId="10" fillId="0" borderId="0" xfId="0" applyNumberFormat="1" applyFont="1" applyBorder="1" applyAlignment="1">
      <alignment horizontal="center" vertical="top"/>
    </xf>
    <xf numFmtId="0" fontId="26" fillId="0" borderId="0" xfId="0" applyNumberFormat="1" applyFont="1" applyBorder="1" applyAlignment="1">
      <alignment horizontal="center" vertical="top"/>
    </xf>
    <xf numFmtId="0" fontId="11" fillId="0" borderId="0" xfId="0" applyFont="1" applyBorder="1" applyAlignment="1">
      <alignment horizontal="left"/>
    </xf>
    <xf numFmtId="0" fontId="7" fillId="0" borderId="0" xfId="0" applyFont="1" applyAlignment="1">
      <alignment horizontal="left" vertical="top" wrapText="1"/>
    </xf>
    <xf numFmtId="0" fontId="9" fillId="0" borderId="0" xfId="0" applyFont="1" applyAlignment="1">
      <alignment horizontal="left" vertical="top" wrapText="1"/>
    </xf>
    <xf numFmtId="0" fontId="8" fillId="5" borderId="1" xfId="0" applyFont="1" applyFill="1" applyBorder="1" applyAlignment="1">
      <alignment horizontal="center" vertical="top" wrapText="1"/>
    </xf>
    <xf numFmtId="0" fontId="0" fillId="5" borderId="3" xfId="0" applyFill="1" applyBorder="1" applyAlignment="1">
      <alignment horizontal="center" vertical="top" wrapText="1"/>
    </xf>
    <xf numFmtId="0" fontId="11" fillId="5" borderId="1" xfId="0" applyFont="1" applyFill="1" applyBorder="1" applyAlignment="1">
      <alignment horizontal="center" vertical="top" wrapText="1"/>
    </xf>
    <xf numFmtId="0" fontId="11" fillId="5" borderId="3" xfId="0" applyFont="1" applyFill="1" applyBorder="1" applyAlignment="1">
      <alignment horizontal="center" vertical="top" wrapText="1"/>
    </xf>
    <xf numFmtId="0" fontId="0" fillId="5" borderId="2" xfId="0" applyFill="1" applyBorder="1" applyAlignment="1">
      <alignment horizontal="center" vertical="top" wrapText="1"/>
    </xf>
    <xf numFmtId="0" fontId="11" fillId="5" borderId="8" xfId="0" applyFont="1" applyFill="1" applyBorder="1" applyAlignment="1">
      <alignment horizontal="center" vertical="top" wrapText="1"/>
    </xf>
    <xf numFmtId="0" fontId="11" fillId="5" borderId="11" xfId="0" applyFont="1" applyFill="1" applyBorder="1" applyAlignment="1">
      <alignment horizontal="center" vertical="top" wrapText="1"/>
    </xf>
    <xf numFmtId="0" fontId="1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63" fillId="0" borderId="0" xfId="48" applyFont="1" applyFill="1" applyAlignment="1">
      <alignment wrapText="1"/>
    </xf>
    <xf numFmtId="0" fontId="10" fillId="0" borderId="0" xfId="0" applyFont="1" applyAlignment="1">
      <alignment horizontal="center" vertical="top"/>
    </xf>
    <xf numFmtId="0" fontId="11" fillId="5" borderId="6" xfId="0" applyFont="1" applyFill="1" applyBorder="1" applyAlignment="1">
      <alignment horizontal="center" vertical="top" wrapText="1"/>
    </xf>
    <xf numFmtId="0" fontId="0" fillId="5" borderId="7" xfId="0" applyFill="1" applyBorder="1" applyAlignment="1">
      <alignment horizontal="center" vertical="top" wrapText="1"/>
    </xf>
    <xf numFmtId="0" fontId="8" fillId="0" borderId="0" xfId="0" applyFont="1" applyFill="1" applyBorder="1" applyAlignment="1">
      <alignment horizontal="left" wrapText="1"/>
    </xf>
    <xf numFmtId="0" fontId="7" fillId="0" borderId="0" xfId="0" applyFont="1" applyFill="1" applyBorder="1" applyAlignment="1">
      <alignment horizontal="left" wrapText="1"/>
    </xf>
  </cellXfs>
  <cellStyles count="110">
    <cellStyle name="20% - Accent1" xfId="25" builtinId="30" customBuiltin="1"/>
    <cellStyle name="20% - Accent1 2" xfId="51"/>
    <cellStyle name="20% - Accent1 3" xfId="98"/>
    <cellStyle name="20% - Accent2" xfId="29" builtinId="34" customBuiltin="1"/>
    <cellStyle name="20% - Accent2 2" xfId="53"/>
    <cellStyle name="20% - Accent2 3" xfId="100"/>
    <cellStyle name="20% - Accent3" xfId="33" builtinId="38" customBuiltin="1"/>
    <cellStyle name="20% - Accent3 2" xfId="56"/>
    <cellStyle name="20% - Accent3 3" xfId="102"/>
    <cellStyle name="20% - Accent4" xfId="37" builtinId="42" customBuiltin="1"/>
    <cellStyle name="20% - Accent4 2" xfId="59"/>
    <cellStyle name="20% - Accent4 3" xfId="104"/>
    <cellStyle name="20% - Accent5" xfId="41" builtinId="46" customBuiltin="1"/>
    <cellStyle name="20% - Accent5 2" xfId="61"/>
    <cellStyle name="20% - Accent5 3" xfId="106"/>
    <cellStyle name="20% - Accent6" xfId="45" builtinId="50" customBuiltin="1"/>
    <cellStyle name="20% - Accent6 2" xfId="63"/>
    <cellStyle name="20% - Accent6 3" xfId="108"/>
    <cellStyle name="40% - Accent1" xfId="26" builtinId="31" customBuiltin="1"/>
    <cellStyle name="40% - Accent1 2" xfId="52"/>
    <cellStyle name="40% - Accent1 3" xfId="99"/>
    <cellStyle name="40% - Accent2" xfId="30" builtinId="35" customBuiltin="1"/>
    <cellStyle name="40% - Accent2 2" xfId="54"/>
    <cellStyle name="40% - Accent2 3" xfId="101"/>
    <cellStyle name="40% - Accent3" xfId="34" builtinId="39" customBuiltin="1"/>
    <cellStyle name="40% - Accent3 2" xfId="57"/>
    <cellStyle name="40% - Accent3 3" xfId="103"/>
    <cellStyle name="40% - Accent4" xfId="38" builtinId="43" customBuiltin="1"/>
    <cellStyle name="40% - Accent4 2" xfId="60"/>
    <cellStyle name="40% - Accent4 3" xfId="105"/>
    <cellStyle name="40% - Accent5" xfId="42" builtinId="47" customBuiltin="1"/>
    <cellStyle name="40% - Accent5 2" xfId="62"/>
    <cellStyle name="40% - Accent5 3" xfId="107"/>
    <cellStyle name="40% - Accent6" xfId="46" builtinId="51" customBuiltin="1"/>
    <cellStyle name="40% - Accent6 2" xfId="64"/>
    <cellStyle name="40% - Accent6 3" xfId="109"/>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lumn heading" xfId="58"/>
    <cellStyle name="Comma" xfId="7" builtinId="3"/>
    <cellStyle name="Corner heading" xfId="55"/>
    <cellStyle name="Data" xfId="6"/>
    <cellStyle name="Data no deci" xfId="65"/>
    <cellStyle name="Data Superscript" xfId="66"/>
    <cellStyle name="Data_1-1A-Regular" xfId="67"/>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ed Side" xfId="68"/>
    <cellStyle name="Hed Side bold" xfId="69"/>
    <cellStyle name="Hed Side Indent" xfId="70"/>
    <cellStyle name="Hed Side Regular" xfId="71"/>
    <cellStyle name="Hed Side_1-1A-Regular" xfId="72"/>
    <cellStyle name="Hed Top" xfId="73"/>
    <cellStyle name="Hed Top - SECTION" xfId="74"/>
    <cellStyle name="Hed Top_3-new4" xfId="75"/>
    <cellStyle name="Input" xfId="16" builtinId="20" customBuiltin="1"/>
    <cellStyle name="Linked Cell" xfId="19" builtinId="24" customBuiltin="1"/>
    <cellStyle name="Neutral" xfId="15" builtinId="28" customBuiltin="1"/>
    <cellStyle name="Normal" xfId="0" builtinId="0"/>
    <cellStyle name="Normal 2" xfId="4"/>
    <cellStyle name="Normal 3" xfId="48"/>
    <cellStyle name="Note 2" xfId="49"/>
    <cellStyle name="Note 3" xfId="50"/>
    <cellStyle name="Note 4" xfId="97"/>
    <cellStyle name="Output" xfId="17" builtinId="21" customBuiltin="1"/>
    <cellStyle name="Reference" xfId="76"/>
    <cellStyle name="Row heading" xfId="77"/>
    <cellStyle name="Source Hed" xfId="78"/>
    <cellStyle name="Source Letter" xfId="79"/>
    <cellStyle name="Source Superscript" xfId="80"/>
    <cellStyle name="Source Text" xfId="81"/>
    <cellStyle name="Standard_E00seit45" xfId="1"/>
    <cellStyle name="State" xfId="82"/>
    <cellStyle name="Superscript" xfId="83"/>
    <cellStyle name="Table Data" xfId="84"/>
    <cellStyle name="Table Head Top" xfId="85"/>
    <cellStyle name="Table Hed Side" xfId="86"/>
    <cellStyle name="Table Title" xfId="87"/>
    <cellStyle name="Title" xfId="8" builtinId="15" customBuiltin="1"/>
    <cellStyle name="Title Text" xfId="88"/>
    <cellStyle name="Title Text 1" xfId="89"/>
    <cellStyle name="Title Text 2" xfId="90"/>
    <cellStyle name="Title-1" xfId="5"/>
    <cellStyle name="Title-2" xfId="91"/>
    <cellStyle name="Title-3" xfId="92"/>
    <cellStyle name="Titre ligne" xfId="2"/>
    <cellStyle name="Total" xfId="23" builtinId="25" customBuiltin="1"/>
    <cellStyle name="Total intermediaire" xfId="3"/>
    <cellStyle name="Warning Text" xfId="21" builtinId="11" customBuiltin="1"/>
    <cellStyle name="Wrap" xfId="93"/>
    <cellStyle name="Wrap Bold" xfId="94"/>
    <cellStyle name="Wrap Title" xfId="95"/>
    <cellStyle name="Wrap_NTS99-~11" xfId="9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EU28 Performance by Mode for Freight Transport</a:t>
            </a:r>
            <a:endParaRPr lang="en-GB" sz="1525"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GB" sz="900" b="1" i="0" u="none" strike="noStrike" baseline="0">
                <a:solidFill>
                  <a:srgbClr val="000000"/>
                </a:solidFill>
                <a:latin typeface="Arial"/>
                <a:cs typeface="Arial"/>
              </a:rPr>
              <a:t>1995 - 2014</a:t>
            </a:r>
            <a:endParaRPr lang="en-GB" sz="12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GB" sz="725" b="1" i="0" u="none" strike="noStrike" baseline="0">
                <a:solidFill>
                  <a:srgbClr val="000000"/>
                </a:solidFill>
                <a:latin typeface="Arial"/>
                <a:cs typeface="Arial"/>
              </a:rPr>
              <a:t>billion tonne-kilometres</a:t>
            </a:r>
            <a:endParaRPr lang="en-GB"/>
          </a:p>
        </c:rich>
      </c:tx>
      <c:layout>
        <c:manualLayout>
          <c:xMode val="edge"/>
          <c:yMode val="edge"/>
          <c:x val="0.22400016797900263"/>
          <c:y val="1.0224948875255624E-2"/>
        </c:manualLayout>
      </c:layout>
      <c:overlay val="0"/>
      <c:spPr>
        <a:noFill/>
        <a:ln w="25400">
          <a:noFill/>
        </a:ln>
      </c:spPr>
    </c:title>
    <c:autoTitleDeleted val="0"/>
    <c:plotArea>
      <c:layout>
        <c:manualLayout>
          <c:layoutTarget val="inner"/>
          <c:xMode val="edge"/>
          <c:yMode val="edge"/>
          <c:x val="6.4000050000039069E-2"/>
          <c:y val="0.15746452714509671"/>
          <c:w val="0.9072007087505537"/>
          <c:h val="0.73210780153174837"/>
        </c:manualLayout>
      </c:layout>
      <c:lineChart>
        <c:grouping val="standard"/>
        <c:varyColors val="0"/>
        <c:ser>
          <c:idx val="0"/>
          <c:order val="0"/>
          <c:tx>
            <c:strRef>
              <c:f>freight_graph!$B$38</c:f>
              <c:strCache>
                <c:ptCount val="1"/>
                <c:pt idx="0">
                  <c:v>Road</c:v>
                </c:pt>
              </c:strCache>
            </c:strRef>
          </c:tx>
          <c:spPr>
            <a:ln w="25400">
              <a:solidFill>
                <a:srgbClr val="993300"/>
              </a:solidFill>
              <a:prstDash val="solid"/>
            </a:ln>
          </c:spPr>
          <c:marker>
            <c:symbol val="x"/>
            <c:size val="5"/>
            <c:spPr>
              <a:solidFill>
                <a:srgbClr val="993300"/>
              </a:solidFill>
              <a:ln>
                <a:solidFill>
                  <a:srgbClr val="993300"/>
                </a:solidFill>
                <a:prstDash val="solid"/>
              </a:ln>
            </c:spPr>
          </c:marker>
          <c:cat>
            <c:numRef>
              <c:f>freight_graph!$C$37:$V$37</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freight_graph!$C$38:$V$38</c:f>
              <c:numCache>
                <c:formatCode>0.0</c:formatCode>
                <c:ptCount val="20"/>
                <c:pt idx="0">
                  <c:v>1288.6600000000001</c:v>
                </c:pt>
                <c:pt idx="1">
                  <c:v>1302.5789999999997</c:v>
                </c:pt>
                <c:pt idx="2">
                  <c:v>1351.6780000000001</c:v>
                </c:pt>
                <c:pt idx="3">
                  <c:v>1414.2039999999997</c:v>
                </c:pt>
                <c:pt idx="4">
                  <c:v>1460.6219999999998</c:v>
                </c:pt>
                <c:pt idx="5">
                  <c:v>1509.4880000000001</c:v>
                </c:pt>
                <c:pt idx="6">
                  <c:v>1552.5170000000003</c:v>
                </c:pt>
                <c:pt idx="7">
                  <c:v>1602.835</c:v>
                </c:pt>
                <c:pt idx="8">
                  <c:v>1607.683</c:v>
                </c:pt>
                <c:pt idx="9">
                  <c:v>1750.92</c:v>
                </c:pt>
                <c:pt idx="10">
                  <c:v>1794.5950000000003</c:v>
                </c:pt>
                <c:pt idx="11">
                  <c:v>1857.7469999999998</c:v>
                </c:pt>
                <c:pt idx="12">
                  <c:v>1924.9579999999996</c:v>
                </c:pt>
                <c:pt idx="13">
                  <c:v>1891.1260000000002</c:v>
                </c:pt>
                <c:pt idx="14">
                  <c:v>1699.7570000000003</c:v>
                </c:pt>
                <c:pt idx="15">
                  <c:v>1755.3109999999997</c:v>
                </c:pt>
                <c:pt idx="16">
                  <c:v>1743.8540000000003</c:v>
                </c:pt>
                <c:pt idx="17">
                  <c:v>1692.5810000000001</c:v>
                </c:pt>
                <c:pt idx="18">
                  <c:v>1719.4480000000003</c:v>
                </c:pt>
                <c:pt idx="19">
                  <c:v>1725.4899999999998</c:v>
                </c:pt>
              </c:numCache>
            </c:numRef>
          </c:val>
          <c:smooth val="0"/>
        </c:ser>
        <c:ser>
          <c:idx val="4"/>
          <c:order val="1"/>
          <c:tx>
            <c:strRef>
              <c:f>freight_graph!$B$39</c:f>
              <c:strCache>
                <c:ptCount val="1"/>
                <c:pt idx="0">
                  <c:v>Sea</c:v>
                </c:pt>
              </c:strCache>
            </c:strRef>
          </c:tx>
          <c:spPr>
            <a:ln w="25400">
              <a:solidFill>
                <a:srgbClr val="0000FF"/>
              </a:solidFill>
              <a:prstDash val="solid"/>
            </a:ln>
          </c:spPr>
          <c:marker>
            <c:symbol val="triangle"/>
            <c:size val="6"/>
            <c:spPr>
              <a:solidFill>
                <a:srgbClr val="0000FF"/>
              </a:solidFill>
              <a:ln>
                <a:solidFill>
                  <a:srgbClr val="0000FF"/>
                </a:solidFill>
                <a:prstDash val="solid"/>
              </a:ln>
            </c:spPr>
          </c:marker>
          <c:cat>
            <c:numRef>
              <c:f>freight_graph!$C$37:$V$37</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freight_graph!$C$39:$V$39</c:f>
              <c:numCache>
                <c:formatCode>0.0</c:formatCode>
                <c:ptCount val="20"/>
                <c:pt idx="0">
                  <c:v>930.37460046420847</c:v>
                </c:pt>
                <c:pt idx="1">
                  <c:v>941.74043327965262</c:v>
                </c:pt>
                <c:pt idx="2">
                  <c:v>968.53132491605652</c:v>
                </c:pt>
                <c:pt idx="3">
                  <c:v>1000.1932877590793</c:v>
                </c:pt>
                <c:pt idx="4">
                  <c:v>1029.4197149987926</c:v>
                </c:pt>
                <c:pt idx="5">
                  <c:v>1066.7645942495374</c:v>
                </c:pt>
                <c:pt idx="6">
                  <c:v>1083.0014982716002</c:v>
                </c:pt>
                <c:pt idx="7">
                  <c:v>1100.0502474947664</c:v>
                </c:pt>
                <c:pt idx="8">
                  <c:v>1118.7226871201387</c:v>
                </c:pt>
                <c:pt idx="9">
                  <c:v>1158.5031019741932</c:v>
                </c:pt>
                <c:pt idx="10">
                  <c:v>1177.8146841521752</c:v>
                </c:pt>
                <c:pt idx="11">
                  <c:v>1190.8285082341656</c:v>
                </c:pt>
                <c:pt idx="12">
                  <c:v>1173.585510663846</c:v>
                </c:pt>
                <c:pt idx="13">
                  <c:v>1153.1223126038606</c:v>
                </c:pt>
                <c:pt idx="14">
                  <c:v>1035.192809289515</c:v>
                </c:pt>
                <c:pt idx="15">
                  <c:v>1094.3039954260601</c:v>
                </c:pt>
                <c:pt idx="16">
                  <c:v>1111.2850550979645</c:v>
                </c:pt>
                <c:pt idx="17">
                  <c:v>1084.7573911563193</c:v>
                </c:pt>
                <c:pt idx="18">
                  <c:v>1081.5026771627672</c:v>
                </c:pt>
                <c:pt idx="19">
                  <c:v>1122.1246881611078</c:v>
                </c:pt>
              </c:numCache>
            </c:numRef>
          </c:val>
          <c:smooth val="0"/>
        </c:ser>
        <c:ser>
          <c:idx val="1"/>
          <c:order val="2"/>
          <c:tx>
            <c:strRef>
              <c:f>freight_graph!$B$40</c:f>
              <c:strCache>
                <c:ptCount val="1"/>
                <c:pt idx="0">
                  <c:v>Rail</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numRef>
              <c:f>freight_graph!$C$37:$V$37</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freight_graph!$C$40:$V$40</c:f>
              <c:numCache>
                <c:formatCode>0.0</c:formatCode>
                <c:ptCount val="20"/>
                <c:pt idx="0">
                  <c:v>388.11806800000005</c:v>
                </c:pt>
                <c:pt idx="1">
                  <c:v>393.86300000000011</c:v>
                </c:pt>
                <c:pt idx="2">
                  <c:v>411.2519999999999</c:v>
                </c:pt>
                <c:pt idx="3">
                  <c:v>394.33752500000003</c:v>
                </c:pt>
                <c:pt idx="4">
                  <c:v>385.31001500293985</c:v>
                </c:pt>
                <c:pt idx="5">
                  <c:v>405.4637546422241</c:v>
                </c:pt>
                <c:pt idx="6">
                  <c:v>388.04830225225697</c:v>
                </c:pt>
                <c:pt idx="7">
                  <c:v>385.98319255303102</c:v>
                </c:pt>
                <c:pt idx="8">
                  <c:v>394.37526875462396</c:v>
                </c:pt>
                <c:pt idx="9">
                  <c:v>419.32637026043301</c:v>
                </c:pt>
                <c:pt idx="10">
                  <c:v>416.02418045013309</c:v>
                </c:pt>
                <c:pt idx="11">
                  <c:v>438.16492025294502</c:v>
                </c:pt>
                <c:pt idx="12">
                  <c:v>452</c:v>
                </c:pt>
                <c:pt idx="13">
                  <c:v>442.76299999999992</c:v>
                </c:pt>
                <c:pt idx="14">
                  <c:v>363.541</c:v>
                </c:pt>
                <c:pt idx="15">
                  <c:v>393.53100000000001</c:v>
                </c:pt>
                <c:pt idx="16">
                  <c:v>422.09699999999992</c:v>
                </c:pt>
                <c:pt idx="17">
                  <c:v>406.67099999999999</c:v>
                </c:pt>
                <c:pt idx="18">
                  <c:v>406.29700000000003</c:v>
                </c:pt>
                <c:pt idx="19">
                  <c:v>410.79399999999998</c:v>
                </c:pt>
              </c:numCache>
            </c:numRef>
          </c:val>
          <c:smooth val="0"/>
        </c:ser>
        <c:ser>
          <c:idx val="2"/>
          <c:order val="3"/>
          <c:tx>
            <c:strRef>
              <c:f>freight_graph!$B$41</c:f>
              <c:strCache>
                <c:ptCount val="1"/>
                <c:pt idx="0">
                  <c:v>Inland Waterway</c:v>
                </c:pt>
              </c:strCache>
            </c:strRef>
          </c:tx>
          <c:spPr>
            <a:ln w="25400">
              <a:solidFill>
                <a:srgbClr val="00FF00"/>
              </a:solidFill>
              <a:prstDash val="solid"/>
            </a:ln>
          </c:spPr>
          <c:marker>
            <c:symbol val="star"/>
            <c:size val="10"/>
            <c:spPr>
              <a:noFill/>
              <a:ln>
                <a:solidFill>
                  <a:srgbClr val="00FF00"/>
                </a:solidFill>
                <a:prstDash val="solid"/>
              </a:ln>
            </c:spPr>
          </c:marker>
          <c:cat>
            <c:numRef>
              <c:f>freight_graph!$C$37:$V$37</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freight_graph!$C$41:$V$41</c:f>
              <c:numCache>
                <c:formatCode>0.0</c:formatCode>
                <c:ptCount val="20"/>
                <c:pt idx="0">
                  <c:v>122.118208</c:v>
                </c:pt>
                <c:pt idx="1">
                  <c:v>119.778492</c:v>
                </c:pt>
                <c:pt idx="2">
                  <c:v>127.87012699999998</c:v>
                </c:pt>
                <c:pt idx="3">
                  <c:v>131.06435455100001</c:v>
                </c:pt>
                <c:pt idx="4">
                  <c:v>128.778899</c:v>
                </c:pt>
                <c:pt idx="5">
                  <c:v>133.92488560000001</c:v>
                </c:pt>
                <c:pt idx="6">
                  <c:v>132.6062436</c:v>
                </c:pt>
                <c:pt idx="7">
                  <c:v>132.59402299999999</c:v>
                </c:pt>
                <c:pt idx="8">
                  <c:v>123.6150852</c:v>
                </c:pt>
                <c:pt idx="9">
                  <c:v>136.91315100000006</c:v>
                </c:pt>
                <c:pt idx="10">
                  <c:v>138.78097439999996</c:v>
                </c:pt>
                <c:pt idx="11">
                  <c:v>138.57696909999999</c:v>
                </c:pt>
                <c:pt idx="12">
                  <c:v>145.07299999999998</c:v>
                </c:pt>
                <c:pt idx="13">
                  <c:v>146.12899999999999</c:v>
                </c:pt>
                <c:pt idx="14">
                  <c:v>130.53200000000001</c:v>
                </c:pt>
                <c:pt idx="15">
                  <c:v>155.52099999999999</c:v>
                </c:pt>
                <c:pt idx="16">
                  <c:v>141.96900000000002</c:v>
                </c:pt>
                <c:pt idx="17">
                  <c:v>149.98699999999999</c:v>
                </c:pt>
                <c:pt idx="18">
                  <c:v>152.74900000000002</c:v>
                </c:pt>
                <c:pt idx="19">
                  <c:v>150.87599999999998</c:v>
                </c:pt>
              </c:numCache>
            </c:numRef>
          </c:val>
          <c:smooth val="0"/>
        </c:ser>
        <c:ser>
          <c:idx val="3"/>
          <c:order val="4"/>
          <c:tx>
            <c:strRef>
              <c:f>freight_graph!$B$42</c:f>
              <c:strCache>
                <c:ptCount val="1"/>
                <c:pt idx="0">
                  <c:v>Oil Pipeline</c:v>
                </c:pt>
              </c:strCache>
            </c:strRef>
          </c:tx>
          <c:spPr>
            <a:ln w="25400">
              <a:solidFill>
                <a:srgbClr val="000000"/>
              </a:solidFill>
              <a:prstDash val="solid"/>
            </a:ln>
          </c:spPr>
          <c:marker>
            <c:symbol val="circle"/>
            <c:size val="5"/>
            <c:spPr>
              <a:noFill/>
              <a:ln>
                <a:solidFill>
                  <a:srgbClr val="000000"/>
                </a:solidFill>
                <a:prstDash val="solid"/>
              </a:ln>
            </c:spPr>
          </c:marker>
          <c:cat>
            <c:numRef>
              <c:f>freight_graph!$C$37:$V$37</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freight_graph!$C$42:$V$42</c:f>
              <c:numCache>
                <c:formatCode>0.0</c:formatCode>
                <c:ptCount val="20"/>
                <c:pt idx="0">
                  <c:v>114.91029999999998</c:v>
                </c:pt>
                <c:pt idx="1">
                  <c:v>119.3301</c:v>
                </c:pt>
                <c:pt idx="2">
                  <c:v>118.90400000000001</c:v>
                </c:pt>
                <c:pt idx="3">
                  <c:v>126.33999999999999</c:v>
                </c:pt>
                <c:pt idx="4">
                  <c:v>124.85099999999998</c:v>
                </c:pt>
                <c:pt idx="5">
                  <c:v>127.10669999999999</c:v>
                </c:pt>
                <c:pt idx="6">
                  <c:v>133.93729999999999</c:v>
                </c:pt>
                <c:pt idx="7">
                  <c:v>129.73159999999999</c:v>
                </c:pt>
                <c:pt idx="8">
                  <c:v>131.68780000000001</c:v>
                </c:pt>
                <c:pt idx="9">
                  <c:v>133.25936060000001</c:v>
                </c:pt>
                <c:pt idx="10">
                  <c:v>137.58850379999998</c:v>
                </c:pt>
                <c:pt idx="11">
                  <c:v>136.56624979999998</c:v>
                </c:pt>
                <c:pt idx="12">
                  <c:v>128.45148842182226</c:v>
                </c:pt>
                <c:pt idx="13">
                  <c:v>124.94496585313127</c:v>
                </c:pt>
                <c:pt idx="14">
                  <c:v>121.81921473696151</c:v>
                </c:pt>
                <c:pt idx="15">
                  <c:v>121.13344560300447</c:v>
                </c:pt>
                <c:pt idx="16">
                  <c:v>118.37031897026802</c:v>
                </c:pt>
                <c:pt idx="17">
                  <c:v>114.89650906969668</c:v>
                </c:pt>
                <c:pt idx="18">
                  <c:v>111.81004097523953</c:v>
                </c:pt>
                <c:pt idx="19">
                  <c:v>112.88771480506807</c:v>
                </c:pt>
              </c:numCache>
            </c:numRef>
          </c:val>
          <c:smooth val="0"/>
        </c:ser>
        <c:ser>
          <c:idx val="5"/>
          <c:order val="5"/>
          <c:tx>
            <c:strRef>
              <c:f>freight_graph!$B$43</c:f>
              <c:strCache>
                <c:ptCount val="1"/>
                <c:pt idx="0">
                  <c:v>Air</c:v>
                </c:pt>
              </c:strCache>
            </c:strRef>
          </c:tx>
          <c:spPr>
            <a:ln w="12700">
              <a:solidFill>
                <a:srgbClr val="800000"/>
              </a:solidFill>
              <a:prstDash val="solid"/>
            </a:ln>
          </c:spPr>
          <c:marker>
            <c:symbol val="none"/>
          </c:marker>
          <c:cat>
            <c:numRef>
              <c:f>freight_graph!$C$37:$V$37</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freight_graph!$C$43:$V$43</c:f>
              <c:numCache>
                <c:formatCode>0.0</c:formatCode>
                <c:ptCount val="20"/>
                <c:pt idx="0">
                  <c:v>1.7663653688748147</c:v>
                </c:pt>
                <c:pt idx="1">
                  <c:v>1.8193563299410593</c:v>
                </c:pt>
                <c:pt idx="2">
                  <c:v>1.9253382520735483</c:v>
                </c:pt>
                <c:pt idx="3">
                  <c:v>1.9871610399841666</c:v>
                </c:pt>
                <c:pt idx="4">
                  <c:v>2.0313201742060367</c:v>
                </c:pt>
                <c:pt idx="5">
                  <c:v>2.1637975768716484</c:v>
                </c:pt>
                <c:pt idx="6">
                  <c:v>2.1726294037160225</c:v>
                </c:pt>
                <c:pt idx="7">
                  <c:v>2.1196384426497774</c:v>
                </c:pt>
                <c:pt idx="8">
                  <c:v>2.1373020963385256</c:v>
                </c:pt>
                <c:pt idx="9">
                  <c:v>2.2167885379378918</c:v>
                </c:pt>
                <c:pt idx="10">
                  <c:v>2.2786113258485106</c:v>
                </c:pt>
                <c:pt idx="11">
                  <c:v>2.349265940603503</c:v>
                </c:pt>
                <c:pt idx="12">
                  <c:v>2.4287523822028696</c:v>
                </c:pt>
                <c:pt idx="13">
                  <c:v>2.3845932479809999</c:v>
                </c:pt>
                <c:pt idx="14">
                  <c:v>2.2267430481419006</c:v>
                </c:pt>
                <c:pt idx="15">
                  <c:v>2.3132690379414003</c:v>
                </c:pt>
                <c:pt idx="16">
                  <c:v>2.2832852674023001</c:v>
                </c:pt>
                <c:pt idx="17">
                  <c:v>2.2653185590209999</c:v>
                </c:pt>
                <c:pt idx="18">
                  <c:v>2.2431214734515006</c:v>
                </c:pt>
                <c:pt idx="19">
                  <c:v>2.2431214734515006</c:v>
                </c:pt>
              </c:numCache>
            </c:numRef>
          </c:val>
          <c:smooth val="0"/>
        </c:ser>
        <c:dLbls>
          <c:showLegendKey val="0"/>
          <c:showVal val="0"/>
          <c:showCatName val="0"/>
          <c:showSerName val="0"/>
          <c:showPercent val="0"/>
          <c:showBubbleSize val="0"/>
        </c:dLbls>
        <c:marker val="1"/>
        <c:smooth val="0"/>
        <c:axId val="87778048"/>
        <c:axId val="87779584"/>
      </c:lineChart>
      <c:catAx>
        <c:axId val="877780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779584"/>
        <c:crosses val="autoZero"/>
        <c:auto val="1"/>
        <c:lblAlgn val="ctr"/>
        <c:lblOffset val="100"/>
        <c:tickLblSkip val="1"/>
        <c:tickMarkSkip val="1"/>
        <c:noMultiLvlLbl val="0"/>
      </c:catAx>
      <c:valAx>
        <c:axId val="87779584"/>
        <c:scaling>
          <c:orientation val="minMax"/>
          <c:max val="2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778048"/>
        <c:crosses val="autoZero"/>
        <c:crossBetween val="midCat"/>
        <c:majorUnit val="200"/>
      </c:valAx>
      <c:spPr>
        <a:solidFill>
          <a:srgbClr val="FFFFFF"/>
        </a:solidFill>
        <a:ln w="12700">
          <a:solidFill>
            <a:srgbClr val="808080"/>
          </a:solidFill>
          <a:prstDash val="solid"/>
        </a:ln>
      </c:spPr>
    </c:plotArea>
    <c:legend>
      <c:legendPos val="b"/>
      <c:layout>
        <c:manualLayout>
          <c:xMode val="edge"/>
          <c:yMode val="edge"/>
          <c:x val="7.0400000000000004E-2"/>
          <c:y val="0.94887718789752507"/>
          <c:w val="0.91680067191601045"/>
          <c:h val="4.089979550102251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9525</xdr:rowOff>
    </xdr:from>
    <xdr:to>
      <xdr:col>13</xdr:col>
      <xdr:colOff>438150</xdr:colOff>
      <xdr:row>30</xdr:row>
      <xdr:rowOff>133350</xdr:rowOff>
    </xdr:to>
    <xdr:graphicFrame macro="">
      <xdr:nvGraphicFramePr>
        <xdr:cNvPr id="20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tats.oecd.org/" TargetMode="External"/><Relationship Id="rId2" Type="http://schemas.openxmlformats.org/officeDocument/2006/relationships/hyperlink" Target="http://stats.oecd.org/OECDStat_Metadata/ShowMetadata.ashx?Dataset=ITF_GOODS_TRANSPORT&amp;ShowOnWeb=true&amp;Lang=en" TargetMode="External"/><Relationship Id="rId1" Type="http://schemas.openxmlformats.org/officeDocument/2006/relationships/hyperlink" Target="http://stats.oecd.org/OECDStat_Metadata/ShowMetadata.ashx?Dataset=ITF_GOODS_TRANSPORT&amp;ShowOnWeb=true&amp;Lang=en" TargetMode="External"/><Relationship Id="rId5" Type="http://schemas.openxmlformats.org/officeDocument/2006/relationships/printerSettings" Target="../printerSettings/printerSettings9.bin"/><Relationship Id="rId4" Type="http://schemas.openxmlformats.org/officeDocument/2006/relationships/hyperlink" Target="http://stats.oec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pageSetUpPr fitToPage="1"/>
  </sheetPr>
  <dimension ref="B1:E71"/>
  <sheetViews>
    <sheetView workbookViewId="0">
      <selection activeCell="G18" sqref="G18"/>
    </sheetView>
  </sheetViews>
  <sheetFormatPr defaultRowHeight="12.75" x14ac:dyDescent="0.2"/>
  <cols>
    <col min="1" max="1" width="0.85546875" style="5" customWidth="1"/>
    <col min="2" max="2" width="7.7109375" style="8" customWidth="1"/>
    <col min="3" max="3" width="2" style="10" customWidth="1"/>
    <col min="4" max="4" width="51.5703125" style="5" customWidth="1"/>
    <col min="5" max="5" width="12.140625" style="5" customWidth="1"/>
    <col min="6" max="16384" width="9.140625" style="5"/>
  </cols>
  <sheetData>
    <row r="1" spans="2:5" ht="20.100000000000001" customHeight="1" x14ac:dyDescent="0.2">
      <c r="B1" s="463" t="s">
        <v>58</v>
      </c>
      <c r="C1" s="463"/>
      <c r="D1" s="463"/>
      <c r="E1" s="463"/>
    </row>
    <row r="2" spans="2:5" ht="20.100000000000001" customHeight="1" x14ac:dyDescent="0.2">
      <c r="B2" s="464" t="s">
        <v>59</v>
      </c>
      <c r="C2" s="464"/>
      <c r="D2" s="464"/>
      <c r="E2" s="464"/>
    </row>
    <row r="3" spans="2:5" ht="20.100000000000001" customHeight="1" x14ac:dyDescent="0.2">
      <c r="B3" s="465" t="s">
        <v>102</v>
      </c>
      <c r="C3" s="465"/>
      <c r="D3" s="465"/>
      <c r="E3" s="465"/>
    </row>
    <row r="4" spans="2:5" ht="20.100000000000001" customHeight="1" x14ac:dyDescent="0.2">
      <c r="B4" s="466" t="s">
        <v>60</v>
      </c>
      <c r="C4" s="466"/>
      <c r="D4" s="466"/>
      <c r="E4" s="466"/>
    </row>
    <row r="5" spans="2:5" ht="20.100000000000001" customHeight="1" x14ac:dyDescent="0.2">
      <c r="B5" s="56"/>
      <c r="C5" s="56"/>
      <c r="D5" s="56"/>
      <c r="E5" s="56"/>
    </row>
    <row r="6" spans="2:5" ht="20.100000000000001" customHeight="1" x14ac:dyDescent="0.2"/>
    <row r="7" spans="2:5" ht="20.100000000000001" customHeight="1" x14ac:dyDescent="0.2">
      <c r="B7" s="463" t="s">
        <v>101</v>
      </c>
      <c r="C7" s="463"/>
      <c r="D7" s="463"/>
      <c r="E7" s="463"/>
    </row>
    <row r="8" spans="2:5" ht="20.100000000000001" customHeight="1" x14ac:dyDescent="0.2">
      <c r="B8" s="462">
        <v>2016</v>
      </c>
      <c r="C8" s="462"/>
      <c r="D8" s="462"/>
      <c r="E8" s="462"/>
    </row>
    <row r="9" spans="2:5" ht="20.100000000000001" customHeight="1" x14ac:dyDescent="0.2">
      <c r="B9" s="57"/>
      <c r="C9" s="57"/>
      <c r="D9" s="57"/>
      <c r="E9" s="57"/>
    </row>
    <row r="10" spans="2:5" ht="20.100000000000001" customHeight="1" x14ac:dyDescent="0.2">
      <c r="B10" s="460" t="s">
        <v>103</v>
      </c>
      <c r="C10" s="460"/>
      <c r="D10" s="460"/>
      <c r="E10" s="460"/>
    </row>
    <row r="11" spans="2:5" ht="20.100000000000001" customHeight="1" x14ac:dyDescent="0.2">
      <c r="B11" s="7"/>
      <c r="E11" s="7"/>
    </row>
    <row r="12" spans="2:5" ht="20.100000000000001" customHeight="1" x14ac:dyDescent="0.2">
      <c r="B12" s="461" t="s">
        <v>104</v>
      </c>
      <c r="C12" s="461"/>
      <c r="D12" s="461"/>
      <c r="E12" s="461"/>
    </row>
    <row r="13" spans="2:5" customFormat="1" ht="20.100000000000001" customHeight="1" x14ac:dyDescent="0.2">
      <c r="B13" s="461" t="s">
        <v>61</v>
      </c>
      <c r="C13" s="461"/>
      <c r="D13" s="461"/>
      <c r="E13" s="461"/>
    </row>
    <row r="14" spans="2:5" customFormat="1" ht="20.100000000000001" customHeight="1" x14ac:dyDescent="0.2">
      <c r="B14" s="461" t="s">
        <v>62</v>
      </c>
      <c r="C14" s="461"/>
      <c r="D14" s="461"/>
      <c r="E14" s="461"/>
    </row>
    <row r="15" spans="2:5" ht="20.100000000000001" customHeight="1" x14ac:dyDescent="0.2">
      <c r="B15" s="7"/>
      <c r="D15"/>
      <c r="E15" s="7"/>
    </row>
    <row r="16" spans="2:5" ht="20.100000000000001" customHeight="1" x14ac:dyDescent="0.2">
      <c r="B16" s="7"/>
      <c r="E16" s="7"/>
    </row>
    <row r="17" spans="2:5" ht="15" customHeight="1" x14ac:dyDescent="0.2">
      <c r="B17" s="51" t="s">
        <v>91</v>
      </c>
      <c r="C17" s="52"/>
      <c r="D17" s="53" t="s">
        <v>54</v>
      </c>
      <c r="E17" s="7"/>
    </row>
    <row r="18" spans="2:5" ht="15" customHeight="1" x14ac:dyDescent="0.2">
      <c r="B18" s="51" t="s">
        <v>92</v>
      </c>
      <c r="C18" s="52"/>
      <c r="D18" s="53" t="s">
        <v>55</v>
      </c>
      <c r="E18" s="7"/>
    </row>
    <row r="19" spans="2:5" ht="15" customHeight="1" x14ac:dyDescent="0.2">
      <c r="B19" s="51" t="s">
        <v>93</v>
      </c>
      <c r="C19" s="52"/>
      <c r="D19" s="53" t="s">
        <v>154</v>
      </c>
      <c r="E19" s="7"/>
    </row>
    <row r="20" spans="2:5" ht="15" customHeight="1" x14ac:dyDescent="0.2">
      <c r="B20" s="51" t="s">
        <v>94</v>
      </c>
      <c r="C20" s="52"/>
      <c r="D20" s="53" t="s">
        <v>63</v>
      </c>
      <c r="E20" s="7"/>
    </row>
    <row r="21" spans="2:5" customFormat="1" ht="15" customHeight="1" x14ac:dyDescent="0.2">
      <c r="B21" s="51" t="s">
        <v>95</v>
      </c>
      <c r="C21" s="52"/>
      <c r="D21" s="53" t="s">
        <v>64</v>
      </c>
    </row>
    <row r="22" spans="2:5" customFormat="1" ht="15" customHeight="1" x14ac:dyDescent="0.2">
      <c r="B22" s="51" t="s">
        <v>96</v>
      </c>
      <c r="C22" s="52"/>
      <c r="D22" s="53" t="s">
        <v>65</v>
      </c>
    </row>
    <row r="23" spans="2:5" s="419" customFormat="1" ht="15" customHeight="1" x14ac:dyDescent="0.2">
      <c r="B23" s="438" t="s">
        <v>137</v>
      </c>
      <c r="C23" s="52"/>
      <c r="D23" s="439" t="s">
        <v>157</v>
      </c>
    </row>
    <row r="24" spans="2:5" ht="15" customHeight="1" x14ac:dyDescent="0.2">
      <c r="B24" s="51" t="s">
        <v>97</v>
      </c>
      <c r="C24" s="54"/>
      <c r="D24" s="55" t="s">
        <v>56</v>
      </c>
    </row>
    <row r="25" spans="2:5" ht="15" customHeight="1" x14ac:dyDescent="0.2">
      <c r="B25" s="51" t="s">
        <v>98</v>
      </c>
      <c r="C25" s="54"/>
      <c r="D25" s="55" t="s">
        <v>39</v>
      </c>
      <c r="E25" s="7"/>
    </row>
    <row r="26" spans="2:5" ht="15" customHeight="1" x14ac:dyDescent="0.2">
      <c r="B26" s="51" t="s">
        <v>99</v>
      </c>
      <c r="C26" s="54"/>
      <c r="D26" s="55" t="s">
        <v>57</v>
      </c>
      <c r="E26" s="7"/>
    </row>
    <row r="27" spans="2:5" ht="15" customHeight="1" x14ac:dyDescent="0.2">
      <c r="B27" s="51" t="s">
        <v>100</v>
      </c>
      <c r="D27" s="53" t="s">
        <v>78</v>
      </c>
      <c r="E27" s="7"/>
    </row>
    <row r="28" spans="2:5" customFormat="1" ht="12.6" customHeight="1" x14ac:dyDescent="0.2">
      <c r="B28" s="7"/>
      <c r="C28" s="10"/>
      <c r="D28" s="5"/>
      <c r="E28" s="7"/>
    </row>
    <row r="29" spans="2:5" customFormat="1" ht="12.6" customHeight="1" x14ac:dyDescent="0.2">
      <c r="B29" s="7"/>
      <c r="C29" s="10"/>
      <c r="D29" s="5"/>
      <c r="E29" s="7"/>
    </row>
    <row r="30" spans="2:5" customFormat="1" ht="12.6" customHeight="1" x14ac:dyDescent="0.2">
      <c r="B30" s="7"/>
      <c r="C30" s="10"/>
      <c r="E30" s="7"/>
    </row>
    <row r="31" spans="2:5" customFormat="1" ht="12.6" customHeight="1" x14ac:dyDescent="0.2">
      <c r="B31" s="7"/>
      <c r="C31" s="10"/>
      <c r="E31" s="7"/>
    </row>
    <row r="32" spans="2:5" ht="12.6" customHeight="1" x14ac:dyDescent="0.2">
      <c r="B32" s="7"/>
      <c r="D32"/>
      <c r="E32" s="7"/>
    </row>
    <row r="33" spans="2:5" ht="12.6" customHeight="1" x14ac:dyDescent="0.2">
      <c r="B33" s="7"/>
      <c r="D33"/>
      <c r="E33" s="7"/>
    </row>
    <row r="34" spans="2:5" customFormat="1" x14ac:dyDescent="0.2"/>
    <row r="35" spans="2:5" ht="12.6" customHeight="1" x14ac:dyDescent="0.2">
      <c r="B35"/>
      <c r="C35"/>
      <c r="D35"/>
      <c r="E35"/>
    </row>
    <row r="36" spans="2:5" ht="12.6" customHeight="1" x14ac:dyDescent="0.25">
      <c r="B36" s="9"/>
      <c r="E36" s="7"/>
    </row>
    <row r="37" spans="2:5" x14ac:dyDescent="0.2">
      <c r="B37" s="7"/>
      <c r="E37" s="7"/>
    </row>
    <row r="38" spans="2:5" x14ac:dyDescent="0.2">
      <c r="B38" s="7"/>
      <c r="E38" s="7"/>
    </row>
    <row r="39" spans="2:5" x14ac:dyDescent="0.2">
      <c r="B39" s="7"/>
      <c r="E39" s="7"/>
    </row>
    <row r="40" spans="2:5" x14ac:dyDescent="0.2">
      <c r="C40"/>
    </row>
    <row r="41" spans="2:5" x14ac:dyDescent="0.2">
      <c r="B41"/>
      <c r="C41"/>
      <c r="D41"/>
      <c r="E41"/>
    </row>
    <row r="42" spans="2:5" ht="13.5" x14ac:dyDescent="0.25">
      <c r="B42" s="9"/>
      <c r="E42"/>
    </row>
    <row r="43" spans="2:5" x14ac:dyDescent="0.2">
      <c r="B43" s="7"/>
      <c r="E43" s="7"/>
    </row>
    <row r="44" spans="2:5" x14ac:dyDescent="0.2">
      <c r="B44" s="7"/>
      <c r="E44" s="7"/>
    </row>
    <row r="45" spans="2:5" x14ac:dyDescent="0.2">
      <c r="B45" s="7"/>
      <c r="E45" s="7"/>
    </row>
    <row r="46" spans="2:5" x14ac:dyDescent="0.2">
      <c r="B46" s="7"/>
      <c r="E46" s="7"/>
    </row>
    <row r="47" spans="2:5" x14ac:dyDescent="0.2">
      <c r="B47" s="7"/>
      <c r="E47" s="7"/>
    </row>
    <row r="48" spans="2:5" x14ac:dyDescent="0.2">
      <c r="B48" s="7"/>
      <c r="E48" s="7"/>
    </row>
    <row r="49" spans="2:5" x14ac:dyDescent="0.2">
      <c r="B49" s="7"/>
      <c r="E49" s="7"/>
    </row>
    <row r="51" spans="2:5" ht="13.5" x14ac:dyDescent="0.25">
      <c r="B51" s="9"/>
      <c r="E51"/>
    </row>
    <row r="52" spans="2:5" x14ac:dyDescent="0.2">
      <c r="B52" s="7"/>
      <c r="E52" s="7"/>
    </row>
    <row r="53" spans="2:5" x14ac:dyDescent="0.2">
      <c r="B53" s="7"/>
      <c r="E53" s="7"/>
    </row>
    <row r="54" spans="2:5" x14ac:dyDescent="0.2">
      <c r="B54" s="7"/>
      <c r="E54" s="7"/>
    </row>
    <row r="61" spans="2:5" x14ac:dyDescent="0.2">
      <c r="C61" s="13"/>
      <c r="D61" s="14"/>
    </row>
    <row r="68" spans="3:5" customFormat="1" x14ac:dyDescent="0.2"/>
    <row r="71" spans="3:5" x14ac:dyDescent="0.2">
      <c r="C71"/>
      <c r="D71"/>
      <c r="E71"/>
    </row>
  </sheetData>
  <mergeCells count="10">
    <mergeCell ref="B1:E1"/>
    <mergeCell ref="B2:E2"/>
    <mergeCell ref="B3:E3"/>
    <mergeCell ref="B4:E4"/>
    <mergeCell ref="B7:E7"/>
    <mergeCell ref="B10:E10"/>
    <mergeCell ref="B12:E12"/>
    <mergeCell ref="B13:E13"/>
    <mergeCell ref="B14:E14"/>
    <mergeCell ref="B8:E8"/>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F51"/>
  <sheetViews>
    <sheetView topLeftCell="E1" zoomScaleNormal="100" workbookViewId="0">
      <selection activeCell="AH19" sqref="AB19:AH21"/>
    </sheetView>
  </sheetViews>
  <sheetFormatPr defaultRowHeight="12.75" x14ac:dyDescent="0.2"/>
  <cols>
    <col min="1" max="1" width="2.7109375" customWidth="1"/>
    <col min="2" max="2" width="4" style="3" customWidth="1"/>
    <col min="3" max="10" width="6.7109375" style="3" customWidth="1"/>
    <col min="11" max="14" width="6.7109375" style="3" hidden="1" customWidth="1"/>
    <col min="15" max="20" width="6.7109375" style="3" customWidth="1"/>
    <col min="21" max="26" width="7.28515625" style="3" customWidth="1"/>
    <col min="27" max="29" width="7.42578125" style="3" customWidth="1"/>
    <col min="30" max="30" width="6.28515625" style="3" customWidth="1"/>
    <col min="31" max="31" width="4.7109375" style="3" customWidth="1"/>
    <col min="32" max="32" width="3" style="3" customWidth="1"/>
    <col min="33" max="16384" width="9.140625" style="3"/>
  </cols>
  <sheetData>
    <row r="1" spans="1:32" ht="14.25" customHeight="1" x14ac:dyDescent="0.2">
      <c r="B1" s="42"/>
      <c r="C1" s="43"/>
      <c r="D1" s="43"/>
      <c r="E1" s="38"/>
      <c r="F1" s="38"/>
      <c r="G1" s="38"/>
      <c r="H1" s="38"/>
      <c r="I1" s="38"/>
      <c r="J1" s="38"/>
      <c r="K1" s="38"/>
      <c r="L1" s="38"/>
      <c r="M1" s="38"/>
      <c r="N1" s="38"/>
      <c r="O1" s="38"/>
      <c r="P1" s="38"/>
      <c r="R1"/>
      <c r="U1" s="39"/>
      <c r="V1" s="39"/>
      <c r="W1" s="39"/>
      <c r="X1" s="39"/>
      <c r="Y1" s="39"/>
      <c r="Z1" s="39"/>
      <c r="AA1" s="39"/>
      <c r="AB1" s="39"/>
      <c r="AC1" s="39"/>
      <c r="AE1" s="39" t="s">
        <v>98</v>
      </c>
    </row>
    <row r="2" spans="1:32" s="48" customFormat="1" ht="30" customHeight="1" x14ac:dyDescent="0.2">
      <c r="A2" s="82"/>
      <c r="B2" s="497" t="s">
        <v>39</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row>
    <row r="3" spans="1:32" ht="12" customHeight="1" x14ac:dyDescent="0.2">
      <c r="B3" s="4"/>
      <c r="C3" s="4"/>
      <c r="E3" s="28"/>
      <c r="F3" s="28"/>
      <c r="G3" s="28"/>
      <c r="H3" s="28"/>
      <c r="I3" s="28"/>
      <c r="J3" s="30"/>
      <c r="K3" s="30"/>
      <c r="L3" s="30"/>
      <c r="M3" s="30"/>
      <c r="N3" s="30"/>
      <c r="O3" s="30"/>
      <c r="R3" s="45"/>
      <c r="T3" s="164"/>
      <c r="U3" s="164"/>
      <c r="W3" s="503" t="s">
        <v>112</v>
      </c>
      <c r="X3" s="504"/>
      <c r="Y3" s="21"/>
      <c r="Z3" s="21"/>
      <c r="AA3" s="21"/>
      <c r="AB3" s="21"/>
      <c r="AC3" s="21"/>
      <c r="AD3" s="6"/>
      <c r="AE3" s="46"/>
      <c r="AF3" s="46"/>
    </row>
    <row r="4" spans="1:32" ht="20.100000000000001" customHeight="1" x14ac:dyDescent="0.2">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114" t="s">
        <v>131</v>
      </c>
      <c r="AE4" s="64"/>
      <c r="AF4" s="2"/>
    </row>
    <row r="5" spans="1:32" ht="9.9499999999999993" customHeight="1" x14ac:dyDescent="0.2">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115" t="s">
        <v>73</v>
      </c>
      <c r="AE5" s="64"/>
      <c r="AF5" s="2"/>
    </row>
    <row r="6" spans="1:32" ht="12.75" customHeight="1" x14ac:dyDescent="0.2">
      <c r="B6" s="90" t="s">
        <v>120</v>
      </c>
      <c r="C6" s="166">
        <f>SUM(C9:C36)+2.43</f>
        <v>112.776</v>
      </c>
      <c r="D6" s="166">
        <f>SUM(D9:D36)+3.59</f>
        <v>119.771</v>
      </c>
      <c r="E6" s="267">
        <f>SUM(E9:E36)+4.42</f>
        <v>118.83522714499999</v>
      </c>
      <c r="F6" s="267">
        <f>SUM(F9:F36)+3.89</f>
        <v>116.70840167300001</v>
      </c>
      <c r="G6" s="267">
        <f>SUM(G9:G36)+2.98</f>
        <v>115.05673840299998</v>
      </c>
      <c r="H6" s="267">
        <f t="shared" ref="H6:AA6" si="0">SUM(H9:H36)</f>
        <v>109.08724280999999</v>
      </c>
      <c r="I6" s="267">
        <f t="shared" si="0"/>
        <v>118.78323084900002</v>
      </c>
      <c r="J6" s="267">
        <f t="shared" si="0"/>
        <v>122.118208</v>
      </c>
      <c r="K6" s="267">
        <f t="shared" si="0"/>
        <v>119.778492</v>
      </c>
      <c r="L6" s="267">
        <f t="shared" si="0"/>
        <v>127.87012699999998</v>
      </c>
      <c r="M6" s="267">
        <f t="shared" si="0"/>
        <v>131.06435455100001</v>
      </c>
      <c r="N6" s="267">
        <f t="shared" si="0"/>
        <v>128.778899</v>
      </c>
      <c r="O6" s="267">
        <f t="shared" si="0"/>
        <v>133.92488560000001</v>
      </c>
      <c r="P6" s="267">
        <f t="shared" si="0"/>
        <v>132.6062436</v>
      </c>
      <c r="Q6" s="267">
        <f t="shared" si="0"/>
        <v>132.59402299999999</v>
      </c>
      <c r="R6" s="267">
        <f t="shared" si="0"/>
        <v>123.6150852</v>
      </c>
      <c r="S6" s="267">
        <f t="shared" si="0"/>
        <v>136.91315100000006</v>
      </c>
      <c r="T6" s="267">
        <f t="shared" si="0"/>
        <v>138.78097439999996</v>
      </c>
      <c r="U6" s="267">
        <f t="shared" si="0"/>
        <v>138.57696909999999</v>
      </c>
      <c r="V6" s="267">
        <f t="shared" si="0"/>
        <v>145.07299999999998</v>
      </c>
      <c r="W6" s="267">
        <f t="shared" si="0"/>
        <v>146.12899999999999</v>
      </c>
      <c r="X6" s="267">
        <f t="shared" si="0"/>
        <v>130.53200000000001</v>
      </c>
      <c r="Y6" s="267">
        <f t="shared" si="0"/>
        <v>155.52099999999999</v>
      </c>
      <c r="Z6" s="267">
        <f t="shared" si="0"/>
        <v>141.96900000000002</v>
      </c>
      <c r="AA6" s="267">
        <f t="shared" si="0"/>
        <v>149.98699999999999</v>
      </c>
      <c r="AB6" s="267">
        <f t="shared" ref="AB6" si="1">SUM(AB9:AB36)</f>
        <v>152.79500000000004</v>
      </c>
      <c r="AC6" s="267">
        <f t="shared" ref="AC6" si="2">SUM(AC9:AC36)</f>
        <v>150.87599999999998</v>
      </c>
      <c r="AD6" s="240">
        <f>AC6/AB6*100-100</f>
        <v>-1.2559311495795527</v>
      </c>
      <c r="AE6" s="90" t="s">
        <v>120</v>
      </c>
      <c r="AF6" s="2"/>
    </row>
    <row r="7" spans="1:32" ht="12.75" customHeight="1" x14ac:dyDescent="0.2">
      <c r="A7" s="15"/>
      <c r="B7" s="91" t="s">
        <v>121</v>
      </c>
      <c r="C7" s="168">
        <f t="shared" ref="C7:AA7" si="3">C9+C13+C18+C20+C24+C27+C28+C34+C36</f>
        <v>102.626</v>
      </c>
      <c r="D7" s="168">
        <f t="shared" si="3"/>
        <v>105.89100000000001</v>
      </c>
      <c r="E7" s="268">
        <f t="shared" si="3"/>
        <v>106.97722714499997</v>
      </c>
      <c r="F7" s="268">
        <f t="shared" si="3"/>
        <v>107.16240167300002</v>
      </c>
      <c r="G7" s="268">
        <f t="shared" si="3"/>
        <v>106.95373840299997</v>
      </c>
      <c r="H7" s="268">
        <f t="shared" si="3"/>
        <v>104.70724281</v>
      </c>
      <c r="I7" s="268">
        <f t="shared" si="3"/>
        <v>113.25353084899999</v>
      </c>
      <c r="J7" s="268">
        <f t="shared" si="3"/>
        <v>114.59630799999999</v>
      </c>
      <c r="K7" s="268">
        <f t="shared" si="3"/>
        <v>111.37309199999999</v>
      </c>
      <c r="L7" s="268">
        <f t="shared" si="3"/>
        <v>118.92042699999998</v>
      </c>
      <c r="M7" s="268">
        <f t="shared" si="3"/>
        <v>121.944141</v>
      </c>
      <c r="N7" s="268">
        <f t="shared" si="3"/>
        <v>121.99729899999998</v>
      </c>
      <c r="O7" s="268">
        <f t="shared" si="3"/>
        <v>127.380566</v>
      </c>
      <c r="P7" s="268">
        <f t="shared" si="3"/>
        <v>125.94002399999998</v>
      </c>
      <c r="Q7" s="268">
        <f t="shared" si="3"/>
        <v>125.08906300000001</v>
      </c>
      <c r="R7" s="268">
        <f t="shared" si="3"/>
        <v>116.41082</v>
      </c>
      <c r="S7" s="268">
        <f t="shared" si="3"/>
        <v>126.01882999999999</v>
      </c>
      <c r="T7" s="268">
        <f t="shared" si="3"/>
        <v>126.22875000000001</v>
      </c>
      <c r="U7" s="268">
        <f t="shared" si="3"/>
        <v>126.622974</v>
      </c>
      <c r="V7" s="268">
        <f t="shared" si="3"/>
        <v>132.21900000000002</v>
      </c>
      <c r="W7" s="268">
        <f t="shared" si="3"/>
        <v>130.042</v>
      </c>
      <c r="X7" s="268">
        <f t="shared" si="3"/>
        <v>109.636</v>
      </c>
      <c r="Y7" s="268">
        <f t="shared" si="3"/>
        <v>130.458</v>
      </c>
      <c r="Z7" s="268">
        <f t="shared" si="3"/>
        <v>122.58100000000003</v>
      </c>
      <c r="AA7" s="268">
        <f t="shared" si="3"/>
        <v>128.208</v>
      </c>
      <c r="AB7" s="268">
        <f t="shared" ref="AB7" si="4">AB9+AB13+AB18+AB20+AB24+AB27+AB28+AB34+AB36</f>
        <v>131.36200000000002</v>
      </c>
      <c r="AC7" s="268">
        <f t="shared" ref="AC7" si="5">AC9+AC13+AC18+AC20+AC24+AC27+AC28+AC34+AC36</f>
        <v>130.47300000000001</v>
      </c>
      <c r="AD7" s="241">
        <f t="shared" ref="AD7:AD44" si="6">AC7/AB7*100-100</f>
        <v>-0.67675583502079917</v>
      </c>
      <c r="AE7" s="91" t="s">
        <v>121</v>
      </c>
    </row>
    <row r="8" spans="1:32" ht="12.75" customHeight="1" x14ac:dyDescent="0.2">
      <c r="A8" s="15"/>
      <c r="B8" s="94" t="s">
        <v>122</v>
      </c>
      <c r="C8" s="170">
        <f t="shared" ref="C8:X8" si="7">C6-C7</f>
        <v>10.149999999999991</v>
      </c>
      <c r="D8" s="170">
        <f t="shared" si="7"/>
        <v>13.879999999999995</v>
      </c>
      <c r="E8" s="269">
        <f t="shared" si="7"/>
        <v>11.858000000000018</v>
      </c>
      <c r="F8" s="269">
        <f t="shared" si="7"/>
        <v>9.5459999999999923</v>
      </c>
      <c r="G8" s="269">
        <f t="shared" si="7"/>
        <v>8.1030000000000086</v>
      </c>
      <c r="H8" s="269">
        <f t="shared" si="7"/>
        <v>4.3799999999999955</v>
      </c>
      <c r="I8" s="269">
        <f t="shared" si="7"/>
        <v>5.5297000000000338</v>
      </c>
      <c r="J8" s="269">
        <f t="shared" si="7"/>
        <v>7.5219000000000023</v>
      </c>
      <c r="K8" s="269">
        <f t="shared" si="7"/>
        <v>8.4054000000000144</v>
      </c>
      <c r="L8" s="269">
        <f t="shared" si="7"/>
        <v>8.9497000000000071</v>
      </c>
      <c r="M8" s="269">
        <f t="shared" si="7"/>
        <v>9.1202135510000062</v>
      </c>
      <c r="N8" s="269">
        <f t="shared" si="7"/>
        <v>6.7816000000000116</v>
      </c>
      <c r="O8" s="269">
        <f t="shared" si="7"/>
        <v>6.5443196000000086</v>
      </c>
      <c r="P8" s="269">
        <f t="shared" si="7"/>
        <v>6.6662196000000193</v>
      </c>
      <c r="Q8" s="269">
        <f t="shared" si="7"/>
        <v>7.5049599999999828</v>
      </c>
      <c r="R8" s="269">
        <f t="shared" si="7"/>
        <v>7.2042651999999947</v>
      </c>
      <c r="S8" s="269">
        <f t="shared" si="7"/>
        <v>10.894321000000062</v>
      </c>
      <c r="T8" s="269">
        <f t="shared" si="7"/>
        <v>12.552224399999957</v>
      </c>
      <c r="U8" s="269">
        <f t="shared" si="7"/>
        <v>11.953995099999986</v>
      </c>
      <c r="V8" s="269">
        <f t="shared" si="7"/>
        <v>12.853999999999957</v>
      </c>
      <c r="W8" s="269">
        <f t="shared" si="7"/>
        <v>16.086999999999989</v>
      </c>
      <c r="X8" s="269">
        <f t="shared" si="7"/>
        <v>20.896000000000015</v>
      </c>
      <c r="Y8" s="269">
        <f>Y6-Y7</f>
        <v>25.062999999999988</v>
      </c>
      <c r="Z8" s="269">
        <f>Z6-Z7</f>
        <v>19.387999999999991</v>
      </c>
      <c r="AA8" s="269">
        <f>AA6-AA7</f>
        <v>21.778999999999996</v>
      </c>
      <c r="AB8" s="269">
        <f>AB6-AB7</f>
        <v>21.433000000000021</v>
      </c>
      <c r="AC8" s="269">
        <f>AC6-AC7</f>
        <v>20.402999999999963</v>
      </c>
      <c r="AD8" s="242">
        <f t="shared" si="6"/>
        <v>-4.8056734941448127</v>
      </c>
      <c r="AE8" s="94" t="s">
        <v>122</v>
      </c>
    </row>
    <row r="9" spans="1:32" ht="12.75" customHeight="1" x14ac:dyDescent="0.2">
      <c r="A9" s="15"/>
      <c r="B9" s="17" t="s">
        <v>23</v>
      </c>
      <c r="C9" s="107">
        <v>6.734</v>
      </c>
      <c r="D9" s="107">
        <v>5.8520000000000003</v>
      </c>
      <c r="E9" s="215">
        <v>5.3888962219999996</v>
      </c>
      <c r="F9" s="215">
        <v>5.177006499</v>
      </c>
      <c r="G9" s="215">
        <v>5.0178630999999996</v>
      </c>
      <c r="H9" s="215">
        <v>4.9316739729999997</v>
      </c>
      <c r="I9" s="215">
        <v>5.4902624380000002</v>
      </c>
      <c r="J9" s="215">
        <v>5.7309999999999999</v>
      </c>
      <c r="K9" s="215">
        <v>5.7149999999999999</v>
      </c>
      <c r="L9" s="215">
        <v>5.8289999999999997</v>
      </c>
      <c r="M9" s="215">
        <v>6.0149999999999997</v>
      </c>
      <c r="N9" s="215">
        <v>6.3620000000000001</v>
      </c>
      <c r="O9" s="215">
        <v>7.2149999999999999</v>
      </c>
      <c r="P9" s="215">
        <v>7.6550000000000002</v>
      </c>
      <c r="Q9" s="215">
        <v>8.0730000000000004</v>
      </c>
      <c r="R9" s="215">
        <v>8.23</v>
      </c>
      <c r="S9" s="215">
        <v>8.3919999999999995</v>
      </c>
      <c r="T9" s="215">
        <v>8.5660000000000007</v>
      </c>
      <c r="U9" s="215">
        <v>8.9079999999999995</v>
      </c>
      <c r="V9" s="215">
        <v>9.0060000000000002</v>
      </c>
      <c r="W9" s="215">
        <v>8.7460000000000004</v>
      </c>
      <c r="X9" s="215">
        <v>7.0869999999999997</v>
      </c>
      <c r="Y9" s="215">
        <v>9.07</v>
      </c>
      <c r="Z9" s="215">
        <v>9.2509999999999994</v>
      </c>
      <c r="AA9" s="215">
        <v>10.42</v>
      </c>
      <c r="AB9" s="215">
        <v>10.365</v>
      </c>
      <c r="AC9" s="215">
        <v>10.451000000000001</v>
      </c>
      <c r="AD9" s="151">
        <f t="shared" si="6"/>
        <v>0.82971538832610747</v>
      </c>
      <c r="AE9" s="17" t="s">
        <v>23</v>
      </c>
    </row>
    <row r="10" spans="1:32" ht="12.75" customHeight="1" x14ac:dyDescent="0.2">
      <c r="A10" s="15"/>
      <c r="B10" s="91" t="s">
        <v>6</v>
      </c>
      <c r="C10" s="116">
        <v>1.83</v>
      </c>
      <c r="D10" s="116">
        <v>2.61</v>
      </c>
      <c r="E10" s="205">
        <v>1.61</v>
      </c>
      <c r="F10" s="205">
        <v>1.024</v>
      </c>
      <c r="G10" s="205">
        <v>0.83699999999999997</v>
      </c>
      <c r="H10" s="205">
        <v>0.46</v>
      </c>
      <c r="I10" s="205">
        <v>0.36</v>
      </c>
      <c r="J10" s="205">
        <v>0.52600000000000002</v>
      </c>
      <c r="K10" s="205">
        <v>0.505</v>
      </c>
      <c r="L10" s="205">
        <v>0.6</v>
      </c>
      <c r="M10" s="205">
        <v>0.56299999999999994</v>
      </c>
      <c r="N10" s="205">
        <v>0.187</v>
      </c>
      <c r="O10" s="205">
        <v>0.313</v>
      </c>
      <c r="P10" s="205">
        <v>0.41799999999999998</v>
      </c>
      <c r="Q10" s="205">
        <v>0.56100000000000005</v>
      </c>
      <c r="R10" s="205">
        <v>0.61299999999999999</v>
      </c>
      <c r="S10" s="205">
        <v>0.69699999999999995</v>
      </c>
      <c r="T10" s="205">
        <v>0.75700000000000001</v>
      </c>
      <c r="U10" s="205">
        <v>0.78500000000000003</v>
      </c>
      <c r="V10" s="211">
        <v>1.0109999999999999</v>
      </c>
      <c r="W10" s="211">
        <v>2.89</v>
      </c>
      <c r="X10" s="205">
        <v>5.4359999999999999</v>
      </c>
      <c r="Y10" s="205">
        <v>6.048</v>
      </c>
      <c r="Z10" s="205">
        <v>4.3099999999999996</v>
      </c>
      <c r="AA10" s="205">
        <v>5.3490000000000002</v>
      </c>
      <c r="AB10" s="205">
        <v>5.3739999999999997</v>
      </c>
      <c r="AC10" s="205">
        <v>5.0739999999999998</v>
      </c>
      <c r="AD10" s="120">
        <f t="shared" si="6"/>
        <v>-5.5824339411983601</v>
      </c>
      <c r="AE10" s="91" t="s">
        <v>6</v>
      </c>
    </row>
    <row r="11" spans="1:32" ht="12.75" customHeight="1" x14ac:dyDescent="0.2">
      <c r="A11" s="15"/>
      <c r="B11" s="17" t="s">
        <v>8</v>
      </c>
      <c r="C11" s="106"/>
      <c r="D11" s="106"/>
      <c r="E11" s="59"/>
      <c r="F11" s="59"/>
      <c r="G11" s="59"/>
      <c r="H11" s="190"/>
      <c r="I11" s="59">
        <v>0.25259999999999999</v>
      </c>
      <c r="J11" s="59">
        <v>0.2757</v>
      </c>
      <c r="K11" s="59">
        <v>0.25650000000000001</v>
      </c>
      <c r="L11" s="59">
        <v>9.8400000000000001E-2</v>
      </c>
      <c r="M11" s="59">
        <v>0.100313551</v>
      </c>
      <c r="N11" s="59">
        <v>8.6999999999999994E-2</v>
      </c>
      <c r="O11" s="59">
        <v>8.8999999999999996E-2</v>
      </c>
      <c r="P11" s="59">
        <v>7.8E-2</v>
      </c>
      <c r="Q11" s="59">
        <v>0.08</v>
      </c>
      <c r="R11" s="59">
        <v>5.8000000000000003E-2</v>
      </c>
      <c r="S11" s="59">
        <v>4.8000000000000001E-2</v>
      </c>
      <c r="T11" s="59">
        <v>6.3E-2</v>
      </c>
      <c r="U11" s="59">
        <v>4.2999999999999997E-2</v>
      </c>
      <c r="V11" s="59">
        <v>3.5999999999999997E-2</v>
      </c>
      <c r="W11" s="59">
        <v>2.8000000000000001E-2</v>
      </c>
      <c r="X11" s="59">
        <v>3.3000000000000002E-2</v>
      </c>
      <c r="Y11" s="59">
        <v>4.2999999999999997E-2</v>
      </c>
      <c r="Z11" s="59">
        <v>4.2000000000000003E-2</v>
      </c>
      <c r="AA11" s="59">
        <v>3.7999999999999999E-2</v>
      </c>
      <c r="AB11" s="59">
        <v>2.5000000000000001E-2</v>
      </c>
      <c r="AC11" s="59">
        <v>2.7E-2</v>
      </c>
      <c r="AD11" s="152">
        <f t="shared" si="6"/>
        <v>7.9999999999999858</v>
      </c>
      <c r="AE11" s="17" t="s">
        <v>8</v>
      </c>
    </row>
    <row r="12" spans="1:32" ht="12.75" customHeight="1" x14ac:dyDescent="0.2">
      <c r="A12" s="15"/>
      <c r="B12" s="91" t="s">
        <v>19</v>
      </c>
      <c r="C12" s="116" t="s">
        <v>36</v>
      </c>
      <c r="D12" s="116" t="s">
        <v>36</v>
      </c>
      <c r="E12" s="205" t="s">
        <v>36</v>
      </c>
      <c r="F12" s="205" t="s">
        <v>36</v>
      </c>
      <c r="G12" s="205" t="s">
        <v>36</v>
      </c>
      <c r="H12" s="205" t="s">
        <v>36</v>
      </c>
      <c r="I12" s="205" t="s">
        <v>36</v>
      </c>
      <c r="J12" s="205" t="s">
        <v>36</v>
      </c>
      <c r="K12" s="205" t="s">
        <v>36</v>
      </c>
      <c r="L12" s="205" t="s">
        <v>36</v>
      </c>
      <c r="M12" s="205" t="s">
        <v>36</v>
      </c>
      <c r="N12" s="205" t="s">
        <v>36</v>
      </c>
      <c r="O12" s="205" t="s">
        <v>36</v>
      </c>
      <c r="P12" s="205" t="s">
        <v>36</v>
      </c>
      <c r="Q12" s="205" t="s">
        <v>36</v>
      </c>
      <c r="R12" s="205" t="s">
        <v>36</v>
      </c>
      <c r="S12" s="205" t="s">
        <v>36</v>
      </c>
      <c r="T12" s="205" t="s">
        <v>36</v>
      </c>
      <c r="U12" s="205" t="s">
        <v>36</v>
      </c>
      <c r="V12" s="205" t="s">
        <v>36</v>
      </c>
      <c r="W12" s="205" t="s">
        <v>36</v>
      </c>
      <c r="X12" s="205" t="s">
        <v>36</v>
      </c>
      <c r="Y12" s="205" t="s">
        <v>36</v>
      </c>
      <c r="Z12" s="205" t="s">
        <v>36</v>
      </c>
      <c r="AA12" s="210" t="s">
        <v>36</v>
      </c>
      <c r="AB12" s="210" t="s">
        <v>36</v>
      </c>
      <c r="AC12" s="210" t="s">
        <v>36</v>
      </c>
      <c r="AD12" s="153" t="s">
        <v>36</v>
      </c>
      <c r="AE12" s="91" t="s">
        <v>19</v>
      </c>
    </row>
    <row r="13" spans="1:32" ht="12.75" customHeight="1" x14ac:dyDescent="0.2">
      <c r="A13" s="15"/>
      <c r="B13" s="17" t="s">
        <v>24</v>
      </c>
      <c r="C13" s="106">
        <v>48.8</v>
      </c>
      <c r="D13" s="106">
        <v>51.4</v>
      </c>
      <c r="E13" s="59">
        <v>54.802999999999997</v>
      </c>
      <c r="F13" s="59">
        <v>55.973424604999998</v>
      </c>
      <c r="G13" s="59">
        <v>57.239443125999998</v>
      </c>
      <c r="H13" s="59">
        <v>57.559339868000002</v>
      </c>
      <c r="I13" s="59">
        <v>61.771966849999998</v>
      </c>
      <c r="J13" s="59">
        <v>63.981999999999999</v>
      </c>
      <c r="K13" s="59">
        <v>61.290999999999997</v>
      </c>
      <c r="L13" s="59">
        <v>62.152999999999999</v>
      </c>
      <c r="M13" s="59">
        <v>64.266999999999996</v>
      </c>
      <c r="N13" s="59">
        <v>62.692</v>
      </c>
      <c r="O13" s="59">
        <v>66.465000000000003</v>
      </c>
      <c r="P13" s="59">
        <v>64.817999999999998</v>
      </c>
      <c r="Q13" s="59">
        <v>64.165999999999997</v>
      </c>
      <c r="R13" s="59">
        <v>58.154000000000003</v>
      </c>
      <c r="S13" s="59">
        <v>63.667000000000002</v>
      </c>
      <c r="T13" s="59">
        <v>64.096000000000004</v>
      </c>
      <c r="U13" s="59">
        <v>63.975000000000001</v>
      </c>
      <c r="V13" s="59">
        <v>64.710999999999999</v>
      </c>
      <c r="W13" s="59">
        <v>64.055999999999997</v>
      </c>
      <c r="X13" s="59">
        <v>55.652000000000001</v>
      </c>
      <c r="Y13" s="59">
        <v>62.277999999999999</v>
      </c>
      <c r="Z13" s="59">
        <v>55.027000000000001</v>
      </c>
      <c r="AA13" s="59">
        <v>58.488</v>
      </c>
      <c r="AB13" s="59">
        <v>60.07</v>
      </c>
      <c r="AC13" s="59">
        <v>59.093000000000004</v>
      </c>
      <c r="AD13" s="152">
        <f t="shared" si="6"/>
        <v>-1.6264358248709812</v>
      </c>
      <c r="AE13" s="17" t="s">
        <v>24</v>
      </c>
    </row>
    <row r="14" spans="1:32" ht="12.75" customHeight="1" x14ac:dyDescent="0.2">
      <c r="A14" s="15"/>
      <c r="B14" s="91" t="s">
        <v>9</v>
      </c>
      <c r="C14" s="116">
        <v>0.01</v>
      </c>
      <c r="D14" s="116">
        <v>0.01</v>
      </c>
      <c r="E14" s="205">
        <v>0</v>
      </c>
      <c r="F14" s="205">
        <v>1E-3</v>
      </c>
      <c r="G14" s="205">
        <v>1E-3</v>
      </c>
      <c r="H14" s="205">
        <v>0</v>
      </c>
      <c r="I14" s="205">
        <v>1E-3</v>
      </c>
      <c r="J14" s="205">
        <v>0</v>
      </c>
      <c r="K14" s="205">
        <v>0</v>
      </c>
      <c r="L14" s="205">
        <v>0</v>
      </c>
      <c r="M14" s="205">
        <v>0</v>
      </c>
      <c r="N14" s="205">
        <v>2E-3</v>
      </c>
      <c r="O14" s="205" t="s">
        <v>36</v>
      </c>
      <c r="P14" s="205" t="s">
        <v>36</v>
      </c>
      <c r="Q14" s="205" t="s">
        <v>36</v>
      </c>
      <c r="R14" s="205" t="s">
        <v>36</v>
      </c>
      <c r="S14" s="205" t="s">
        <v>36</v>
      </c>
      <c r="T14" s="205" t="s">
        <v>36</v>
      </c>
      <c r="U14" s="205" t="s">
        <v>36</v>
      </c>
      <c r="V14" s="205" t="s">
        <v>36</v>
      </c>
      <c r="W14" s="205" t="s">
        <v>36</v>
      </c>
      <c r="X14" s="205" t="s">
        <v>36</v>
      </c>
      <c r="Y14" s="205" t="s">
        <v>36</v>
      </c>
      <c r="Z14" s="205" t="s">
        <v>36</v>
      </c>
      <c r="AA14" s="210" t="s">
        <v>36</v>
      </c>
      <c r="AB14" s="210" t="s">
        <v>36</v>
      </c>
      <c r="AC14" s="210" t="s">
        <v>36</v>
      </c>
      <c r="AD14" s="153" t="s">
        <v>36</v>
      </c>
      <c r="AE14" s="91" t="s">
        <v>9</v>
      </c>
    </row>
    <row r="15" spans="1:32" ht="12.75" customHeight="1" x14ac:dyDescent="0.2">
      <c r="A15" s="15"/>
      <c r="B15" s="17" t="s">
        <v>27</v>
      </c>
      <c r="C15" s="107" t="s">
        <v>36</v>
      </c>
      <c r="D15" s="107" t="s">
        <v>36</v>
      </c>
      <c r="E15" s="215" t="s">
        <v>36</v>
      </c>
      <c r="F15" s="215" t="s">
        <v>36</v>
      </c>
      <c r="G15" s="215" t="s">
        <v>36</v>
      </c>
      <c r="H15" s="215" t="s">
        <v>36</v>
      </c>
      <c r="I15" s="215" t="s">
        <v>36</v>
      </c>
      <c r="J15" s="215" t="s">
        <v>36</v>
      </c>
      <c r="K15" s="215" t="s">
        <v>36</v>
      </c>
      <c r="L15" s="215" t="s">
        <v>36</v>
      </c>
      <c r="M15" s="215" t="s">
        <v>36</v>
      </c>
      <c r="N15" s="215" t="s">
        <v>36</v>
      </c>
      <c r="O15" s="215" t="s">
        <v>36</v>
      </c>
      <c r="P15" s="215" t="s">
        <v>36</v>
      </c>
      <c r="Q15" s="215" t="s">
        <v>36</v>
      </c>
      <c r="R15" s="215" t="s">
        <v>36</v>
      </c>
      <c r="S15" s="215" t="s">
        <v>36</v>
      </c>
      <c r="T15" s="215" t="s">
        <v>36</v>
      </c>
      <c r="U15" s="215" t="s">
        <v>36</v>
      </c>
      <c r="V15" s="215" t="s">
        <v>36</v>
      </c>
      <c r="W15" s="215" t="s">
        <v>36</v>
      </c>
      <c r="X15" s="215" t="s">
        <v>36</v>
      </c>
      <c r="Y15" s="215" t="s">
        <v>36</v>
      </c>
      <c r="Z15" s="215" t="s">
        <v>36</v>
      </c>
      <c r="AA15" s="202" t="s">
        <v>36</v>
      </c>
      <c r="AB15" s="202" t="s">
        <v>36</v>
      </c>
      <c r="AC15" s="202" t="s">
        <v>36</v>
      </c>
      <c r="AD15" s="151" t="s">
        <v>36</v>
      </c>
      <c r="AE15" s="17" t="s">
        <v>27</v>
      </c>
    </row>
    <row r="16" spans="1:32" ht="12.75" customHeight="1" x14ac:dyDescent="0.2">
      <c r="A16" s="15"/>
      <c r="B16" s="91" t="s">
        <v>20</v>
      </c>
      <c r="C16" s="116" t="s">
        <v>36</v>
      </c>
      <c r="D16" s="116" t="s">
        <v>36</v>
      </c>
      <c r="E16" s="205" t="s">
        <v>36</v>
      </c>
      <c r="F16" s="205" t="s">
        <v>36</v>
      </c>
      <c r="G16" s="205" t="s">
        <v>36</v>
      </c>
      <c r="H16" s="205" t="s">
        <v>36</v>
      </c>
      <c r="I16" s="205" t="s">
        <v>36</v>
      </c>
      <c r="J16" s="205" t="s">
        <v>36</v>
      </c>
      <c r="K16" s="205" t="s">
        <v>36</v>
      </c>
      <c r="L16" s="205" t="s">
        <v>36</v>
      </c>
      <c r="M16" s="205" t="s">
        <v>36</v>
      </c>
      <c r="N16" s="205" t="s">
        <v>36</v>
      </c>
      <c r="O16" s="205" t="s">
        <v>36</v>
      </c>
      <c r="P16" s="205" t="s">
        <v>36</v>
      </c>
      <c r="Q16" s="205" t="s">
        <v>36</v>
      </c>
      <c r="R16" s="205" t="s">
        <v>36</v>
      </c>
      <c r="S16" s="205" t="s">
        <v>36</v>
      </c>
      <c r="T16" s="205" t="s">
        <v>36</v>
      </c>
      <c r="U16" s="205" t="s">
        <v>36</v>
      </c>
      <c r="V16" s="205" t="s">
        <v>36</v>
      </c>
      <c r="W16" s="205" t="s">
        <v>36</v>
      </c>
      <c r="X16" s="205" t="s">
        <v>36</v>
      </c>
      <c r="Y16" s="205" t="s">
        <v>36</v>
      </c>
      <c r="Z16" s="205" t="s">
        <v>36</v>
      </c>
      <c r="AA16" s="210" t="s">
        <v>36</v>
      </c>
      <c r="AB16" s="210" t="s">
        <v>36</v>
      </c>
      <c r="AC16" s="210" t="s">
        <v>36</v>
      </c>
      <c r="AD16" s="153" t="s">
        <v>36</v>
      </c>
      <c r="AE16" s="91" t="s">
        <v>20</v>
      </c>
    </row>
    <row r="17" spans="1:31" ht="12.75" customHeight="1" x14ac:dyDescent="0.2">
      <c r="A17" s="15"/>
      <c r="B17" s="17" t="s">
        <v>25</v>
      </c>
      <c r="C17" s="107" t="s">
        <v>36</v>
      </c>
      <c r="D17" s="107" t="s">
        <v>36</v>
      </c>
      <c r="E17" s="215" t="s">
        <v>36</v>
      </c>
      <c r="F17" s="215" t="s">
        <v>36</v>
      </c>
      <c r="G17" s="215" t="s">
        <v>36</v>
      </c>
      <c r="H17" s="215" t="s">
        <v>36</v>
      </c>
      <c r="I17" s="215" t="s">
        <v>36</v>
      </c>
      <c r="J17" s="215" t="s">
        <v>36</v>
      </c>
      <c r="K17" s="215" t="s">
        <v>36</v>
      </c>
      <c r="L17" s="215" t="s">
        <v>36</v>
      </c>
      <c r="M17" s="215" t="s">
        <v>36</v>
      </c>
      <c r="N17" s="215" t="s">
        <v>36</v>
      </c>
      <c r="O17" s="215" t="s">
        <v>36</v>
      </c>
      <c r="P17" s="215" t="s">
        <v>36</v>
      </c>
      <c r="Q17" s="215" t="s">
        <v>36</v>
      </c>
      <c r="R17" s="215" t="s">
        <v>36</v>
      </c>
      <c r="S17" s="215" t="s">
        <v>36</v>
      </c>
      <c r="T17" s="215" t="s">
        <v>36</v>
      </c>
      <c r="U17" s="215" t="s">
        <v>36</v>
      </c>
      <c r="V17" s="215" t="s">
        <v>36</v>
      </c>
      <c r="W17" s="215" t="s">
        <v>36</v>
      </c>
      <c r="X17" s="215" t="s">
        <v>36</v>
      </c>
      <c r="Y17" s="215" t="s">
        <v>36</v>
      </c>
      <c r="Z17" s="215" t="s">
        <v>36</v>
      </c>
      <c r="AA17" s="202" t="s">
        <v>36</v>
      </c>
      <c r="AB17" s="202" t="s">
        <v>36</v>
      </c>
      <c r="AC17" s="202" t="s">
        <v>36</v>
      </c>
      <c r="AD17" s="151" t="s">
        <v>36</v>
      </c>
      <c r="AE17" s="17" t="s">
        <v>25</v>
      </c>
    </row>
    <row r="18" spans="1:31" ht="12.75" customHeight="1" x14ac:dyDescent="0.2">
      <c r="A18" s="15"/>
      <c r="B18" s="91" t="s">
        <v>26</v>
      </c>
      <c r="C18" s="116">
        <v>12.228999999999999</v>
      </c>
      <c r="D18" s="113">
        <v>10.869</v>
      </c>
      <c r="E18" s="205">
        <v>7.5810330869999998</v>
      </c>
      <c r="F18" s="205">
        <v>8.3465465230000007</v>
      </c>
      <c r="G18" s="205">
        <v>8.6314321770000006</v>
      </c>
      <c r="H18" s="205">
        <v>7.6842289690000003</v>
      </c>
      <c r="I18" s="205">
        <v>7.235301561</v>
      </c>
      <c r="J18" s="205">
        <v>6.63</v>
      </c>
      <c r="K18" s="205">
        <v>6.0270000000000001</v>
      </c>
      <c r="L18" s="205">
        <v>7.0579999999999998</v>
      </c>
      <c r="M18" s="205">
        <v>7.9359999999999999</v>
      </c>
      <c r="N18" s="205">
        <v>8.4779999999999998</v>
      </c>
      <c r="O18" s="205">
        <v>9.11</v>
      </c>
      <c r="P18" s="205">
        <v>8.2940000000000005</v>
      </c>
      <c r="Q18" s="205">
        <v>8.2690000000000001</v>
      </c>
      <c r="R18" s="205">
        <v>8.0239999999999991</v>
      </c>
      <c r="S18" s="205">
        <v>8.4160000000000004</v>
      </c>
      <c r="T18" s="205">
        <v>8.9049999999999994</v>
      </c>
      <c r="U18" s="205">
        <v>9.0050000000000008</v>
      </c>
      <c r="V18" s="205">
        <v>9.2080000000000002</v>
      </c>
      <c r="W18" s="205">
        <v>8.91</v>
      </c>
      <c r="X18" s="205">
        <v>8.7110000000000003</v>
      </c>
      <c r="Y18" s="205">
        <v>9.4740000000000002</v>
      </c>
      <c r="Z18" s="205">
        <v>9.0350000000000001</v>
      </c>
      <c r="AA18" s="205">
        <v>8.9160000000000004</v>
      </c>
      <c r="AB18" s="205">
        <v>9.2129999999999992</v>
      </c>
      <c r="AC18" s="205">
        <v>8.8030000000000008</v>
      </c>
      <c r="AD18" s="153">
        <f t="shared" si="6"/>
        <v>-4.4502333658959969</v>
      </c>
      <c r="AE18" s="91" t="s">
        <v>26</v>
      </c>
    </row>
    <row r="19" spans="1:31" ht="12.75" customHeight="1" x14ac:dyDescent="0.2">
      <c r="A19" s="15"/>
      <c r="B19" s="271" t="s">
        <v>37</v>
      </c>
      <c r="C19" s="272">
        <v>0.3</v>
      </c>
      <c r="D19" s="272">
        <v>0.6</v>
      </c>
      <c r="E19" s="273">
        <v>0.5</v>
      </c>
      <c r="F19" s="273" t="s">
        <v>35</v>
      </c>
      <c r="G19" s="273" t="s">
        <v>35</v>
      </c>
      <c r="H19" s="273" t="s">
        <v>35</v>
      </c>
      <c r="I19" s="273" t="s">
        <v>35</v>
      </c>
      <c r="J19" s="273">
        <v>3.3000000000000002E-2</v>
      </c>
      <c r="K19" s="273">
        <v>2.1999999999999999E-2</v>
      </c>
      <c r="L19" s="273">
        <v>2.1999999999999999E-2</v>
      </c>
      <c r="M19" s="273">
        <v>5.2999999999999999E-2</v>
      </c>
      <c r="N19" s="273">
        <v>5.1999999999999998E-2</v>
      </c>
      <c r="O19" s="273">
        <v>6.3535999999999995E-2</v>
      </c>
      <c r="P19" s="273">
        <v>7.7483999999999997E-2</v>
      </c>
      <c r="Q19" s="273">
        <v>8.9745000000000005E-2</v>
      </c>
      <c r="R19" s="273">
        <v>0.10009999999999999</v>
      </c>
      <c r="S19" s="273">
        <v>0.1787</v>
      </c>
      <c r="T19" s="273">
        <v>0.1186</v>
      </c>
      <c r="U19" s="273">
        <v>0.1164</v>
      </c>
      <c r="V19" s="274">
        <v>0.109</v>
      </c>
      <c r="W19" s="273">
        <v>0.84199999999999997</v>
      </c>
      <c r="X19" s="273">
        <v>0.72699999999999998</v>
      </c>
      <c r="Y19" s="273">
        <v>0.94</v>
      </c>
      <c r="Z19" s="273">
        <v>0.69199999999999995</v>
      </c>
      <c r="AA19" s="273">
        <v>0.77200000000000002</v>
      </c>
      <c r="AB19" s="273">
        <v>0.77100000000000002</v>
      </c>
      <c r="AC19" s="273">
        <v>0.71599999999999997</v>
      </c>
      <c r="AD19" s="340">
        <f t="shared" si="6"/>
        <v>-7.1335927367055803</v>
      </c>
      <c r="AE19" s="271" t="s">
        <v>37</v>
      </c>
    </row>
    <row r="20" spans="1:31" ht="12.75" customHeight="1" x14ac:dyDescent="0.2">
      <c r="A20" s="15"/>
      <c r="B20" s="91" t="s">
        <v>28</v>
      </c>
      <c r="C20" s="116">
        <v>0.35</v>
      </c>
      <c r="D20" s="116">
        <v>0.20300000000000001</v>
      </c>
      <c r="E20" s="205">
        <v>0.11799999999999999</v>
      </c>
      <c r="F20" s="205">
        <v>0.09</v>
      </c>
      <c r="G20" s="205">
        <v>7.0000000000000007E-2</v>
      </c>
      <c r="H20" s="205">
        <v>9.7000000000000003E-2</v>
      </c>
      <c r="I20" s="205">
        <v>0.108</v>
      </c>
      <c r="J20" s="205">
        <v>0.13530800000000001</v>
      </c>
      <c r="K20" s="205">
        <v>0.12509200000000001</v>
      </c>
      <c r="L20" s="205">
        <v>0.20142699999999999</v>
      </c>
      <c r="M20" s="205">
        <v>0.126141</v>
      </c>
      <c r="N20" s="205">
        <v>0.17729900000000001</v>
      </c>
      <c r="O20" s="205">
        <v>0.16956599999999999</v>
      </c>
      <c r="P20" s="205">
        <v>0.161024</v>
      </c>
      <c r="Q20" s="205">
        <v>9.0063000000000004E-2</v>
      </c>
      <c r="R20" s="205">
        <v>9.0819999999999998E-2</v>
      </c>
      <c r="S20" s="205">
        <v>0.10983</v>
      </c>
      <c r="T20" s="205">
        <v>8.8749999999999996E-2</v>
      </c>
      <c r="U20" s="205">
        <v>7.5974E-2</v>
      </c>
      <c r="V20" s="205">
        <v>9.2999999999999999E-2</v>
      </c>
      <c r="W20" s="205">
        <v>6.4000000000000001E-2</v>
      </c>
      <c r="X20" s="205">
        <v>5.3999999999999999E-2</v>
      </c>
      <c r="Y20" s="205">
        <v>0.108</v>
      </c>
      <c r="Z20" s="205">
        <v>0.14399999999999999</v>
      </c>
      <c r="AA20" s="210">
        <v>8.1000000000000003E-2</v>
      </c>
      <c r="AB20" s="210">
        <v>8.8999999999999996E-2</v>
      </c>
      <c r="AC20" s="264">
        <v>6.4000000000000001E-2</v>
      </c>
      <c r="AD20" s="120">
        <f t="shared" si="6"/>
        <v>-28.089887640449433</v>
      </c>
      <c r="AE20" s="91" t="s">
        <v>28</v>
      </c>
    </row>
    <row r="21" spans="1:31" ht="12.75" customHeight="1" x14ac:dyDescent="0.2">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8" t="s">
        <v>36</v>
      </c>
      <c r="AC21" s="239" t="s">
        <v>36</v>
      </c>
      <c r="AD21" s="152" t="s">
        <v>36</v>
      </c>
      <c r="AE21" s="17" t="s">
        <v>7</v>
      </c>
    </row>
    <row r="22" spans="1:31" ht="12.75" customHeight="1" x14ac:dyDescent="0.2">
      <c r="A22" s="15"/>
      <c r="B22" s="91" t="s">
        <v>11</v>
      </c>
      <c r="C22" s="204">
        <v>0.05</v>
      </c>
      <c r="D22" s="204">
        <v>0.09</v>
      </c>
      <c r="E22" s="204" t="s">
        <v>36</v>
      </c>
      <c r="F22" s="205" t="s">
        <v>36</v>
      </c>
      <c r="G22" s="205" t="s">
        <v>36</v>
      </c>
      <c r="H22" s="205" t="s">
        <v>36</v>
      </c>
      <c r="I22" s="205" t="s">
        <v>36</v>
      </c>
      <c r="J22" s="205" t="s">
        <v>36</v>
      </c>
      <c r="K22" s="205" t="s">
        <v>36</v>
      </c>
      <c r="L22" s="205" t="s">
        <v>36</v>
      </c>
      <c r="M22" s="205" t="s">
        <v>36</v>
      </c>
      <c r="N22" s="205" t="s">
        <v>36</v>
      </c>
      <c r="O22" s="205" t="s">
        <v>36</v>
      </c>
      <c r="P22" s="205" t="s">
        <v>36</v>
      </c>
      <c r="Q22" s="205" t="s">
        <v>36</v>
      </c>
      <c r="R22" s="205" t="s">
        <v>36</v>
      </c>
      <c r="S22" s="205" t="s">
        <v>36</v>
      </c>
      <c r="T22" s="205" t="s">
        <v>36</v>
      </c>
      <c r="U22" s="205" t="s">
        <v>36</v>
      </c>
      <c r="V22" s="205" t="s">
        <v>36</v>
      </c>
      <c r="W22" s="205" t="s">
        <v>36</v>
      </c>
      <c r="X22" s="205" t="s">
        <v>36</v>
      </c>
      <c r="Y22" s="205" t="s">
        <v>36</v>
      </c>
      <c r="Z22" s="205" t="s">
        <v>36</v>
      </c>
      <c r="AA22" s="205" t="s">
        <v>36</v>
      </c>
      <c r="AB22" s="210" t="s">
        <v>36</v>
      </c>
      <c r="AC22" s="264" t="s">
        <v>36</v>
      </c>
      <c r="AD22" s="153" t="s">
        <v>36</v>
      </c>
      <c r="AE22" s="91" t="s">
        <v>11</v>
      </c>
    </row>
    <row r="23" spans="1:31" ht="12.75" customHeight="1" x14ac:dyDescent="0.2">
      <c r="A23" s="15"/>
      <c r="B23" s="17" t="s">
        <v>12</v>
      </c>
      <c r="C23" s="144">
        <v>0.12</v>
      </c>
      <c r="D23" s="144">
        <v>0.15</v>
      </c>
      <c r="E23" s="144">
        <v>0.16400000000000001</v>
      </c>
      <c r="F23" s="59">
        <v>0.14099999999999999</v>
      </c>
      <c r="G23" s="59">
        <v>4.4999999999999998E-2</v>
      </c>
      <c r="H23" s="59">
        <v>0.05</v>
      </c>
      <c r="I23" s="59">
        <v>0.03</v>
      </c>
      <c r="J23" s="59">
        <v>1.7999999999999999E-2</v>
      </c>
      <c r="K23" s="59">
        <v>7.0000000000000001E-3</v>
      </c>
      <c r="L23" s="59">
        <v>8.9999999999999993E-3</v>
      </c>
      <c r="M23" s="59">
        <v>1.4E-2</v>
      </c>
      <c r="N23" s="59">
        <v>3.0000000000000001E-3</v>
      </c>
      <c r="O23" s="59">
        <v>1.4835999999999998E-3</v>
      </c>
      <c r="P23" s="59">
        <v>5.3560000000000012E-4</v>
      </c>
      <c r="Q23" s="59">
        <v>5.1500000000000005E-4</v>
      </c>
      <c r="R23" s="59">
        <v>6.6519999999999991E-4</v>
      </c>
      <c r="S23" s="59">
        <v>6.2100000000000002E-4</v>
      </c>
      <c r="T23" s="59">
        <v>1.3244000000000001E-3</v>
      </c>
      <c r="U23" s="59">
        <v>1.7951E-3</v>
      </c>
      <c r="V23" s="59">
        <v>0.01</v>
      </c>
      <c r="W23" s="59">
        <v>1.2E-2</v>
      </c>
      <c r="X23" s="59">
        <v>3.0000000000000001E-3</v>
      </c>
      <c r="Y23" s="59">
        <v>3.0000000000000001E-3</v>
      </c>
      <c r="Z23" s="59">
        <v>3.0000000000000001E-3</v>
      </c>
      <c r="AA23" s="59">
        <v>1E-3</v>
      </c>
      <c r="AB23" s="59">
        <v>0</v>
      </c>
      <c r="AC23" s="217">
        <v>0</v>
      </c>
      <c r="AD23" s="152" t="s">
        <v>36</v>
      </c>
      <c r="AE23" s="17" t="s">
        <v>12</v>
      </c>
    </row>
    <row r="24" spans="1:31" ht="12.75" customHeight="1" x14ac:dyDescent="0.2">
      <c r="A24" s="15"/>
      <c r="B24" s="91" t="s">
        <v>29</v>
      </c>
      <c r="C24" s="204">
        <v>0.30199999999999999</v>
      </c>
      <c r="D24" s="204">
        <v>0.33100000000000002</v>
      </c>
      <c r="E24" s="204">
        <v>0.36229783599999998</v>
      </c>
      <c r="F24" s="205">
        <v>0.34042404599999998</v>
      </c>
      <c r="G24" s="205">
        <v>0.33800000000000002</v>
      </c>
      <c r="H24" s="205">
        <v>0.32300000000000001</v>
      </c>
      <c r="I24" s="205">
        <v>0.317</v>
      </c>
      <c r="J24" s="205">
        <v>0.33800000000000002</v>
      </c>
      <c r="K24" s="205">
        <v>0.32100000000000001</v>
      </c>
      <c r="L24" s="205">
        <v>0.35599999999999998</v>
      </c>
      <c r="M24" s="205">
        <v>0.36899999999999999</v>
      </c>
      <c r="N24" s="205">
        <v>0.35099999999999998</v>
      </c>
      <c r="O24" s="205">
        <v>0.378</v>
      </c>
      <c r="P24" s="205">
        <v>0.371</v>
      </c>
      <c r="Q24" s="205">
        <v>0.37</v>
      </c>
      <c r="R24" s="205">
        <v>0.316</v>
      </c>
      <c r="S24" s="205">
        <v>0.37</v>
      </c>
      <c r="T24" s="205">
        <v>0.34200000000000003</v>
      </c>
      <c r="U24" s="205">
        <v>0.38100000000000001</v>
      </c>
      <c r="V24" s="205">
        <v>0.34499999999999997</v>
      </c>
      <c r="W24" s="205">
        <v>0.36699999999999999</v>
      </c>
      <c r="X24" s="205">
        <v>0.27900000000000003</v>
      </c>
      <c r="Y24" s="205">
        <v>0.35899999999999999</v>
      </c>
      <c r="Z24" s="205">
        <v>0.30499999999999999</v>
      </c>
      <c r="AA24" s="205">
        <v>0.28999999999999998</v>
      </c>
      <c r="AB24" s="205">
        <v>0.313</v>
      </c>
      <c r="AC24" s="206">
        <v>0.28499999999999998</v>
      </c>
      <c r="AD24" s="153">
        <f t="shared" si="6"/>
        <v>-8.9456869009584778</v>
      </c>
      <c r="AE24" s="91" t="s">
        <v>29</v>
      </c>
    </row>
    <row r="25" spans="1:31" ht="12.75" customHeight="1" x14ac:dyDescent="0.2">
      <c r="A25" s="15"/>
      <c r="B25" s="17" t="s">
        <v>10</v>
      </c>
      <c r="C25" s="207">
        <v>1.76</v>
      </c>
      <c r="D25" s="207">
        <v>2.15</v>
      </c>
      <c r="E25" s="207">
        <v>2.04</v>
      </c>
      <c r="F25" s="208">
        <v>1.72</v>
      </c>
      <c r="G25" s="208">
        <v>1.6</v>
      </c>
      <c r="H25" s="208">
        <v>1.62</v>
      </c>
      <c r="I25" s="208">
        <v>1.35</v>
      </c>
      <c r="J25" s="208">
        <v>1.2110000000000001</v>
      </c>
      <c r="K25" s="208">
        <v>1.397</v>
      </c>
      <c r="L25" s="208">
        <v>1.4410000000000001</v>
      </c>
      <c r="M25" s="208">
        <v>1.56</v>
      </c>
      <c r="N25" s="208">
        <v>0.95799999999999996</v>
      </c>
      <c r="O25" s="208">
        <v>0.89100000000000001</v>
      </c>
      <c r="P25" s="208">
        <v>1.087</v>
      </c>
      <c r="Q25" s="208">
        <v>1.407</v>
      </c>
      <c r="R25" s="208">
        <v>1.5169999999999999</v>
      </c>
      <c r="S25" s="208">
        <v>1.9039999999999999</v>
      </c>
      <c r="T25" s="208">
        <v>2.11</v>
      </c>
      <c r="U25" s="208">
        <v>1.913</v>
      </c>
      <c r="V25" s="208">
        <v>2.2120000000000002</v>
      </c>
      <c r="W25" s="208">
        <v>2.25</v>
      </c>
      <c r="X25" s="208">
        <v>1.831</v>
      </c>
      <c r="Y25" s="208">
        <v>2.3929999999999998</v>
      </c>
      <c r="Z25" s="208">
        <v>1.84</v>
      </c>
      <c r="AA25" s="208">
        <v>1.982</v>
      </c>
      <c r="AB25" s="208">
        <v>1.9239999999999999</v>
      </c>
      <c r="AC25" s="239">
        <v>1.8109999999999999</v>
      </c>
      <c r="AD25" s="152">
        <f t="shared" si="6"/>
        <v>-5.8731808731808712</v>
      </c>
      <c r="AE25" s="17" t="s">
        <v>10</v>
      </c>
    </row>
    <row r="26" spans="1:31" ht="12.75" customHeight="1" x14ac:dyDescent="0.2">
      <c r="A26" s="15"/>
      <c r="B26" s="58" t="s">
        <v>13</v>
      </c>
      <c r="C26" s="212" t="s">
        <v>36</v>
      </c>
      <c r="D26" s="212" t="s">
        <v>36</v>
      </c>
      <c r="E26" s="212" t="s">
        <v>36</v>
      </c>
      <c r="F26" s="213" t="s">
        <v>36</v>
      </c>
      <c r="G26" s="213" t="s">
        <v>36</v>
      </c>
      <c r="H26" s="213" t="s">
        <v>36</v>
      </c>
      <c r="I26" s="213" t="s">
        <v>36</v>
      </c>
      <c r="J26" s="213" t="s">
        <v>36</v>
      </c>
      <c r="K26" s="213" t="s">
        <v>36</v>
      </c>
      <c r="L26" s="213" t="s">
        <v>36</v>
      </c>
      <c r="M26" s="213" t="s">
        <v>36</v>
      </c>
      <c r="N26" s="213" t="s">
        <v>36</v>
      </c>
      <c r="O26" s="213" t="s">
        <v>36</v>
      </c>
      <c r="P26" s="213" t="s">
        <v>36</v>
      </c>
      <c r="Q26" s="213" t="s">
        <v>36</v>
      </c>
      <c r="R26" s="213" t="s">
        <v>36</v>
      </c>
      <c r="S26" s="213" t="s">
        <v>36</v>
      </c>
      <c r="T26" s="213" t="s">
        <v>36</v>
      </c>
      <c r="U26" s="213" t="s">
        <v>36</v>
      </c>
      <c r="V26" s="213" t="s">
        <v>36</v>
      </c>
      <c r="W26" s="213" t="s">
        <v>36</v>
      </c>
      <c r="X26" s="213" t="s">
        <v>36</v>
      </c>
      <c r="Y26" s="213" t="s">
        <v>36</v>
      </c>
      <c r="Z26" s="213" t="s">
        <v>36</v>
      </c>
      <c r="AA26" s="213" t="s">
        <v>36</v>
      </c>
      <c r="AB26" s="213" t="s">
        <v>36</v>
      </c>
      <c r="AC26" s="252" t="s">
        <v>36</v>
      </c>
      <c r="AD26" s="247" t="s">
        <v>36</v>
      </c>
      <c r="AE26" s="58" t="s">
        <v>13</v>
      </c>
    </row>
    <row r="27" spans="1:31" ht="12.75" customHeight="1" x14ac:dyDescent="0.2">
      <c r="A27" s="15"/>
      <c r="B27" s="17" t="s">
        <v>21</v>
      </c>
      <c r="C27" s="144">
        <v>30.617999999999999</v>
      </c>
      <c r="D27" s="144">
        <v>33.478999999999999</v>
      </c>
      <c r="E27" s="144">
        <v>35.661000000000001</v>
      </c>
      <c r="F27" s="59">
        <v>34.755000000000003</v>
      </c>
      <c r="G27" s="59">
        <v>33.53</v>
      </c>
      <c r="H27" s="59">
        <v>32.058</v>
      </c>
      <c r="I27" s="59">
        <v>36.011000000000003</v>
      </c>
      <c r="J27" s="59">
        <v>35.457000000000001</v>
      </c>
      <c r="K27" s="59">
        <v>35.512999999999998</v>
      </c>
      <c r="L27" s="59">
        <v>40.985999999999997</v>
      </c>
      <c r="M27" s="59">
        <v>40.683</v>
      </c>
      <c r="N27" s="59">
        <v>41.427999999999997</v>
      </c>
      <c r="O27" s="59">
        <v>41.271000000000001</v>
      </c>
      <c r="P27" s="59">
        <v>41.792999999999999</v>
      </c>
      <c r="Q27" s="59">
        <v>40.982999999999997</v>
      </c>
      <c r="R27" s="59">
        <v>39.030999999999999</v>
      </c>
      <c r="S27" s="59">
        <v>43.048999999999999</v>
      </c>
      <c r="T27" s="59">
        <v>42.232999999999997</v>
      </c>
      <c r="U27" s="59">
        <v>42.215000000000003</v>
      </c>
      <c r="V27" s="59">
        <v>45.994999999999997</v>
      </c>
      <c r="W27" s="59">
        <v>45.295999999999999</v>
      </c>
      <c r="X27" s="59">
        <v>35.655999999999999</v>
      </c>
      <c r="Y27" s="59">
        <v>46.561999999999998</v>
      </c>
      <c r="Z27" s="59">
        <v>46.462000000000003</v>
      </c>
      <c r="AA27" s="208">
        <v>47.533000000000001</v>
      </c>
      <c r="AB27" s="208">
        <v>48.627000000000002</v>
      </c>
      <c r="AC27" s="239">
        <v>49.295000000000002</v>
      </c>
      <c r="AD27" s="152">
        <f t="shared" si="6"/>
        <v>1.3737224175869329</v>
      </c>
      <c r="AE27" s="17" t="s">
        <v>21</v>
      </c>
    </row>
    <row r="28" spans="1:31" ht="12.75" customHeight="1" x14ac:dyDescent="0.2">
      <c r="A28" s="15"/>
      <c r="B28" s="91" t="s">
        <v>30</v>
      </c>
      <c r="C28" s="204">
        <v>1.2929999999999999</v>
      </c>
      <c r="D28" s="204">
        <v>1.5569999999999999</v>
      </c>
      <c r="E28" s="204">
        <v>1.663</v>
      </c>
      <c r="F28" s="205">
        <v>1.48</v>
      </c>
      <c r="G28" s="205">
        <v>1.4370000000000001</v>
      </c>
      <c r="H28" s="205">
        <v>1.454</v>
      </c>
      <c r="I28" s="205">
        <v>1.82</v>
      </c>
      <c r="J28" s="205">
        <v>2.0459999999999998</v>
      </c>
      <c r="K28" s="205">
        <v>2.101</v>
      </c>
      <c r="L28" s="205">
        <v>2.0870000000000002</v>
      </c>
      <c r="M28" s="205">
        <v>2.2799999999999998</v>
      </c>
      <c r="N28" s="205">
        <v>2.2309999999999999</v>
      </c>
      <c r="O28" s="213">
        <v>2.444</v>
      </c>
      <c r="P28" s="213">
        <v>2.5569999999999999</v>
      </c>
      <c r="Q28" s="213">
        <v>2.8460000000000001</v>
      </c>
      <c r="R28" s="213">
        <v>2.2759999999999998</v>
      </c>
      <c r="S28" s="205">
        <v>1.7470000000000001</v>
      </c>
      <c r="T28" s="205">
        <v>1.7529999999999999</v>
      </c>
      <c r="U28" s="205">
        <v>1.837</v>
      </c>
      <c r="V28" s="205">
        <v>2.597</v>
      </c>
      <c r="W28" s="205">
        <v>2.359</v>
      </c>
      <c r="X28" s="205">
        <v>2.0030000000000001</v>
      </c>
      <c r="Y28" s="205">
        <v>2.375</v>
      </c>
      <c r="Z28" s="205">
        <v>2.1230000000000002</v>
      </c>
      <c r="AA28" s="210">
        <v>2.1909999999999998</v>
      </c>
      <c r="AB28" s="210">
        <v>2.3530000000000002</v>
      </c>
      <c r="AC28" s="264">
        <v>2.177</v>
      </c>
      <c r="AD28" s="153">
        <f t="shared" si="6"/>
        <v>-7.479813004674881</v>
      </c>
      <c r="AE28" s="91" t="s">
        <v>30</v>
      </c>
    </row>
    <row r="29" spans="1:31" ht="12.75" customHeight="1" x14ac:dyDescent="0.2">
      <c r="A29" s="15"/>
      <c r="B29" s="271" t="s">
        <v>14</v>
      </c>
      <c r="C29" s="272">
        <v>2.2999999999999998</v>
      </c>
      <c r="D29" s="272">
        <v>2.33</v>
      </c>
      <c r="E29" s="273">
        <v>1.034</v>
      </c>
      <c r="F29" s="273">
        <v>0.74</v>
      </c>
      <c r="G29" s="273">
        <v>0.75</v>
      </c>
      <c r="H29" s="273">
        <v>0.66</v>
      </c>
      <c r="I29" s="273">
        <v>0.79</v>
      </c>
      <c r="J29" s="273">
        <v>0.88</v>
      </c>
      <c r="K29" s="273">
        <v>0.85</v>
      </c>
      <c r="L29" s="273">
        <v>0.93</v>
      </c>
      <c r="M29" s="273">
        <v>1.1000000000000001</v>
      </c>
      <c r="N29" s="273">
        <v>1.028</v>
      </c>
      <c r="O29" s="273">
        <v>1.173</v>
      </c>
      <c r="P29" s="273">
        <v>1.264</v>
      </c>
      <c r="Q29" s="273">
        <v>1.1259999999999999</v>
      </c>
      <c r="R29" s="274">
        <v>0.872</v>
      </c>
      <c r="S29" s="273">
        <v>0.37</v>
      </c>
      <c r="T29" s="273">
        <v>0.32700000000000001</v>
      </c>
      <c r="U29" s="273">
        <v>0.28899999999999998</v>
      </c>
      <c r="V29" s="273">
        <v>0.27700000000000002</v>
      </c>
      <c r="W29" s="273">
        <v>0.27700000000000002</v>
      </c>
      <c r="X29" s="273">
        <v>0.20200000000000001</v>
      </c>
      <c r="Y29" s="273">
        <v>0.13</v>
      </c>
      <c r="Z29" s="273">
        <v>0.161</v>
      </c>
      <c r="AA29" s="273">
        <v>0.13100000000000001</v>
      </c>
      <c r="AB29" s="273">
        <v>9.0999999999999998E-2</v>
      </c>
      <c r="AC29" s="334">
        <v>0.11</v>
      </c>
      <c r="AD29" s="340">
        <f t="shared" si="6"/>
        <v>20.87912087912089</v>
      </c>
      <c r="AE29" s="271" t="s">
        <v>14</v>
      </c>
    </row>
    <row r="30" spans="1:31" ht="12.75" customHeight="1" x14ac:dyDescent="0.2">
      <c r="A30" s="15"/>
      <c r="B30" s="58" t="s">
        <v>31</v>
      </c>
      <c r="C30" s="212" t="s">
        <v>36</v>
      </c>
      <c r="D30" s="212" t="s">
        <v>36</v>
      </c>
      <c r="E30" s="212" t="s">
        <v>36</v>
      </c>
      <c r="F30" s="213" t="s">
        <v>36</v>
      </c>
      <c r="G30" s="213" t="s">
        <v>36</v>
      </c>
      <c r="H30" s="213" t="s">
        <v>36</v>
      </c>
      <c r="I30" s="213" t="s">
        <v>36</v>
      </c>
      <c r="J30" s="213" t="s">
        <v>36</v>
      </c>
      <c r="K30" s="213" t="s">
        <v>36</v>
      </c>
      <c r="L30" s="213" t="s">
        <v>36</v>
      </c>
      <c r="M30" s="213" t="s">
        <v>36</v>
      </c>
      <c r="N30" s="213" t="s">
        <v>36</v>
      </c>
      <c r="O30" s="213" t="s">
        <v>36</v>
      </c>
      <c r="P30" s="213" t="s">
        <v>36</v>
      </c>
      <c r="Q30" s="213" t="s">
        <v>36</v>
      </c>
      <c r="R30" s="213" t="s">
        <v>36</v>
      </c>
      <c r="S30" s="213" t="s">
        <v>36</v>
      </c>
      <c r="T30" s="213" t="s">
        <v>36</v>
      </c>
      <c r="U30" s="213" t="s">
        <v>36</v>
      </c>
      <c r="V30" s="213" t="s">
        <v>36</v>
      </c>
      <c r="W30" s="213" t="s">
        <v>36</v>
      </c>
      <c r="X30" s="213" t="s">
        <v>36</v>
      </c>
      <c r="Y30" s="213" t="s">
        <v>36</v>
      </c>
      <c r="Z30" s="213" t="s">
        <v>36</v>
      </c>
      <c r="AA30" s="213" t="s">
        <v>36</v>
      </c>
      <c r="AB30" s="213" t="s">
        <v>36</v>
      </c>
      <c r="AC30" s="252" t="s">
        <v>36</v>
      </c>
      <c r="AD30" s="247" t="s">
        <v>36</v>
      </c>
      <c r="AE30" s="58" t="s">
        <v>31</v>
      </c>
    </row>
    <row r="31" spans="1:31" ht="12.75" customHeight="1" x14ac:dyDescent="0.2">
      <c r="A31" s="15"/>
      <c r="B31" s="271" t="s">
        <v>15</v>
      </c>
      <c r="C31" s="272">
        <v>1.35</v>
      </c>
      <c r="D31" s="272">
        <v>2.35</v>
      </c>
      <c r="E31" s="273">
        <v>2.09</v>
      </c>
      <c r="F31" s="273">
        <v>2.0299999999999998</v>
      </c>
      <c r="G31" s="273">
        <v>1.89</v>
      </c>
      <c r="H31" s="273">
        <v>1.59</v>
      </c>
      <c r="I31" s="273">
        <v>1.9</v>
      </c>
      <c r="J31" s="273">
        <v>3.11</v>
      </c>
      <c r="K31" s="273">
        <v>3.77</v>
      </c>
      <c r="L31" s="273">
        <v>4.33</v>
      </c>
      <c r="M31" s="273">
        <v>4.2030000000000003</v>
      </c>
      <c r="N31" s="273">
        <v>2.802</v>
      </c>
      <c r="O31" s="274">
        <v>2.6339999999999999</v>
      </c>
      <c r="P31" s="273">
        <v>2.746</v>
      </c>
      <c r="Q31" s="273">
        <v>3.641</v>
      </c>
      <c r="R31" s="274">
        <v>3.5209999999999999</v>
      </c>
      <c r="S31" s="273">
        <v>6.9550000000000001</v>
      </c>
      <c r="T31" s="273">
        <v>8.4350000000000005</v>
      </c>
      <c r="U31" s="273">
        <v>8.157</v>
      </c>
      <c r="V31" s="273">
        <v>8.1950000000000003</v>
      </c>
      <c r="W31" s="274">
        <v>8.6869999999999994</v>
      </c>
      <c r="X31" s="273">
        <v>11.765000000000001</v>
      </c>
      <c r="Y31" s="273">
        <v>14.317</v>
      </c>
      <c r="Z31" s="273">
        <v>11.409000000000001</v>
      </c>
      <c r="AA31" s="273">
        <v>12.52</v>
      </c>
      <c r="AB31" s="273">
        <v>12.242000000000001</v>
      </c>
      <c r="AC31" s="334">
        <v>11.76</v>
      </c>
      <c r="AD31" s="341">
        <f t="shared" si="6"/>
        <v>-3.9372651527528291</v>
      </c>
      <c r="AE31" s="271" t="s">
        <v>15</v>
      </c>
    </row>
    <row r="32" spans="1:31" ht="12.75" customHeight="1" x14ac:dyDescent="0.2">
      <c r="A32" s="15"/>
      <c r="B32" s="58" t="s">
        <v>17</v>
      </c>
      <c r="C32" s="212" t="s">
        <v>36</v>
      </c>
      <c r="D32" s="212" t="s">
        <v>36</v>
      </c>
      <c r="E32" s="212" t="s">
        <v>36</v>
      </c>
      <c r="F32" s="213" t="s">
        <v>36</v>
      </c>
      <c r="G32" s="213" t="s">
        <v>36</v>
      </c>
      <c r="H32" s="213" t="s">
        <v>36</v>
      </c>
      <c r="I32" s="213" t="s">
        <v>36</v>
      </c>
      <c r="J32" s="213" t="s">
        <v>36</v>
      </c>
      <c r="K32" s="213" t="s">
        <v>36</v>
      </c>
      <c r="L32" s="213" t="s">
        <v>36</v>
      </c>
      <c r="M32" s="213" t="s">
        <v>36</v>
      </c>
      <c r="N32" s="213" t="s">
        <v>36</v>
      </c>
      <c r="O32" s="213" t="s">
        <v>36</v>
      </c>
      <c r="P32" s="213" t="s">
        <v>36</v>
      </c>
      <c r="Q32" s="213" t="s">
        <v>36</v>
      </c>
      <c r="R32" s="213" t="s">
        <v>36</v>
      </c>
      <c r="S32" s="213" t="s">
        <v>36</v>
      </c>
      <c r="T32" s="213" t="s">
        <v>36</v>
      </c>
      <c r="U32" s="213" t="s">
        <v>36</v>
      </c>
      <c r="V32" s="213" t="s">
        <v>36</v>
      </c>
      <c r="W32" s="213" t="s">
        <v>36</v>
      </c>
      <c r="X32" s="213" t="s">
        <v>36</v>
      </c>
      <c r="Y32" s="213" t="s">
        <v>36</v>
      </c>
      <c r="Z32" s="213" t="s">
        <v>36</v>
      </c>
      <c r="AA32" s="213" t="s">
        <v>36</v>
      </c>
      <c r="AB32" s="213" t="s">
        <v>36</v>
      </c>
      <c r="AC32" s="252" t="s">
        <v>36</v>
      </c>
      <c r="AD32" s="247" t="s">
        <v>36</v>
      </c>
      <c r="AE32" s="58" t="s">
        <v>17</v>
      </c>
    </row>
    <row r="33" spans="1:31" ht="12.75" customHeight="1" x14ac:dyDescent="0.2">
      <c r="A33" s="15"/>
      <c r="B33" s="271" t="s">
        <v>16</v>
      </c>
      <c r="C33" s="272"/>
      <c r="D33" s="272"/>
      <c r="E33" s="273"/>
      <c r="F33" s="273"/>
      <c r="G33" s="273"/>
      <c r="H33" s="273"/>
      <c r="I33" s="273">
        <v>0.84609999999999996</v>
      </c>
      <c r="J33" s="273">
        <v>1.4681999999999999</v>
      </c>
      <c r="K33" s="273">
        <v>1.5979000000000001</v>
      </c>
      <c r="L33" s="273">
        <v>1.5193000000000001</v>
      </c>
      <c r="M33" s="273">
        <v>1.5268999999999999</v>
      </c>
      <c r="N33" s="273">
        <v>1.6626000000000001</v>
      </c>
      <c r="O33" s="273">
        <v>1.3793</v>
      </c>
      <c r="P33" s="273">
        <v>0.99519999999999997</v>
      </c>
      <c r="Q33" s="273">
        <v>0.59970000000000001</v>
      </c>
      <c r="R33" s="273">
        <v>0.52249999999999996</v>
      </c>
      <c r="S33" s="273">
        <v>0.74099999999999999</v>
      </c>
      <c r="T33" s="273">
        <v>0.74029999999999996</v>
      </c>
      <c r="U33" s="273">
        <v>0.64880000000000004</v>
      </c>
      <c r="V33" s="273">
        <v>1.004</v>
      </c>
      <c r="W33" s="273">
        <v>1.101</v>
      </c>
      <c r="X33" s="273">
        <v>0.89900000000000002</v>
      </c>
      <c r="Y33" s="273">
        <v>1.1890000000000001</v>
      </c>
      <c r="Z33" s="273">
        <v>0.93100000000000005</v>
      </c>
      <c r="AA33" s="273">
        <v>0.98599999999999999</v>
      </c>
      <c r="AB33" s="273">
        <v>1.006</v>
      </c>
      <c r="AC33" s="334">
        <v>0.90500000000000003</v>
      </c>
      <c r="AD33" s="340">
        <f t="shared" si="6"/>
        <v>-10.039761431411534</v>
      </c>
      <c r="AE33" s="271" t="s">
        <v>16</v>
      </c>
    </row>
    <row r="34" spans="1:31" ht="12.75" customHeight="1" x14ac:dyDescent="0.2">
      <c r="A34" s="15"/>
      <c r="B34" s="91" t="s">
        <v>32</v>
      </c>
      <c r="C34" s="209">
        <v>2</v>
      </c>
      <c r="D34" s="209">
        <v>1.8</v>
      </c>
      <c r="E34" s="209">
        <v>1.1000000000000001</v>
      </c>
      <c r="F34" s="210">
        <v>0.8</v>
      </c>
      <c r="G34" s="210">
        <v>0.5</v>
      </c>
      <c r="H34" s="210">
        <v>0.4</v>
      </c>
      <c r="I34" s="275">
        <v>0.3</v>
      </c>
      <c r="J34" s="210">
        <v>7.6999999999999999E-2</v>
      </c>
      <c r="K34" s="210">
        <v>0.1</v>
      </c>
      <c r="L34" s="210">
        <v>0.1</v>
      </c>
      <c r="M34" s="210">
        <v>0.11799999999999999</v>
      </c>
      <c r="N34" s="210">
        <v>0.11799999999999999</v>
      </c>
      <c r="O34" s="210">
        <v>0.11799999999999999</v>
      </c>
      <c r="P34" s="210">
        <v>0.10100000000000001</v>
      </c>
      <c r="Q34" s="210">
        <v>0.112</v>
      </c>
      <c r="R34" s="210">
        <v>0.109</v>
      </c>
      <c r="S34" s="210">
        <v>0.11799999999999999</v>
      </c>
      <c r="T34" s="210">
        <v>7.4999999999999997E-2</v>
      </c>
      <c r="U34" s="210">
        <v>6.6000000000000003E-2</v>
      </c>
      <c r="V34" s="210">
        <v>0.10199999999999999</v>
      </c>
      <c r="W34" s="210">
        <v>0.08</v>
      </c>
      <c r="X34" s="210">
        <v>6.0999999999999999E-2</v>
      </c>
      <c r="Y34" s="210">
        <v>7.5999999999999998E-2</v>
      </c>
      <c r="Z34" s="210">
        <v>0.09</v>
      </c>
      <c r="AA34" s="210">
        <v>0.124</v>
      </c>
      <c r="AB34" s="210">
        <v>0.121</v>
      </c>
      <c r="AC34" s="264">
        <v>0.13600000000000001</v>
      </c>
      <c r="AD34" s="153">
        <f t="shared" si="6"/>
        <v>12.396694214876035</v>
      </c>
      <c r="AE34" s="91" t="s">
        <v>32</v>
      </c>
    </row>
    <row r="35" spans="1:31" ht="12.75" customHeight="1" x14ac:dyDescent="0.2">
      <c r="A35" s="15"/>
      <c r="B35" s="271" t="s">
        <v>33</v>
      </c>
      <c r="C35" s="272" t="s">
        <v>36</v>
      </c>
      <c r="D35" s="272" t="s">
        <v>36</v>
      </c>
      <c r="E35" s="273" t="s">
        <v>36</v>
      </c>
      <c r="F35" s="273" t="s">
        <v>36</v>
      </c>
      <c r="G35" s="273" t="s">
        <v>36</v>
      </c>
      <c r="H35" s="273" t="s">
        <v>36</v>
      </c>
      <c r="I35" s="273" t="s">
        <v>36</v>
      </c>
      <c r="J35" s="273" t="s">
        <v>36</v>
      </c>
      <c r="K35" s="273" t="s">
        <v>36</v>
      </c>
      <c r="L35" s="273" t="s">
        <v>36</v>
      </c>
      <c r="M35" s="273" t="s">
        <v>36</v>
      </c>
      <c r="N35" s="273" t="s">
        <v>36</v>
      </c>
      <c r="O35" s="273" t="s">
        <v>36</v>
      </c>
      <c r="P35" s="273" t="s">
        <v>36</v>
      </c>
      <c r="Q35" s="273" t="s">
        <v>36</v>
      </c>
      <c r="R35" s="273" t="s">
        <v>36</v>
      </c>
      <c r="S35" s="273" t="s">
        <v>36</v>
      </c>
      <c r="T35" s="273" t="s">
        <v>36</v>
      </c>
      <c r="U35" s="273" t="s">
        <v>36</v>
      </c>
      <c r="V35" s="273" t="s">
        <v>36</v>
      </c>
      <c r="W35" s="273" t="s">
        <v>36</v>
      </c>
      <c r="X35" s="273" t="s">
        <v>36</v>
      </c>
      <c r="Y35" s="273" t="s">
        <v>36</v>
      </c>
      <c r="Z35" s="273" t="s">
        <v>36</v>
      </c>
      <c r="AA35" s="277" t="s">
        <v>36</v>
      </c>
      <c r="AB35" s="277" t="s">
        <v>36</v>
      </c>
      <c r="AC35" s="335" t="s">
        <v>36</v>
      </c>
      <c r="AD35" s="340" t="s">
        <v>36</v>
      </c>
      <c r="AE35" s="271" t="s">
        <v>33</v>
      </c>
    </row>
    <row r="36" spans="1:31" ht="12.75" customHeight="1" x14ac:dyDescent="0.2">
      <c r="A36" s="15"/>
      <c r="B36" s="279" t="s">
        <v>22</v>
      </c>
      <c r="C36" s="280">
        <v>0.3</v>
      </c>
      <c r="D36" s="280">
        <v>0.4</v>
      </c>
      <c r="E36" s="281">
        <v>0.3</v>
      </c>
      <c r="F36" s="281">
        <v>0.2</v>
      </c>
      <c r="G36" s="281">
        <v>0.19</v>
      </c>
      <c r="H36" s="281">
        <v>0.2</v>
      </c>
      <c r="I36" s="281">
        <v>0.2</v>
      </c>
      <c r="J36" s="281">
        <v>0.2</v>
      </c>
      <c r="K36" s="281">
        <v>0.18</v>
      </c>
      <c r="L36" s="281">
        <v>0.15</v>
      </c>
      <c r="M36" s="281">
        <v>0.15</v>
      </c>
      <c r="N36" s="281">
        <v>0.16</v>
      </c>
      <c r="O36" s="281">
        <v>0.21</v>
      </c>
      <c r="P36" s="281">
        <v>0.19</v>
      </c>
      <c r="Q36" s="281">
        <v>0.18</v>
      </c>
      <c r="R36" s="281">
        <v>0.18</v>
      </c>
      <c r="S36" s="281">
        <v>0.15</v>
      </c>
      <c r="T36" s="281">
        <v>0.17</v>
      </c>
      <c r="U36" s="336">
        <v>0.16</v>
      </c>
      <c r="V36" s="281">
        <v>0.16200000000000001</v>
      </c>
      <c r="W36" s="281">
        <v>0.16400000000000001</v>
      </c>
      <c r="X36" s="281">
        <v>0.13300000000000001</v>
      </c>
      <c r="Y36" s="283">
        <v>0.156</v>
      </c>
      <c r="Z36" s="283">
        <v>0.14399999999999999</v>
      </c>
      <c r="AA36" s="283">
        <v>0.16500000000000001</v>
      </c>
      <c r="AB36" s="283">
        <v>0.21099999999999999</v>
      </c>
      <c r="AC36" s="408">
        <v>0.16900000000000001</v>
      </c>
      <c r="AD36" s="342">
        <f t="shared" si="6"/>
        <v>-19.90521327014217</v>
      </c>
      <c r="AE36" s="279" t="s">
        <v>22</v>
      </c>
    </row>
    <row r="37" spans="1:31" ht="12.75" customHeight="1" x14ac:dyDescent="0.2">
      <c r="A37" s="15"/>
      <c r="B37" s="297" t="s">
        <v>123</v>
      </c>
      <c r="C37" s="338" t="s">
        <v>36</v>
      </c>
      <c r="D37" s="338" t="s">
        <v>36</v>
      </c>
      <c r="E37" s="301" t="s">
        <v>36</v>
      </c>
      <c r="F37" s="301" t="s">
        <v>36</v>
      </c>
      <c r="G37" s="301" t="s">
        <v>36</v>
      </c>
      <c r="H37" s="301" t="s">
        <v>36</v>
      </c>
      <c r="I37" s="301" t="s">
        <v>36</v>
      </c>
      <c r="J37" s="301" t="s">
        <v>36</v>
      </c>
      <c r="K37" s="301" t="s">
        <v>36</v>
      </c>
      <c r="L37" s="301" t="s">
        <v>36</v>
      </c>
      <c r="M37" s="301" t="s">
        <v>36</v>
      </c>
      <c r="N37" s="301" t="s">
        <v>36</v>
      </c>
      <c r="O37" s="301" t="s">
        <v>36</v>
      </c>
      <c r="P37" s="301" t="s">
        <v>36</v>
      </c>
      <c r="Q37" s="301" t="s">
        <v>36</v>
      </c>
      <c r="R37" s="301" t="s">
        <v>36</v>
      </c>
      <c r="S37" s="301" t="s">
        <v>36</v>
      </c>
      <c r="T37" s="301" t="s">
        <v>36</v>
      </c>
      <c r="U37" s="301" t="s">
        <v>36</v>
      </c>
      <c r="V37" s="301" t="s">
        <v>36</v>
      </c>
      <c r="W37" s="301" t="s">
        <v>36</v>
      </c>
      <c r="X37" s="301" t="s">
        <v>36</v>
      </c>
      <c r="Y37" s="301" t="s">
        <v>36</v>
      </c>
      <c r="Z37" s="301" t="s">
        <v>36</v>
      </c>
      <c r="AA37" s="301" t="s">
        <v>36</v>
      </c>
      <c r="AB37" s="301" t="s">
        <v>36</v>
      </c>
      <c r="AC37" s="301" t="s">
        <v>36</v>
      </c>
      <c r="AD37" s="354" t="s">
        <v>36</v>
      </c>
      <c r="AE37" s="297" t="s">
        <v>123</v>
      </c>
    </row>
    <row r="38" spans="1:31" ht="12.75" customHeight="1" x14ac:dyDescent="0.2">
      <c r="A38" s="15"/>
      <c r="B38" s="17" t="s">
        <v>113</v>
      </c>
      <c r="C38" s="337" t="s">
        <v>36</v>
      </c>
      <c r="D38" s="337" t="s">
        <v>36</v>
      </c>
      <c r="E38" s="208" t="s">
        <v>36</v>
      </c>
      <c r="F38" s="208" t="s">
        <v>36</v>
      </c>
      <c r="G38" s="208" t="s">
        <v>36</v>
      </c>
      <c r="H38" s="208" t="s">
        <v>36</v>
      </c>
      <c r="I38" s="208" t="s">
        <v>36</v>
      </c>
      <c r="J38" s="208" t="s">
        <v>36</v>
      </c>
      <c r="K38" s="59"/>
      <c r="L38" s="59"/>
      <c r="M38" s="59"/>
      <c r="N38" s="59"/>
      <c r="O38" s="208" t="s">
        <v>36</v>
      </c>
      <c r="P38" s="208" t="s">
        <v>36</v>
      </c>
      <c r="Q38" s="208" t="s">
        <v>36</v>
      </c>
      <c r="R38" s="208" t="s">
        <v>36</v>
      </c>
      <c r="S38" s="208" t="s">
        <v>36</v>
      </c>
      <c r="T38" s="208" t="s">
        <v>36</v>
      </c>
      <c r="U38" s="208" t="s">
        <v>36</v>
      </c>
      <c r="V38" s="208" t="s">
        <v>36</v>
      </c>
      <c r="W38" s="208" t="s">
        <v>36</v>
      </c>
      <c r="X38" s="208" t="s">
        <v>36</v>
      </c>
      <c r="Y38" s="208" t="s">
        <v>36</v>
      </c>
      <c r="Z38" s="208" t="s">
        <v>36</v>
      </c>
      <c r="AA38" s="208" t="s">
        <v>36</v>
      </c>
      <c r="AB38" s="208" t="s">
        <v>36</v>
      </c>
      <c r="AC38" s="208" t="s">
        <v>36</v>
      </c>
      <c r="AD38" s="151" t="s">
        <v>36</v>
      </c>
      <c r="AE38" s="17" t="s">
        <v>113</v>
      </c>
    </row>
    <row r="39" spans="1:31" ht="12.75" customHeight="1" x14ac:dyDescent="0.2">
      <c r="A39" s="15"/>
      <c r="B39" s="91" t="s">
        <v>3</v>
      </c>
      <c r="C39" s="116" t="s">
        <v>36</v>
      </c>
      <c r="D39" s="116" t="s">
        <v>36</v>
      </c>
      <c r="E39" s="205" t="s">
        <v>36</v>
      </c>
      <c r="F39" s="205" t="s">
        <v>36</v>
      </c>
      <c r="G39" s="205" t="s">
        <v>36</v>
      </c>
      <c r="H39" s="205" t="s">
        <v>36</v>
      </c>
      <c r="I39" s="205" t="s">
        <v>36</v>
      </c>
      <c r="J39" s="205" t="s">
        <v>36</v>
      </c>
      <c r="K39" s="205" t="s">
        <v>36</v>
      </c>
      <c r="L39" s="205" t="s">
        <v>36</v>
      </c>
      <c r="M39" s="205" t="s">
        <v>36</v>
      </c>
      <c r="N39" s="205" t="s">
        <v>36</v>
      </c>
      <c r="O39" s="205" t="s">
        <v>36</v>
      </c>
      <c r="P39" s="205" t="s">
        <v>36</v>
      </c>
      <c r="Q39" s="205" t="s">
        <v>36</v>
      </c>
      <c r="R39" s="205" t="s">
        <v>36</v>
      </c>
      <c r="S39" s="205" t="s">
        <v>36</v>
      </c>
      <c r="T39" s="205" t="s">
        <v>36</v>
      </c>
      <c r="U39" s="205" t="s">
        <v>36</v>
      </c>
      <c r="V39" s="205" t="s">
        <v>36</v>
      </c>
      <c r="W39" s="205" t="s">
        <v>36</v>
      </c>
      <c r="X39" s="205" t="s">
        <v>36</v>
      </c>
      <c r="Y39" s="205" t="s">
        <v>36</v>
      </c>
      <c r="Z39" s="205" t="s">
        <v>36</v>
      </c>
      <c r="AA39" s="210" t="s">
        <v>36</v>
      </c>
      <c r="AB39" s="210" t="s">
        <v>36</v>
      </c>
      <c r="AC39" s="210" t="s">
        <v>36</v>
      </c>
      <c r="AD39" s="153" t="s">
        <v>36</v>
      </c>
      <c r="AE39" s="91" t="s">
        <v>3</v>
      </c>
    </row>
    <row r="40" spans="1:31" ht="12.75" customHeight="1" x14ac:dyDescent="0.2">
      <c r="A40" s="15"/>
      <c r="B40" s="17" t="s">
        <v>114</v>
      </c>
      <c r="C40" s="106">
        <v>3.504</v>
      </c>
      <c r="D40" s="106">
        <v>4.22</v>
      </c>
      <c r="E40" s="59">
        <v>3.2320000000000002</v>
      </c>
      <c r="F40" s="59">
        <v>2.9159999999999999</v>
      </c>
      <c r="G40" s="59">
        <v>2.57</v>
      </c>
      <c r="H40" s="59">
        <v>0.28399999999999997</v>
      </c>
      <c r="I40" s="59">
        <v>0.26700000000000002</v>
      </c>
      <c r="J40" s="59">
        <v>0.33600000000000002</v>
      </c>
      <c r="K40" s="59">
        <v>1.3220000000000001</v>
      </c>
      <c r="L40" s="59">
        <v>1.825</v>
      </c>
      <c r="M40" s="59">
        <v>1.5940000000000001</v>
      </c>
      <c r="N40" s="59">
        <v>0.77800000000000002</v>
      </c>
      <c r="O40" s="59">
        <v>0.98</v>
      </c>
      <c r="P40" s="59">
        <v>0.98299999999999998</v>
      </c>
      <c r="Q40" s="59">
        <v>1.0820000000000001</v>
      </c>
      <c r="R40" s="59">
        <v>0.83399999999999996</v>
      </c>
      <c r="S40" s="59">
        <v>1.115</v>
      </c>
      <c r="T40" s="59">
        <v>1.6220000000000001</v>
      </c>
      <c r="U40" s="59">
        <v>1.64</v>
      </c>
      <c r="V40" s="59">
        <v>1.5840000000000001</v>
      </c>
      <c r="W40" s="59">
        <v>1.369</v>
      </c>
      <c r="X40" s="59">
        <v>1.1140000000000001</v>
      </c>
      <c r="Y40" s="59">
        <v>0.875</v>
      </c>
      <c r="Z40" s="59">
        <v>0.96299999999999997</v>
      </c>
      <c r="AA40" s="59">
        <v>0.60499999999999998</v>
      </c>
      <c r="AB40" s="59">
        <v>0.70099999999999996</v>
      </c>
      <c r="AC40" s="59">
        <v>0.75900000000000001</v>
      </c>
      <c r="AD40" s="343">
        <f t="shared" si="6"/>
        <v>8.2738944365192708</v>
      </c>
      <c r="AE40" s="17" t="s">
        <v>114</v>
      </c>
    </row>
    <row r="41" spans="1:31" ht="12.75" customHeight="1" x14ac:dyDescent="0.2">
      <c r="A41" s="15"/>
      <c r="B41" s="94" t="s">
        <v>18</v>
      </c>
      <c r="C41" s="117" t="s">
        <v>36</v>
      </c>
      <c r="D41" s="117" t="s">
        <v>36</v>
      </c>
      <c r="E41" s="219" t="s">
        <v>36</v>
      </c>
      <c r="F41" s="219" t="s">
        <v>36</v>
      </c>
      <c r="G41" s="219" t="s">
        <v>36</v>
      </c>
      <c r="H41" s="219" t="s">
        <v>36</v>
      </c>
      <c r="I41" s="219" t="s">
        <v>36</v>
      </c>
      <c r="J41" s="219" t="s">
        <v>36</v>
      </c>
      <c r="K41" s="219" t="s">
        <v>36</v>
      </c>
      <c r="L41" s="219" t="s">
        <v>36</v>
      </c>
      <c r="M41" s="219" t="s">
        <v>36</v>
      </c>
      <c r="N41" s="219" t="s">
        <v>36</v>
      </c>
      <c r="O41" s="219" t="s">
        <v>36</v>
      </c>
      <c r="P41" s="219" t="s">
        <v>36</v>
      </c>
      <c r="Q41" s="219" t="s">
        <v>36</v>
      </c>
      <c r="R41" s="219" t="s">
        <v>36</v>
      </c>
      <c r="S41" s="219" t="s">
        <v>36</v>
      </c>
      <c r="T41" s="219" t="s">
        <v>36</v>
      </c>
      <c r="U41" s="219" t="s">
        <v>36</v>
      </c>
      <c r="V41" s="219" t="s">
        <v>36</v>
      </c>
      <c r="W41" s="219" t="s">
        <v>36</v>
      </c>
      <c r="X41" s="219" t="s">
        <v>36</v>
      </c>
      <c r="Y41" s="219" t="s">
        <v>36</v>
      </c>
      <c r="Z41" s="219" t="s">
        <v>36</v>
      </c>
      <c r="AA41" s="263" t="s">
        <v>36</v>
      </c>
      <c r="AB41" s="263" t="s">
        <v>36</v>
      </c>
      <c r="AC41" s="263" t="s">
        <v>36</v>
      </c>
      <c r="AD41" s="154" t="s">
        <v>36</v>
      </c>
      <c r="AE41" s="94" t="s">
        <v>18</v>
      </c>
    </row>
    <row r="42" spans="1:31" ht="12.75" customHeight="1" x14ac:dyDescent="0.2">
      <c r="A42" s="15"/>
      <c r="B42" s="17" t="s">
        <v>4</v>
      </c>
      <c r="C42" s="112" t="s">
        <v>36</v>
      </c>
      <c r="D42" s="112" t="s">
        <v>36</v>
      </c>
      <c r="E42" s="220" t="s">
        <v>36</v>
      </c>
      <c r="F42" s="220" t="s">
        <v>36</v>
      </c>
      <c r="G42" s="220" t="s">
        <v>36</v>
      </c>
      <c r="H42" s="220" t="s">
        <v>36</v>
      </c>
      <c r="I42" s="220" t="s">
        <v>36</v>
      </c>
      <c r="J42" s="220" t="s">
        <v>36</v>
      </c>
      <c r="K42" s="220" t="s">
        <v>36</v>
      </c>
      <c r="L42" s="220" t="s">
        <v>36</v>
      </c>
      <c r="M42" s="220" t="s">
        <v>36</v>
      </c>
      <c r="N42" s="220" t="s">
        <v>36</v>
      </c>
      <c r="O42" s="220" t="s">
        <v>36</v>
      </c>
      <c r="P42" s="220" t="s">
        <v>36</v>
      </c>
      <c r="Q42" s="220" t="s">
        <v>36</v>
      </c>
      <c r="R42" s="220" t="s">
        <v>36</v>
      </c>
      <c r="S42" s="220" t="s">
        <v>36</v>
      </c>
      <c r="T42" s="220" t="s">
        <v>36</v>
      </c>
      <c r="U42" s="220" t="s">
        <v>36</v>
      </c>
      <c r="V42" s="220" t="s">
        <v>36</v>
      </c>
      <c r="W42" s="220" t="s">
        <v>36</v>
      </c>
      <c r="X42" s="220" t="s">
        <v>36</v>
      </c>
      <c r="Y42" s="220" t="s">
        <v>36</v>
      </c>
      <c r="Z42" s="220" t="s">
        <v>36</v>
      </c>
      <c r="AA42" s="270" t="s">
        <v>36</v>
      </c>
      <c r="AB42" s="208" t="s">
        <v>36</v>
      </c>
      <c r="AC42" s="208" t="s">
        <v>36</v>
      </c>
      <c r="AD42" s="151" t="s">
        <v>36</v>
      </c>
      <c r="AE42" s="17" t="s">
        <v>4</v>
      </c>
    </row>
    <row r="43" spans="1:31" ht="12.75" customHeight="1" x14ac:dyDescent="0.2">
      <c r="A43" s="15"/>
      <c r="B43" s="91" t="s">
        <v>34</v>
      </c>
      <c r="C43" s="116" t="s">
        <v>36</v>
      </c>
      <c r="D43" s="116" t="s">
        <v>36</v>
      </c>
      <c r="E43" s="205" t="s">
        <v>36</v>
      </c>
      <c r="F43" s="205" t="s">
        <v>36</v>
      </c>
      <c r="G43" s="205" t="s">
        <v>36</v>
      </c>
      <c r="H43" s="205" t="s">
        <v>36</v>
      </c>
      <c r="I43" s="205" t="s">
        <v>36</v>
      </c>
      <c r="J43" s="205" t="s">
        <v>36</v>
      </c>
      <c r="K43" s="205" t="s">
        <v>36</v>
      </c>
      <c r="L43" s="205" t="s">
        <v>36</v>
      </c>
      <c r="M43" s="205" t="s">
        <v>36</v>
      </c>
      <c r="N43" s="205" t="s">
        <v>36</v>
      </c>
      <c r="O43" s="205" t="s">
        <v>36</v>
      </c>
      <c r="P43" s="205" t="s">
        <v>36</v>
      </c>
      <c r="Q43" s="205" t="s">
        <v>36</v>
      </c>
      <c r="R43" s="205" t="s">
        <v>36</v>
      </c>
      <c r="S43" s="205" t="s">
        <v>36</v>
      </c>
      <c r="T43" s="205" t="s">
        <v>36</v>
      </c>
      <c r="U43" s="205" t="s">
        <v>36</v>
      </c>
      <c r="V43" s="205" t="s">
        <v>36</v>
      </c>
      <c r="W43" s="205" t="s">
        <v>36</v>
      </c>
      <c r="X43" s="205" t="s">
        <v>36</v>
      </c>
      <c r="Y43" s="205" t="s">
        <v>36</v>
      </c>
      <c r="Z43" s="205" t="s">
        <v>36</v>
      </c>
      <c r="AA43" s="210" t="s">
        <v>36</v>
      </c>
      <c r="AB43" s="210" t="s">
        <v>36</v>
      </c>
      <c r="AC43" s="210" t="s">
        <v>36</v>
      </c>
      <c r="AD43" s="153" t="s">
        <v>36</v>
      </c>
      <c r="AE43" s="91" t="s">
        <v>34</v>
      </c>
    </row>
    <row r="44" spans="1:31" ht="12.75" customHeight="1" x14ac:dyDescent="0.2">
      <c r="A44" s="15"/>
      <c r="B44" s="18" t="s">
        <v>5</v>
      </c>
      <c r="C44" s="108">
        <v>0.13900000000000001</v>
      </c>
      <c r="D44" s="108">
        <v>0.125</v>
      </c>
      <c r="E44" s="223">
        <v>0.19600000000000001</v>
      </c>
      <c r="F44" s="60">
        <v>0.19</v>
      </c>
      <c r="G44" s="60">
        <v>0.18</v>
      </c>
      <c r="H44" s="60">
        <v>0.17</v>
      </c>
      <c r="I44" s="224">
        <v>0.16</v>
      </c>
      <c r="J44" s="60">
        <v>4.7199999999999999E-2</v>
      </c>
      <c r="K44" s="60">
        <v>4.36E-2</v>
      </c>
      <c r="L44" s="60">
        <v>4.87E-2</v>
      </c>
      <c r="M44" s="60">
        <v>4.9000000000000002E-2</v>
      </c>
      <c r="N44" s="60">
        <v>4.1700000000000001E-2</v>
      </c>
      <c r="O44" s="60">
        <v>5.21E-2</v>
      </c>
      <c r="P44" s="60">
        <v>5.5500000000000001E-2</v>
      </c>
      <c r="Q44" s="60">
        <v>5.21E-2</v>
      </c>
      <c r="R44" s="60">
        <v>4.4400000000000002E-2</v>
      </c>
      <c r="S44" s="60">
        <v>4.5100000000000001E-2</v>
      </c>
      <c r="T44" s="60">
        <v>4.6600000000000003E-2</v>
      </c>
      <c r="U44" s="60">
        <v>4.2000000000000003E-2</v>
      </c>
      <c r="V44" s="60">
        <v>4.53E-2</v>
      </c>
      <c r="W44" s="60">
        <v>4.265E-2</v>
      </c>
      <c r="X44" s="60">
        <v>4.1000000000000002E-2</v>
      </c>
      <c r="Y44" s="60">
        <v>4.0090000000000001E-2</v>
      </c>
      <c r="Z44" s="60">
        <v>3.6400000000000002E-2</v>
      </c>
      <c r="AA44" s="339">
        <v>0.05</v>
      </c>
      <c r="AB44" s="190">
        <f>AVERAGE(Y44:AA44)</f>
        <v>4.216333333333333E-2</v>
      </c>
      <c r="AC44" s="190">
        <f>AVERAGE(Z44:AB44)</f>
        <v>4.2854444444444445E-2</v>
      </c>
      <c r="AD44" s="344">
        <f t="shared" si="6"/>
        <v>1.6391282578333062</v>
      </c>
      <c r="AE44" s="18" t="s">
        <v>5</v>
      </c>
    </row>
    <row r="45" spans="1:31" ht="27.75" customHeight="1" x14ac:dyDescent="0.2">
      <c r="B45" s="501" t="s">
        <v>126</v>
      </c>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row>
    <row r="46" spans="1:31" ht="12.75" customHeight="1" x14ac:dyDescent="0.2">
      <c r="B46" s="500" t="s">
        <v>2</v>
      </c>
      <c r="C46" s="500"/>
      <c r="D46" s="500"/>
      <c r="E46" s="500"/>
      <c r="F46" s="500"/>
      <c r="G46" s="500"/>
      <c r="H46" s="500"/>
      <c r="I46" s="500"/>
      <c r="J46" s="500"/>
      <c r="K46" s="500"/>
      <c r="L46" s="500"/>
      <c r="M46" s="500"/>
      <c r="N46" s="500"/>
      <c r="O46" s="500"/>
      <c r="P46" s="500"/>
      <c r="Q46" s="500"/>
      <c r="R46" s="500"/>
      <c r="S46" s="500"/>
    </row>
    <row r="47" spans="1:31" s="48" customFormat="1" ht="12.75" customHeight="1" x14ac:dyDescent="0.2">
      <c r="A47" s="82"/>
      <c r="B47" s="172" t="s">
        <v>77</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row>
    <row r="48" spans="1:31" x14ac:dyDescent="0.2">
      <c r="B48" s="48" t="s">
        <v>125</v>
      </c>
      <c r="C48"/>
      <c r="D48"/>
      <c r="E48"/>
      <c r="F48"/>
      <c r="G48"/>
      <c r="H48"/>
      <c r="I48"/>
      <c r="J48"/>
      <c r="K48"/>
      <c r="L48"/>
      <c r="M48"/>
      <c r="N48"/>
      <c r="O48"/>
      <c r="P48"/>
    </row>
    <row r="49" spans="2:15" x14ac:dyDescent="0.2">
      <c r="B49" s="11" t="s">
        <v>110</v>
      </c>
      <c r="C49"/>
      <c r="D49"/>
      <c r="E49"/>
      <c r="F49"/>
      <c r="G49"/>
      <c r="H49"/>
      <c r="I49"/>
      <c r="J49"/>
      <c r="K49"/>
      <c r="L49"/>
      <c r="M49"/>
      <c r="N49" s="183">
        <v>2000</v>
      </c>
      <c r="O49"/>
    </row>
    <row r="50" spans="2:15" x14ac:dyDescent="0.2">
      <c r="B50" s="11" t="s">
        <v>111</v>
      </c>
    </row>
    <row r="51" spans="2:15" x14ac:dyDescent="0.2">
      <c r="B51" s="11" t="s">
        <v>105</v>
      </c>
    </row>
  </sheetData>
  <mergeCells count="4">
    <mergeCell ref="B2:AE2"/>
    <mergeCell ref="B46:S46"/>
    <mergeCell ref="B45:AE45"/>
    <mergeCell ref="W3:X3"/>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Q53"/>
  <sheetViews>
    <sheetView topLeftCell="A21" workbookViewId="0">
      <selection activeCell="P55" sqref="P55"/>
    </sheetView>
  </sheetViews>
  <sheetFormatPr defaultRowHeight="11.25" x14ac:dyDescent="0.2"/>
  <cols>
    <col min="1" max="1" width="3.7109375" style="47" customWidth="1"/>
    <col min="2" max="2" width="5.42578125" style="3" customWidth="1"/>
    <col min="3" max="5" width="6.7109375" style="3" customWidth="1"/>
    <col min="6" max="9" width="6.7109375" style="3" hidden="1" customWidth="1"/>
    <col min="10" max="20" width="6.7109375" style="3" customWidth="1"/>
    <col min="21" max="29" width="7.28515625" style="3" customWidth="1"/>
    <col min="30" max="30" width="6.28515625" style="3" customWidth="1"/>
    <col min="31" max="31" width="5.140625" style="3" customWidth="1"/>
    <col min="32" max="32" width="2.85546875" style="3" customWidth="1"/>
    <col min="33" max="16384" width="9.140625" style="3"/>
  </cols>
  <sheetData>
    <row r="1" spans="1:43" ht="14.25" customHeight="1" x14ac:dyDescent="0.2">
      <c r="B1" s="42"/>
      <c r="C1" s="43"/>
      <c r="D1" s="43"/>
      <c r="E1" s="38"/>
      <c r="F1" s="38"/>
      <c r="G1" s="38"/>
      <c r="H1" s="38"/>
      <c r="I1" s="38"/>
      <c r="J1" s="38"/>
      <c r="K1" s="38"/>
      <c r="L1" s="38"/>
      <c r="M1" s="38"/>
      <c r="N1" s="38"/>
      <c r="O1" s="38"/>
      <c r="P1" s="38"/>
      <c r="R1"/>
      <c r="U1" s="39"/>
      <c r="V1" s="39"/>
      <c r="W1" s="39"/>
      <c r="X1" s="39"/>
      <c r="Y1" s="39"/>
      <c r="Z1" s="39"/>
      <c r="AA1" s="39"/>
      <c r="AB1" s="39"/>
      <c r="AC1" s="39"/>
      <c r="AE1" s="39" t="s">
        <v>99</v>
      </c>
    </row>
    <row r="2" spans="1:43" s="48" customFormat="1" ht="30" customHeight="1" x14ac:dyDescent="0.2">
      <c r="A2" s="50"/>
      <c r="B2" s="505" t="s">
        <v>128</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84"/>
    </row>
    <row r="3" spans="1:43" ht="12.75" x14ac:dyDescent="0.2">
      <c r="B3" s="4"/>
      <c r="C3" s="4"/>
      <c r="E3" s="28"/>
      <c r="F3" s="28"/>
      <c r="G3" s="28"/>
      <c r="H3" s="28"/>
      <c r="I3" s="28"/>
      <c r="J3" s="30"/>
      <c r="K3" s="30"/>
      <c r="L3" s="30"/>
      <c r="M3" s="30"/>
      <c r="N3" s="30"/>
      <c r="O3" s="30"/>
      <c r="R3" s="1"/>
      <c r="W3" s="503" t="s">
        <v>112</v>
      </c>
      <c r="X3" s="504"/>
      <c r="Y3" s="21"/>
      <c r="Z3" s="21"/>
      <c r="AA3" s="21"/>
      <c r="AB3" s="21"/>
      <c r="AC3" s="21"/>
      <c r="AD3" s="6"/>
      <c r="AE3" s="46"/>
      <c r="AF3" s="46"/>
    </row>
    <row r="4" spans="1:43" ht="20.100000000000001" customHeight="1" x14ac:dyDescent="0.2">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114" t="s">
        <v>131</v>
      </c>
      <c r="AE4" s="64"/>
      <c r="AF4" s="2"/>
    </row>
    <row r="5" spans="1:43" ht="9.9499999999999993" customHeight="1" x14ac:dyDescent="0.2">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115" t="s">
        <v>73</v>
      </c>
      <c r="AE5" s="64"/>
      <c r="AF5" s="2"/>
    </row>
    <row r="6" spans="1:43" ht="12.75" customHeight="1" x14ac:dyDescent="0.2">
      <c r="B6" s="90" t="s">
        <v>120</v>
      </c>
      <c r="C6" s="166"/>
      <c r="D6" s="166"/>
      <c r="E6" s="267"/>
      <c r="F6" s="267"/>
      <c r="G6" s="267"/>
      <c r="H6" s="267"/>
      <c r="I6" s="267">
        <f t="shared" ref="I6:AB6" si="0">SUM(I9:I36)</f>
        <v>115.47499999999999</v>
      </c>
      <c r="J6" s="267">
        <f t="shared" si="0"/>
        <v>114.91029999999998</v>
      </c>
      <c r="K6" s="267">
        <f t="shared" si="0"/>
        <v>119.3301</v>
      </c>
      <c r="L6" s="267">
        <f t="shared" si="0"/>
        <v>118.90400000000001</v>
      </c>
      <c r="M6" s="267">
        <f t="shared" si="0"/>
        <v>126.33999999999999</v>
      </c>
      <c r="N6" s="267">
        <f t="shared" si="0"/>
        <v>124.85099999999998</v>
      </c>
      <c r="O6" s="267">
        <f t="shared" si="0"/>
        <v>127.10669999999999</v>
      </c>
      <c r="P6" s="267">
        <f t="shared" si="0"/>
        <v>133.93729999999999</v>
      </c>
      <c r="Q6" s="267">
        <f t="shared" si="0"/>
        <v>129.73159999999999</v>
      </c>
      <c r="R6" s="267">
        <f t="shared" si="0"/>
        <v>131.68780000000001</v>
      </c>
      <c r="S6" s="267">
        <f t="shared" si="0"/>
        <v>133.25936060000001</v>
      </c>
      <c r="T6" s="267">
        <f t="shared" si="0"/>
        <v>137.58850379999998</v>
      </c>
      <c r="U6" s="267">
        <f t="shared" si="0"/>
        <v>136.56624979999998</v>
      </c>
      <c r="V6" s="267">
        <f t="shared" si="0"/>
        <v>128.45148842182226</v>
      </c>
      <c r="W6" s="267">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 t="shared" ref="AC6" si="1">SUM(AC9:AC36)</f>
        <v>112.88771480506807</v>
      </c>
      <c r="AD6" s="148">
        <f>AC6/AB6*100-100</f>
        <v>0.59765773896722862</v>
      </c>
      <c r="AE6" s="90" t="s">
        <v>120</v>
      </c>
      <c r="AF6" s="2"/>
    </row>
    <row r="7" spans="1:43" ht="12.75" customHeight="1" x14ac:dyDescent="0.2">
      <c r="A7" s="15"/>
      <c r="B7" s="91" t="s">
        <v>121</v>
      </c>
      <c r="C7" s="168">
        <f t="shared" ref="C7:N7" si="2">C9+C12+C13+C17+C18+C20+C27+C28+C36</f>
        <v>63.736999999999995</v>
      </c>
      <c r="D7" s="168">
        <f t="shared" si="2"/>
        <v>84.957000000000008</v>
      </c>
      <c r="E7" s="268">
        <f t="shared" si="2"/>
        <v>71.706999999999994</v>
      </c>
      <c r="F7" s="268">
        <f t="shared" si="2"/>
        <v>78.926000000000016</v>
      </c>
      <c r="G7" s="268">
        <f t="shared" si="2"/>
        <v>80.742999999999995</v>
      </c>
      <c r="H7" s="268">
        <f t="shared" si="2"/>
        <v>82.192999999999998</v>
      </c>
      <c r="I7" s="268">
        <f t="shared" si="2"/>
        <v>83.134</v>
      </c>
      <c r="J7" s="268">
        <f t="shared" si="2"/>
        <v>80.191999999999993</v>
      </c>
      <c r="K7" s="268">
        <f t="shared" si="2"/>
        <v>82.189000000000007</v>
      </c>
      <c r="L7" s="268">
        <f t="shared" si="2"/>
        <v>82.215000000000003</v>
      </c>
      <c r="M7" s="268">
        <f t="shared" si="2"/>
        <v>85.290999999999997</v>
      </c>
      <c r="N7" s="268">
        <f t="shared" si="2"/>
        <v>84.852000000000004</v>
      </c>
      <c r="O7" s="268">
        <f>O9+O12+O13+O17+O18+O20+O27+O28+O30+O36</f>
        <v>86.155000000000001</v>
      </c>
      <c r="P7" s="268">
        <f>P9+P12+P13+P17+P18+P20+P27+P28+P30+P36</f>
        <v>88.552999999999997</v>
      </c>
      <c r="Q7" s="268">
        <f t="shared" ref="Q7:AB7" si="3">Q9+Q12+Q13+Q16+Q17+Q18+Q20+Q27+Q28+Q30+Q36</f>
        <v>86.701000000000008</v>
      </c>
      <c r="R7" s="268">
        <f t="shared" si="3"/>
        <v>87.138999999999996</v>
      </c>
      <c r="S7" s="268">
        <f t="shared" si="3"/>
        <v>87.578960599999988</v>
      </c>
      <c r="T7" s="268">
        <f t="shared" si="3"/>
        <v>90.102503799999994</v>
      </c>
      <c r="U7" s="268">
        <f t="shared" si="3"/>
        <v>90.109549800000011</v>
      </c>
      <c r="V7" s="93">
        <f t="shared" si="3"/>
        <v>87.154888421822264</v>
      </c>
      <c r="W7" s="93">
        <f t="shared" si="3"/>
        <v>87.03616585313128</v>
      </c>
      <c r="X7" s="93">
        <f t="shared" si="3"/>
        <v>83.287014736961524</v>
      </c>
      <c r="Y7" s="93">
        <f t="shared" si="3"/>
        <v>80.895145603004494</v>
      </c>
      <c r="Z7" s="93">
        <f t="shared" si="3"/>
        <v>79.481418970268024</v>
      </c>
      <c r="AA7" s="93">
        <f t="shared" si="3"/>
        <v>78.23669906969667</v>
      </c>
      <c r="AB7" s="93">
        <f t="shared" si="3"/>
        <v>77.144580975239535</v>
      </c>
      <c r="AC7" s="93">
        <f t="shared" ref="AC7" si="4">AC9+AC12+AC13+AC16+AC17+AC18+AC20+AC27+AC28+AC30+AC36</f>
        <v>75.833214805068081</v>
      </c>
      <c r="AD7" s="149">
        <f t="shared" ref="AD7:AD13" si="5">AC7/AB7*100-100</f>
        <v>-1.6998811239798641</v>
      </c>
      <c r="AE7" s="91" t="s">
        <v>121</v>
      </c>
    </row>
    <row r="8" spans="1:43" ht="12.75" customHeight="1" x14ac:dyDescent="0.2">
      <c r="A8" s="15"/>
      <c r="B8" s="94" t="s">
        <v>122</v>
      </c>
      <c r="C8" s="170"/>
      <c r="D8" s="170"/>
      <c r="E8" s="269"/>
      <c r="F8" s="269"/>
      <c r="G8" s="269"/>
      <c r="H8" s="269"/>
      <c r="I8" s="269">
        <f t="shared" ref="I8:N8" si="6">I6-I7</f>
        <v>32.340999999999994</v>
      </c>
      <c r="J8" s="269">
        <f t="shared" si="6"/>
        <v>34.718299999999985</v>
      </c>
      <c r="K8" s="269">
        <f t="shared" si="6"/>
        <v>37.141099999999994</v>
      </c>
      <c r="L8" s="269">
        <f t="shared" si="6"/>
        <v>36.689000000000007</v>
      </c>
      <c r="M8" s="269">
        <f t="shared" si="6"/>
        <v>41.048999999999992</v>
      </c>
      <c r="N8" s="269">
        <f t="shared" si="6"/>
        <v>39.998999999999981</v>
      </c>
      <c r="O8" s="269">
        <f>O6-O7</f>
        <v>40.951699999999988</v>
      </c>
      <c r="P8" s="269">
        <f t="shared" ref="P8:X8" si="7">P6-P7</f>
        <v>45.384299999999996</v>
      </c>
      <c r="Q8" s="269">
        <f t="shared" si="7"/>
        <v>43.030599999999978</v>
      </c>
      <c r="R8" s="269">
        <f t="shared" si="7"/>
        <v>44.548800000000014</v>
      </c>
      <c r="S8" s="269">
        <f t="shared" si="7"/>
        <v>45.68040000000002</v>
      </c>
      <c r="T8" s="269">
        <f t="shared" si="7"/>
        <v>47.48599999999999</v>
      </c>
      <c r="U8" s="269">
        <f t="shared" si="7"/>
        <v>46.456699999999969</v>
      </c>
      <c r="V8" s="269">
        <f t="shared" si="7"/>
        <v>41.296599999999998</v>
      </c>
      <c r="W8" s="269">
        <f t="shared" si="7"/>
        <v>37.908799999999985</v>
      </c>
      <c r="X8" s="95">
        <f t="shared" si="7"/>
        <v>38.532199999999989</v>
      </c>
      <c r="Y8" s="95">
        <f t="shared" ref="Y8" si="8">Y6-Y7</f>
        <v>40.238299999999981</v>
      </c>
      <c r="Z8" s="95">
        <f>Z6-Z7</f>
        <v>38.888899999999992</v>
      </c>
      <c r="AA8" s="95">
        <f>AA6-AA7</f>
        <v>36.659810000000007</v>
      </c>
      <c r="AB8" s="95">
        <f>AB6-AB7</f>
        <v>35.072459999999992</v>
      </c>
      <c r="AC8" s="95">
        <f>AC6-AC7</f>
        <v>37.05449999999999</v>
      </c>
      <c r="AD8" s="150">
        <f t="shared" si="5"/>
        <v>5.6512716815415871</v>
      </c>
      <c r="AE8" s="94" t="s">
        <v>122</v>
      </c>
      <c r="AG8"/>
      <c r="AH8"/>
      <c r="AI8"/>
      <c r="AJ8"/>
      <c r="AK8"/>
      <c r="AL8"/>
      <c r="AM8"/>
      <c r="AN8"/>
      <c r="AO8"/>
      <c r="AP8"/>
      <c r="AQ8"/>
    </row>
    <row r="9" spans="1:43" ht="12.75" customHeight="1" x14ac:dyDescent="0.2">
      <c r="A9" s="15"/>
      <c r="B9" s="17" t="s">
        <v>23</v>
      </c>
      <c r="C9" s="107">
        <v>0.27</v>
      </c>
      <c r="D9" s="107">
        <v>1.802</v>
      </c>
      <c r="E9" s="215">
        <v>1.024</v>
      </c>
      <c r="F9" s="215">
        <v>1.1299999999999999</v>
      </c>
      <c r="G9" s="215">
        <v>1.1679999999999999</v>
      </c>
      <c r="H9" s="215">
        <v>1.2629999999999999</v>
      </c>
      <c r="I9" s="215">
        <v>1.37</v>
      </c>
      <c r="J9" s="215">
        <v>1.37</v>
      </c>
      <c r="K9" s="215">
        <v>1.45</v>
      </c>
      <c r="L9" s="215">
        <v>1.526</v>
      </c>
      <c r="M9" s="215">
        <v>1.57</v>
      </c>
      <c r="N9" s="215">
        <v>1.577</v>
      </c>
      <c r="O9" s="215">
        <v>1.6240000000000001</v>
      </c>
      <c r="P9" s="215">
        <v>1.544</v>
      </c>
      <c r="Q9" s="215">
        <v>1.5109999999999999</v>
      </c>
      <c r="R9" s="215">
        <v>1.518</v>
      </c>
      <c r="S9" s="215">
        <v>1.5329999999999999</v>
      </c>
      <c r="T9" s="215">
        <v>1.5169999999999999</v>
      </c>
      <c r="U9" s="215">
        <v>1.5720000000000001</v>
      </c>
      <c r="V9" s="222">
        <v>1.4693124218222637</v>
      </c>
      <c r="W9" s="222">
        <v>1.4604484531312809</v>
      </c>
      <c r="X9" s="222">
        <v>1.5250113322259891</v>
      </c>
      <c r="Y9" s="222">
        <v>1.5165343017285184</v>
      </c>
      <c r="Z9" s="222">
        <v>1.3965357700971579</v>
      </c>
      <c r="AA9" s="222">
        <v>1.6315054983427759</v>
      </c>
      <c r="AB9" s="222">
        <v>1.6930081637049001</v>
      </c>
      <c r="AC9" s="222">
        <f>AVERAGE(Z9:AB9)</f>
        <v>1.5736831440482781</v>
      </c>
      <c r="AD9" s="353">
        <f t="shared" si="5"/>
        <v>-7.0481065723567866</v>
      </c>
      <c r="AE9" s="17" t="s">
        <v>23</v>
      </c>
      <c r="AG9"/>
      <c r="AH9"/>
      <c r="AI9"/>
      <c r="AJ9"/>
      <c r="AK9"/>
      <c r="AL9"/>
      <c r="AM9"/>
      <c r="AN9"/>
      <c r="AO9"/>
      <c r="AP9"/>
      <c r="AQ9"/>
    </row>
    <row r="10" spans="1:43" ht="12.75" customHeight="1" x14ac:dyDescent="0.2">
      <c r="A10" s="15"/>
      <c r="B10" s="91" t="s">
        <v>6</v>
      </c>
      <c r="C10" s="116">
        <v>0</v>
      </c>
      <c r="D10" s="116">
        <v>0.75</v>
      </c>
      <c r="E10" s="205">
        <v>0.64</v>
      </c>
      <c r="F10" s="205">
        <v>0.45400000000000001</v>
      </c>
      <c r="G10" s="205">
        <v>0.25900000000000001</v>
      </c>
      <c r="H10" s="205">
        <v>0.3</v>
      </c>
      <c r="I10" s="205">
        <v>0.36</v>
      </c>
      <c r="J10" s="205">
        <v>0.41</v>
      </c>
      <c r="K10" s="205">
        <v>0.36</v>
      </c>
      <c r="L10" s="205">
        <v>0.26</v>
      </c>
      <c r="M10" s="205">
        <v>0.24399999999999999</v>
      </c>
      <c r="N10" s="205">
        <v>0.33</v>
      </c>
      <c r="O10" s="205">
        <v>0.379</v>
      </c>
      <c r="P10" s="205">
        <v>0.33900000000000002</v>
      </c>
      <c r="Q10" s="205">
        <v>0.28599999999999998</v>
      </c>
      <c r="R10" s="205">
        <v>0.28199999999999997</v>
      </c>
      <c r="S10" s="205">
        <v>0.27400000000000002</v>
      </c>
      <c r="T10" s="205">
        <v>0.35199999999999998</v>
      </c>
      <c r="U10" s="205">
        <v>0.35659999999999997</v>
      </c>
      <c r="V10" s="205">
        <v>0.41959999999999997</v>
      </c>
      <c r="W10" s="205">
        <v>0.41980000000000001</v>
      </c>
      <c r="X10" s="205">
        <v>0.4365</v>
      </c>
      <c r="Y10" s="205">
        <v>0.41449999999999998</v>
      </c>
      <c r="Z10" s="205">
        <v>0.48080000000000001</v>
      </c>
      <c r="AA10" s="205">
        <v>0.57289999999999996</v>
      </c>
      <c r="AB10" s="205">
        <v>0.63300000000000001</v>
      </c>
      <c r="AC10" s="205">
        <v>0.58299999999999996</v>
      </c>
      <c r="AD10" s="120">
        <f t="shared" si="5"/>
        <v>-7.8988941548183362</v>
      </c>
      <c r="AE10" s="91" t="s">
        <v>6</v>
      </c>
      <c r="AG10"/>
      <c r="AH10"/>
      <c r="AI10"/>
      <c r="AJ10"/>
      <c r="AK10"/>
      <c r="AL10"/>
      <c r="AM10"/>
      <c r="AN10"/>
      <c r="AO10"/>
      <c r="AP10"/>
      <c r="AQ10"/>
    </row>
    <row r="11" spans="1:43" ht="12.75" customHeight="1" x14ac:dyDescent="0.2">
      <c r="A11" s="15"/>
      <c r="B11" s="17" t="s">
        <v>8</v>
      </c>
      <c r="C11" s="106"/>
      <c r="D11" s="106"/>
      <c r="E11" s="59"/>
      <c r="F11" s="59"/>
      <c r="G11" s="59"/>
      <c r="H11" s="190">
        <v>1.98</v>
      </c>
      <c r="I11" s="59">
        <v>2.1800000000000002</v>
      </c>
      <c r="J11" s="59">
        <v>2.2759999999999998</v>
      </c>
      <c r="K11" s="59">
        <v>2.27</v>
      </c>
      <c r="L11" s="59">
        <v>2.11</v>
      </c>
      <c r="M11" s="59">
        <v>2.0779999999999998</v>
      </c>
      <c r="N11" s="59">
        <v>1.7949999999999999</v>
      </c>
      <c r="O11" s="59">
        <v>1.6120000000000001</v>
      </c>
      <c r="P11" s="59">
        <v>1.661</v>
      </c>
      <c r="Q11" s="59">
        <v>1.7170000000000001</v>
      </c>
      <c r="R11" s="59">
        <v>1.82</v>
      </c>
      <c r="S11" s="59">
        <v>1.9019999999999999</v>
      </c>
      <c r="T11" s="59">
        <v>2.2589999999999999</v>
      </c>
      <c r="U11" s="59">
        <v>2.2909999999999999</v>
      </c>
      <c r="V11" s="59">
        <v>2.0790000000000002</v>
      </c>
      <c r="W11" s="59">
        <v>2.3149999999999999</v>
      </c>
      <c r="X11" s="59">
        <v>2.1560000000000001</v>
      </c>
      <c r="Y11" s="59">
        <v>2.1909999999999998</v>
      </c>
      <c r="Z11" s="59">
        <v>1.9537</v>
      </c>
      <c r="AA11" s="59">
        <v>1.907</v>
      </c>
      <c r="AB11" s="59">
        <v>1.9330000000000001</v>
      </c>
      <c r="AC11" s="59">
        <v>2.0630000000000002</v>
      </c>
      <c r="AD11" s="152">
        <f t="shared" si="5"/>
        <v>6.7252974650801889</v>
      </c>
      <c r="AE11" s="17" t="s">
        <v>8</v>
      </c>
      <c r="AG11"/>
      <c r="AH11"/>
      <c r="AI11"/>
      <c r="AJ11"/>
      <c r="AK11"/>
      <c r="AL11"/>
      <c r="AM11"/>
      <c r="AN11"/>
      <c r="AO11"/>
      <c r="AP11"/>
      <c r="AQ11"/>
    </row>
    <row r="12" spans="1:43" ht="12.75" customHeight="1" x14ac:dyDescent="0.2">
      <c r="A12" s="15"/>
      <c r="B12" s="91" t="s">
        <v>19</v>
      </c>
      <c r="C12" s="116"/>
      <c r="D12" s="116"/>
      <c r="E12" s="205">
        <v>2.016</v>
      </c>
      <c r="F12" s="205">
        <v>2.3610000000000002</v>
      </c>
      <c r="G12" s="205">
        <v>2.6240000000000001</v>
      </c>
      <c r="H12" s="205">
        <v>2.7970000000000002</v>
      </c>
      <c r="I12" s="205">
        <v>3.0870000000000002</v>
      </c>
      <c r="J12" s="205">
        <v>3.109</v>
      </c>
      <c r="K12" s="205">
        <v>3.4609999999999999</v>
      </c>
      <c r="L12" s="205">
        <v>3.823</v>
      </c>
      <c r="M12" s="205">
        <v>3.9209999999999998</v>
      </c>
      <c r="N12" s="205">
        <v>4.2709999999999999</v>
      </c>
      <c r="O12" s="205">
        <v>4.6900000000000004</v>
      </c>
      <c r="P12" s="205">
        <v>4.6950000000000003</v>
      </c>
      <c r="Q12" s="205">
        <v>5.1029999999999998</v>
      </c>
      <c r="R12" s="205">
        <v>5.1539999999999999</v>
      </c>
      <c r="S12" s="205">
        <v>5.2539999999999996</v>
      </c>
      <c r="T12" s="205">
        <v>5.125</v>
      </c>
      <c r="U12" s="205">
        <v>4.8719999999999999</v>
      </c>
      <c r="V12" s="205">
        <v>4.6269999999999998</v>
      </c>
      <c r="W12" s="205">
        <v>4.2089999999999996</v>
      </c>
      <c r="X12" s="205">
        <v>3.895</v>
      </c>
      <c r="Y12" s="205">
        <v>3.5470000000000002</v>
      </c>
      <c r="Z12" s="205">
        <v>3.2650000000000001</v>
      </c>
      <c r="AA12" s="210">
        <v>3.0779999999999998</v>
      </c>
      <c r="AB12" s="210">
        <v>2.7389999999999999</v>
      </c>
      <c r="AC12" s="210">
        <v>2.4089999999999998</v>
      </c>
      <c r="AD12" s="153">
        <f t="shared" si="5"/>
        <v>-12.048192771084345</v>
      </c>
      <c r="AE12" s="91" t="s">
        <v>19</v>
      </c>
      <c r="AG12"/>
      <c r="AH12"/>
      <c r="AI12"/>
      <c r="AJ12"/>
      <c r="AK12"/>
      <c r="AL12"/>
      <c r="AM12"/>
      <c r="AN12"/>
      <c r="AO12"/>
      <c r="AP12"/>
      <c r="AQ12"/>
    </row>
    <row r="13" spans="1:43" ht="12.75" customHeight="1" x14ac:dyDescent="0.2">
      <c r="A13" s="15"/>
      <c r="B13" s="17" t="s">
        <v>24</v>
      </c>
      <c r="C13" s="106">
        <v>16.899999999999999</v>
      </c>
      <c r="D13" s="106">
        <v>14.3</v>
      </c>
      <c r="E13" s="59">
        <v>13.3</v>
      </c>
      <c r="F13" s="286">
        <v>15.7</v>
      </c>
      <c r="G13" s="59">
        <v>15.7</v>
      </c>
      <c r="H13" s="59">
        <v>16.100000000000001</v>
      </c>
      <c r="I13" s="203">
        <v>16.8</v>
      </c>
      <c r="J13" s="59">
        <v>14.757</v>
      </c>
      <c r="K13" s="59">
        <v>14.5</v>
      </c>
      <c r="L13" s="59">
        <v>13.151</v>
      </c>
      <c r="M13" s="59">
        <v>14.849</v>
      </c>
      <c r="N13" s="59">
        <v>14.965999999999999</v>
      </c>
      <c r="O13" s="59">
        <v>15.032999999999999</v>
      </c>
      <c r="P13" s="59">
        <v>15.760999999999999</v>
      </c>
      <c r="Q13" s="59">
        <v>15.205</v>
      </c>
      <c r="R13" s="59">
        <v>15.407</v>
      </c>
      <c r="S13" s="59">
        <v>16.236000000000001</v>
      </c>
      <c r="T13" s="59">
        <v>16.741</v>
      </c>
      <c r="U13" s="59">
        <v>15.843999999999999</v>
      </c>
      <c r="V13" s="59">
        <v>15.824</v>
      </c>
      <c r="W13" s="59">
        <v>15.67</v>
      </c>
      <c r="X13" s="59">
        <v>15.95</v>
      </c>
      <c r="Y13" s="59">
        <v>16.259</v>
      </c>
      <c r="Z13" s="59">
        <v>15.622999999999999</v>
      </c>
      <c r="AA13" s="59">
        <v>16.207000000000001</v>
      </c>
      <c r="AB13" s="59">
        <v>18.18</v>
      </c>
      <c r="AC13" s="59">
        <v>17.541</v>
      </c>
      <c r="AD13" s="152">
        <f t="shared" si="5"/>
        <v>-3.5148514851485118</v>
      </c>
      <c r="AE13" s="17" t="s">
        <v>24</v>
      </c>
      <c r="AG13"/>
      <c r="AH13"/>
      <c r="AI13"/>
      <c r="AJ13"/>
      <c r="AK13"/>
      <c r="AL13"/>
      <c r="AM13"/>
      <c r="AN13"/>
      <c r="AO13"/>
      <c r="AP13"/>
      <c r="AQ13"/>
    </row>
    <row r="14" spans="1:43" ht="12.75" customHeight="1" x14ac:dyDescent="0.2">
      <c r="A14" s="15"/>
      <c r="B14" s="91" t="s">
        <v>9</v>
      </c>
      <c r="C14" s="116" t="s">
        <v>36</v>
      </c>
      <c r="D14" s="116" t="s">
        <v>36</v>
      </c>
      <c r="E14" s="205" t="s">
        <v>36</v>
      </c>
      <c r="F14" s="205" t="s">
        <v>36</v>
      </c>
      <c r="G14" s="205" t="s">
        <v>36</v>
      </c>
      <c r="H14" s="205" t="s">
        <v>36</v>
      </c>
      <c r="I14" s="205" t="s">
        <v>36</v>
      </c>
      <c r="J14" s="205" t="s">
        <v>36</v>
      </c>
      <c r="K14" s="205" t="s">
        <v>36</v>
      </c>
      <c r="L14" s="205" t="s">
        <v>36</v>
      </c>
      <c r="M14" s="205" t="s">
        <v>36</v>
      </c>
      <c r="N14" s="205" t="s">
        <v>36</v>
      </c>
      <c r="O14" s="205" t="s">
        <v>36</v>
      </c>
      <c r="P14" s="205" t="s">
        <v>36</v>
      </c>
      <c r="Q14" s="205" t="s">
        <v>36</v>
      </c>
      <c r="R14" s="205" t="s">
        <v>36</v>
      </c>
      <c r="S14" s="205" t="s">
        <v>36</v>
      </c>
      <c r="T14" s="205" t="s">
        <v>36</v>
      </c>
      <c r="U14" s="205" t="s">
        <v>36</v>
      </c>
      <c r="V14" s="205" t="s">
        <v>36</v>
      </c>
      <c r="W14" s="205" t="s">
        <v>36</v>
      </c>
      <c r="X14" s="205" t="s">
        <v>36</v>
      </c>
      <c r="Y14" s="205" t="s">
        <v>36</v>
      </c>
      <c r="Z14" s="205" t="s">
        <v>36</v>
      </c>
      <c r="AA14" s="210" t="s">
        <v>36</v>
      </c>
      <c r="AB14" s="210" t="s">
        <v>36</v>
      </c>
      <c r="AC14" s="210" t="s">
        <v>36</v>
      </c>
      <c r="AD14" s="259" t="s">
        <v>36</v>
      </c>
      <c r="AE14" s="91" t="s">
        <v>9</v>
      </c>
      <c r="AG14"/>
      <c r="AH14"/>
      <c r="AI14"/>
      <c r="AJ14"/>
      <c r="AK14"/>
      <c r="AL14"/>
      <c r="AM14"/>
      <c r="AN14"/>
      <c r="AO14"/>
      <c r="AP14"/>
      <c r="AQ14"/>
    </row>
    <row r="15" spans="1:43" ht="12.75" customHeight="1" x14ac:dyDescent="0.2">
      <c r="A15" s="15"/>
      <c r="B15" s="17" t="s">
        <v>27</v>
      </c>
      <c r="C15" s="107" t="s">
        <v>36</v>
      </c>
      <c r="D15" s="107" t="s">
        <v>36</v>
      </c>
      <c r="E15" s="215" t="s">
        <v>36</v>
      </c>
      <c r="F15" s="215" t="s">
        <v>36</v>
      </c>
      <c r="G15" s="215" t="s">
        <v>36</v>
      </c>
      <c r="H15" s="215" t="s">
        <v>36</v>
      </c>
      <c r="I15" s="215" t="s">
        <v>36</v>
      </c>
      <c r="J15" s="215" t="s">
        <v>36</v>
      </c>
      <c r="K15" s="215" t="s">
        <v>36</v>
      </c>
      <c r="L15" s="215" t="s">
        <v>36</v>
      </c>
      <c r="M15" s="215" t="s">
        <v>36</v>
      </c>
      <c r="N15" s="215" t="s">
        <v>36</v>
      </c>
      <c r="O15" s="215" t="s">
        <v>36</v>
      </c>
      <c r="P15" s="215" t="s">
        <v>36</v>
      </c>
      <c r="Q15" s="215" t="s">
        <v>36</v>
      </c>
      <c r="R15" s="215" t="s">
        <v>36</v>
      </c>
      <c r="S15" s="215" t="s">
        <v>36</v>
      </c>
      <c r="T15" s="215" t="s">
        <v>36</v>
      </c>
      <c r="U15" s="215" t="s">
        <v>36</v>
      </c>
      <c r="V15" s="215" t="s">
        <v>36</v>
      </c>
      <c r="W15" s="215" t="s">
        <v>36</v>
      </c>
      <c r="X15" s="215" t="s">
        <v>36</v>
      </c>
      <c r="Y15" s="215" t="s">
        <v>36</v>
      </c>
      <c r="Z15" s="215" t="s">
        <v>36</v>
      </c>
      <c r="AA15" s="202" t="s">
        <v>36</v>
      </c>
      <c r="AB15" s="202" t="s">
        <v>36</v>
      </c>
      <c r="AC15" s="202" t="s">
        <v>36</v>
      </c>
      <c r="AD15" s="276" t="s">
        <v>36</v>
      </c>
      <c r="AE15" s="17" t="s">
        <v>27</v>
      </c>
      <c r="AG15"/>
      <c r="AH15"/>
      <c r="AI15"/>
      <c r="AJ15"/>
      <c r="AK15"/>
      <c r="AL15"/>
      <c r="AM15"/>
      <c r="AN15"/>
      <c r="AO15"/>
      <c r="AP15"/>
      <c r="AQ15"/>
    </row>
    <row r="16" spans="1:43" ht="12.75" customHeight="1" x14ac:dyDescent="0.2">
      <c r="A16" s="15"/>
      <c r="B16" s="91" t="s">
        <v>20</v>
      </c>
      <c r="C16" s="116" t="s">
        <v>36</v>
      </c>
      <c r="D16" s="116" t="s">
        <v>36</v>
      </c>
      <c r="E16" s="205" t="s">
        <v>36</v>
      </c>
      <c r="F16" s="205" t="s">
        <v>36</v>
      </c>
      <c r="G16" s="205" t="s">
        <v>36</v>
      </c>
      <c r="H16" s="205" t="s">
        <v>36</v>
      </c>
      <c r="I16" s="205" t="s">
        <v>36</v>
      </c>
      <c r="J16" s="205" t="s">
        <v>36</v>
      </c>
      <c r="K16" s="205" t="s">
        <v>36</v>
      </c>
      <c r="L16" s="205" t="s">
        <v>36</v>
      </c>
      <c r="M16" s="205" t="s">
        <v>36</v>
      </c>
      <c r="N16" s="205" t="s">
        <v>36</v>
      </c>
      <c r="O16" s="205" t="s">
        <v>36</v>
      </c>
      <c r="P16" s="205" t="s">
        <v>36</v>
      </c>
      <c r="Q16" s="205">
        <v>0.02</v>
      </c>
      <c r="R16" s="205">
        <v>0.06</v>
      </c>
      <c r="S16" s="285">
        <v>0.19700000000000001</v>
      </c>
      <c r="T16" s="205">
        <v>0.22900000000000001</v>
      </c>
      <c r="U16" s="205">
        <v>0.253</v>
      </c>
      <c r="V16" s="205">
        <v>0.254</v>
      </c>
      <c r="W16" s="210">
        <v>0.254</v>
      </c>
      <c r="X16" s="213">
        <v>0.18513600473552563</v>
      </c>
      <c r="Y16" s="213">
        <v>0.18896090127596751</v>
      </c>
      <c r="Z16" s="213">
        <v>0.24139480017087667</v>
      </c>
      <c r="AA16" s="213">
        <v>0.2116849713538852</v>
      </c>
      <c r="AB16" s="213">
        <v>0.18808712164786121</v>
      </c>
      <c r="AC16" s="213">
        <f>AVERAGE(Z16:AB16)</f>
        <v>0.2137222977242077</v>
      </c>
      <c r="AD16" s="153">
        <f t="shared" ref="AD16:AD20" si="9">AC16/AB16*100-100</f>
        <v>13.629415906709966</v>
      </c>
      <c r="AE16" s="91" t="s">
        <v>20</v>
      </c>
      <c r="AG16"/>
      <c r="AH16"/>
      <c r="AI16"/>
      <c r="AJ16"/>
      <c r="AK16"/>
      <c r="AL16"/>
      <c r="AM16"/>
      <c r="AN16"/>
      <c r="AO16"/>
      <c r="AP16"/>
      <c r="AQ16"/>
    </row>
    <row r="17" spans="1:43" ht="12.75" customHeight="1" x14ac:dyDescent="0.2">
      <c r="A17" s="15"/>
      <c r="B17" s="17" t="s">
        <v>25</v>
      </c>
      <c r="C17" s="107">
        <v>1.0229999999999999</v>
      </c>
      <c r="D17" s="107">
        <v>3.0049999999999999</v>
      </c>
      <c r="E17" s="215">
        <v>4.2149999999999999</v>
      </c>
      <c r="F17" s="215">
        <v>4.78</v>
      </c>
      <c r="G17" s="215">
        <v>5.266</v>
      </c>
      <c r="H17" s="215">
        <v>5.4089999999999998</v>
      </c>
      <c r="I17" s="215">
        <v>5.4790000000000001</v>
      </c>
      <c r="J17" s="215">
        <v>5.8869999999999996</v>
      </c>
      <c r="K17" s="215">
        <v>6.1130000000000004</v>
      </c>
      <c r="L17" s="215">
        <v>6.5339999999999998</v>
      </c>
      <c r="M17" s="215">
        <v>6.8719999999999999</v>
      </c>
      <c r="N17" s="215">
        <v>7.0309999999999997</v>
      </c>
      <c r="O17" s="215">
        <v>7.4660000000000002</v>
      </c>
      <c r="P17" s="215">
        <v>7.7629999999999999</v>
      </c>
      <c r="Q17" s="215">
        <v>7.8029999999999999</v>
      </c>
      <c r="R17" s="215">
        <v>7.319</v>
      </c>
      <c r="S17" s="215">
        <v>8.2789999999999999</v>
      </c>
      <c r="T17" s="215">
        <v>9.2279999999999998</v>
      </c>
      <c r="U17" s="215">
        <v>9.2240000000000002</v>
      </c>
      <c r="V17" s="215">
        <v>8.9359999999999999</v>
      </c>
      <c r="W17" s="215">
        <v>9.141</v>
      </c>
      <c r="X17" s="215">
        <v>8.23</v>
      </c>
      <c r="Y17" s="215">
        <v>8.1820000000000004</v>
      </c>
      <c r="Z17" s="215">
        <v>8.6010000000000009</v>
      </c>
      <c r="AA17" s="202">
        <v>8.9</v>
      </c>
      <c r="AB17" s="202">
        <v>8.6910000000000007</v>
      </c>
      <c r="AC17" s="202">
        <v>8.9670000000000005</v>
      </c>
      <c r="AD17" s="151">
        <f t="shared" si="9"/>
        <v>3.1756989989644353</v>
      </c>
      <c r="AE17" s="17" t="s">
        <v>25</v>
      </c>
      <c r="AG17"/>
      <c r="AH17"/>
      <c r="AI17"/>
      <c r="AJ17"/>
      <c r="AK17"/>
      <c r="AL17"/>
      <c r="AM17"/>
      <c r="AN17"/>
      <c r="AO17"/>
      <c r="AP17"/>
      <c r="AQ17"/>
    </row>
    <row r="18" spans="1:43" ht="12.75" customHeight="1" x14ac:dyDescent="0.2">
      <c r="A18" s="15"/>
      <c r="B18" s="91" t="s">
        <v>26</v>
      </c>
      <c r="C18" s="116">
        <v>28.184000000000001</v>
      </c>
      <c r="D18" s="116">
        <v>34.673999999999999</v>
      </c>
      <c r="E18" s="205">
        <v>19.609000000000002</v>
      </c>
      <c r="F18" s="205">
        <v>22.501000000000001</v>
      </c>
      <c r="G18" s="205">
        <v>23.381</v>
      </c>
      <c r="H18" s="205">
        <v>23.312000000000001</v>
      </c>
      <c r="I18" s="205">
        <v>22.187000000000001</v>
      </c>
      <c r="J18" s="205">
        <v>22.274999999999999</v>
      </c>
      <c r="K18" s="205">
        <v>21.908999999999999</v>
      </c>
      <c r="L18" s="205">
        <v>22.088999999999999</v>
      </c>
      <c r="M18" s="205">
        <v>21.582000000000001</v>
      </c>
      <c r="N18" s="205">
        <v>21.321999999999999</v>
      </c>
      <c r="O18" s="205">
        <v>21.669</v>
      </c>
      <c r="P18" s="205">
        <v>22.14</v>
      </c>
      <c r="Q18" s="205">
        <v>20.954000000000001</v>
      </c>
      <c r="R18" s="205">
        <v>22.146999999999998</v>
      </c>
      <c r="S18" s="205">
        <v>20.559000000000001</v>
      </c>
      <c r="T18" s="205">
        <v>20.856000000000002</v>
      </c>
      <c r="U18" s="205">
        <v>22.2</v>
      </c>
      <c r="V18" s="205">
        <v>21.140999999999998</v>
      </c>
      <c r="W18" s="205">
        <v>20.917999999999999</v>
      </c>
      <c r="X18" s="205">
        <v>19.481000000000002</v>
      </c>
      <c r="Y18" s="205">
        <v>17.606999999999999</v>
      </c>
      <c r="Z18" s="205">
        <v>17.207000000000001</v>
      </c>
      <c r="AA18" s="205">
        <v>15.151</v>
      </c>
      <c r="AB18" s="205">
        <v>11.521000000000001</v>
      </c>
      <c r="AC18" s="205">
        <v>11.115</v>
      </c>
      <c r="AD18" s="153">
        <f t="shared" si="9"/>
        <v>-3.523999652807916</v>
      </c>
      <c r="AE18" s="91" t="s">
        <v>26</v>
      </c>
      <c r="AG18"/>
      <c r="AH18"/>
      <c r="AI18"/>
      <c r="AJ18"/>
      <c r="AK18"/>
      <c r="AL18"/>
      <c r="AM18"/>
      <c r="AN18"/>
      <c r="AO18"/>
      <c r="AP18"/>
      <c r="AQ18"/>
    </row>
    <row r="19" spans="1:43" ht="12.75" customHeight="1" x14ac:dyDescent="0.2">
      <c r="A19" s="15"/>
      <c r="B19" s="271" t="s">
        <v>37</v>
      </c>
      <c r="C19" s="272" t="s">
        <v>35</v>
      </c>
      <c r="D19" s="272" t="s">
        <v>35</v>
      </c>
      <c r="E19" s="273">
        <v>3.6</v>
      </c>
      <c r="F19" s="273" t="s">
        <v>35</v>
      </c>
      <c r="G19" s="273"/>
      <c r="H19" s="273"/>
      <c r="I19" s="273"/>
      <c r="J19" s="273" t="s">
        <v>35</v>
      </c>
      <c r="K19" s="273"/>
      <c r="L19" s="273">
        <v>0.72499999999999998</v>
      </c>
      <c r="M19" s="273">
        <v>0.95099999999999996</v>
      </c>
      <c r="N19" s="273">
        <v>0.623</v>
      </c>
      <c r="O19" s="273">
        <v>0.42799999999999999</v>
      </c>
      <c r="P19" s="273">
        <v>0.89700000000000002</v>
      </c>
      <c r="Q19" s="273">
        <v>1.286</v>
      </c>
      <c r="R19" s="273">
        <v>1.335</v>
      </c>
      <c r="S19" s="273">
        <v>1.5149999999999999</v>
      </c>
      <c r="T19" s="273">
        <v>1.5069999999999999</v>
      </c>
      <c r="U19" s="273">
        <v>1.2549999999999999</v>
      </c>
      <c r="V19" s="273">
        <v>1.4059999999999999</v>
      </c>
      <c r="W19" s="273">
        <v>1.3080000000000001</v>
      </c>
      <c r="X19" s="273">
        <v>1.4450000000000001</v>
      </c>
      <c r="Y19" s="273">
        <v>1.3</v>
      </c>
      <c r="Z19" s="273">
        <v>1.028</v>
      </c>
      <c r="AA19" s="273">
        <v>0.83799999999999997</v>
      </c>
      <c r="AB19" s="273">
        <v>1.127</v>
      </c>
      <c r="AC19" s="273">
        <v>1.1140000000000001</v>
      </c>
      <c r="AD19" s="340">
        <f t="shared" si="9"/>
        <v>-1.1535048802129353</v>
      </c>
      <c r="AE19" s="271" t="s">
        <v>37</v>
      </c>
      <c r="AG19"/>
      <c r="AH19"/>
      <c r="AI19"/>
      <c r="AJ19"/>
      <c r="AK19"/>
      <c r="AL19"/>
      <c r="AM19"/>
      <c r="AN19"/>
      <c r="AO19"/>
      <c r="AP19"/>
      <c r="AQ19"/>
    </row>
    <row r="20" spans="1:43" ht="12.75" customHeight="1" x14ac:dyDescent="0.2">
      <c r="A20" s="15"/>
      <c r="B20" s="91" t="s">
        <v>28</v>
      </c>
      <c r="C20" s="116">
        <v>7</v>
      </c>
      <c r="D20" s="116">
        <v>9</v>
      </c>
      <c r="E20" s="205">
        <v>9.1999999999999993</v>
      </c>
      <c r="F20" s="205">
        <v>9.3000000000000007</v>
      </c>
      <c r="G20" s="205">
        <v>9.4</v>
      </c>
      <c r="H20" s="205">
        <v>9.5</v>
      </c>
      <c r="I20" s="205">
        <v>9.6</v>
      </c>
      <c r="J20" s="205">
        <v>9.65</v>
      </c>
      <c r="K20" s="205">
        <v>10.1</v>
      </c>
      <c r="L20" s="205">
        <v>9.7970000000000006</v>
      </c>
      <c r="M20" s="205">
        <v>10.624000000000001</v>
      </c>
      <c r="N20" s="205">
        <v>10.409000000000001</v>
      </c>
      <c r="O20" s="205">
        <v>10.317</v>
      </c>
      <c r="P20" s="205">
        <v>10.69</v>
      </c>
      <c r="Q20" s="205">
        <v>10.692</v>
      </c>
      <c r="R20" s="205">
        <v>10.656000000000001</v>
      </c>
      <c r="S20" s="205">
        <v>10.699</v>
      </c>
      <c r="T20" s="205">
        <v>11.423</v>
      </c>
      <c r="U20" s="205">
        <v>11.446999999999999</v>
      </c>
      <c r="V20" s="205">
        <v>11.388</v>
      </c>
      <c r="W20" s="205">
        <v>11.266</v>
      </c>
      <c r="X20" s="205">
        <v>10.497</v>
      </c>
      <c r="Y20" s="205">
        <v>10.4</v>
      </c>
      <c r="Z20" s="205">
        <v>9.9540000000000006</v>
      </c>
      <c r="AA20" s="210">
        <v>10.066000000000001</v>
      </c>
      <c r="AB20" s="210">
        <v>10.023999999999999</v>
      </c>
      <c r="AC20" s="210">
        <v>9.5549999999999997</v>
      </c>
      <c r="AD20" s="120">
        <f t="shared" si="9"/>
        <v>-4.678770949720672</v>
      </c>
      <c r="AE20" s="91" t="s">
        <v>28</v>
      </c>
      <c r="AG20"/>
      <c r="AH20"/>
      <c r="AI20"/>
      <c r="AJ20"/>
      <c r="AK20"/>
      <c r="AL20"/>
      <c r="AM20"/>
      <c r="AN20"/>
      <c r="AO20"/>
      <c r="AP20"/>
      <c r="AQ20"/>
    </row>
    <row r="21" spans="1:43" ht="12.75" customHeight="1" x14ac:dyDescent="0.2">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8" t="s">
        <v>36</v>
      </c>
      <c r="AC21" s="239" t="s">
        <v>36</v>
      </c>
      <c r="AD21" s="258" t="s">
        <v>36</v>
      </c>
      <c r="AE21" s="17" t="s">
        <v>7</v>
      </c>
      <c r="AG21"/>
      <c r="AH21"/>
      <c r="AI21"/>
      <c r="AJ21"/>
      <c r="AK21"/>
      <c r="AL21"/>
      <c r="AM21"/>
      <c r="AN21"/>
      <c r="AO21"/>
      <c r="AP21"/>
      <c r="AQ21"/>
    </row>
    <row r="22" spans="1:43" ht="12.75" customHeight="1" x14ac:dyDescent="0.2">
      <c r="A22" s="15"/>
      <c r="B22" s="91" t="s">
        <v>11</v>
      </c>
      <c r="C22" s="204" t="s">
        <v>0</v>
      </c>
      <c r="D22" s="204" t="s">
        <v>0</v>
      </c>
      <c r="E22" s="204" t="s">
        <v>0</v>
      </c>
      <c r="F22" s="205" t="s">
        <v>0</v>
      </c>
      <c r="G22" s="205" t="s">
        <v>0</v>
      </c>
      <c r="H22" s="205" t="s">
        <v>1</v>
      </c>
      <c r="I22" s="205">
        <v>4.5999999999999996</v>
      </c>
      <c r="J22" s="205">
        <v>5.3159999999999998</v>
      </c>
      <c r="K22" s="205">
        <v>6.06</v>
      </c>
      <c r="L22" s="205">
        <v>6.3620000000000001</v>
      </c>
      <c r="M22" s="205">
        <v>6.569</v>
      </c>
      <c r="N22" s="205">
        <v>6.0549999999999997</v>
      </c>
      <c r="O22" s="205">
        <v>6.4669999999999996</v>
      </c>
      <c r="P22" s="205">
        <v>7.524</v>
      </c>
      <c r="Q22" s="205">
        <v>5.0709999999999997</v>
      </c>
      <c r="R22" s="205">
        <v>3.15</v>
      </c>
      <c r="S22" s="205">
        <v>3.2519999999999998</v>
      </c>
      <c r="T22" s="205">
        <v>3.3809999999999998</v>
      </c>
      <c r="U22" s="205">
        <v>3.6280000000000001</v>
      </c>
      <c r="V22" s="205">
        <v>2.7109999999999999</v>
      </c>
      <c r="W22" s="205">
        <v>2.097</v>
      </c>
      <c r="X22" s="205">
        <v>1.573</v>
      </c>
      <c r="Y22" s="205">
        <v>2.35</v>
      </c>
      <c r="Z22" s="205">
        <v>2.4159999999999999</v>
      </c>
      <c r="AA22" s="205">
        <v>2.6309999999999998</v>
      </c>
      <c r="AB22" s="205">
        <v>2.2789999999999999</v>
      </c>
      <c r="AC22" s="206">
        <v>2.3759999999999999</v>
      </c>
      <c r="AD22" s="153">
        <f t="shared" ref="AD22:AD23" si="10">AC22/AB22*100-100</f>
        <v>4.2562527424308882</v>
      </c>
      <c r="AE22" s="91" t="s">
        <v>11</v>
      </c>
      <c r="AG22"/>
      <c r="AH22"/>
      <c r="AI22"/>
      <c r="AJ22"/>
      <c r="AK22"/>
      <c r="AL22"/>
      <c r="AM22"/>
      <c r="AN22"/>
      <c r="AO22"/>
      <c r="AP22"/>
      <c r="AQ22"/>
    </row>
    <row r="23" spans="1:43" ht="12.75" customHeight="1" x14ac:dyDescent="0.2">
      <c r="A23" s="15"/>
      <c r="B23" s="17" t="s">
        <v>12</v>
      </c>
      <c r="C23" s="144" t="s">
        <v>0</v>
      </c>
      <c r="D23" s="144" t="s">
        <v>0</v>
      </c>
      <c r="E23" s="144" t="s">
        <v>0</v>
      </c>
      <c r="F23" s="59" t="s">
        <v>0</v>
      </c>
      <c r="G23" s="59" t="s">
        <v>0</v>
      </c>
      <c r="H23" s="59">
        <v>2</v>
      </c>
      <c r="I23" s="59">
        <v>1.9</v>
      </c>
      <c r="J23" s="59">
        <v>2.0059999999999998</v>
      </c>
      <c r="K23" s="59">
        <v>2.3079999999999998</v>
      </c>
      <c r="L23" s="59">
        <v>2.6560000000000001</v>
      </c>
      <c r="M23" s="59">
        <v>2.964</v>
      </c>
      <c r="N23" s="59">
        <v>2.6269999999999998</v>
      </c>
      <c r="O23" s="59">
        <v>3.4566999999999997</v>
      </c>
      <c r="P23" s="59">
        <v>4.7796000000000003</v>
      </c>
      <c r="Q23" s="59">
        <v>4.8916000000000004</v>
      </c>
      <c r="R23" s="59">
        <v>5.0848000000000004</v>
      </c>
      <c r="S23" s="59">
        <v>4.2873999999999999</v>
      </c>
      <c r="T23" s="59">
        <v>4.4059999999999997</v>
      </c>
      <c r="U23" s="59">
        <v>2.67</v>
      </c>
      <c r="V23" s="59">
        <v>1.032</v>
      </c>
      <c r="W23" s="59">
        <v>0.52700000000000002</v>
      </c>
      <c r="X23" s="59">
        <v>0.4103</v>
      </c>
      <c r="Y23" s="59">
        <v>0.5786</v>
      </c>
      <c r="Z23" s="59">
        <v>0.59139999999999993</v>
      </c>
      <c r="AA23" s="208">
        <v>0.63219999999999998</v>
      </c>
      <c r="AB23" s="208">
        <v>0.56299999999999994</v>
      </c>
      <c r="AC23" s="239">
        <v>0.56699999999999995</v>
      </c>
      <c r="AD23" s="152">
        <f t="shared" si="10"/>
        <v>0.71047957371226289</v>
      </c>
      <c r="AE23" s="17" t="s">
        <v>12</v>
      </c>
      <c r="AG23"/>
      <c r="AH23"/>
      <c r="AI23"/>
      <c r="AJ23"/>
      <c r="AK23"/>
      <c r="AL23"/>
      <c r="AM23"/>
      <c r="AN23"/>
      <c r="AO23"/>
      <c r="AP23"/>
      <c r="AQ23"/>
    </row>
    <row r="24" spans="1:43" ht="12.75" customHeight="1" x14ac:dyDescent="0.2">
      <c r="A24" s="15"/>
      <c r="B24" s="91" t="s">
        <v>29</v>
      </c>
      <c r="C24" s="204" t="s">
        <v>36</v>
      </c>
      <c r="D24" s="204" t="s">
        <v>36</v>
      </c>
      <c r="E24" s="204" t="s">
        <v>36</v>
      </c>
      <c r="F24" s="205" t="s">
        <v>36</v>
      </c>
      <c r="G24" s="205" t="s">
        <v>36</v>
      </c>
      <c r="H24" s="205" t="s">
        <v>36</v>
      </c>
      <c r="I24" s="205" t="s">
        <v>36</v>
      </c>
      <c r="J24" s="205" t="s">
        <v>36</v>
      </c>
      <c r="K24" s="205" t="s">
        <v>36</v>
      </c>
      <c r="L24" s="205" t="s">
        <v>36</v>
      </c>
      <c r="M24" s="205" t="s">
        <v>36</v>
      </c>
      <c r="N24" s="205" t="s">
        <v>36</v>
      </c>
      <c r="O24" s="205" t="s">
        <v>36</v>
      </c>
      <c r="P24" s="205" t="s">
        <v>36</v>
      </c>
      <c r="Q24" s="205" t="s">
        <v>36</v>
      </c>
      <c r="R24" s="205" t="s">
        <v>36</v>
      </c>
      <c r="S24" s="205" t="s">
        <v>36</v>
      </c>
      <c r="T24" s="205" t="s">
        <v>36</v>
      </c>
      <c r="U24" s="205" t="s">
        <v>36</v>
      </c>
      <c r="V24" s="205" t="s">
        <v>36</v>
      </c>
      <c r="W24" s="205" t="s">
        <v>36</v>
      </c>
      <c r="X24" s="205" t="s">
        <v>36</v>
      </c>
      <c r="Y24" s="205" t="s">
        <v>36</v>
      </c>
      <c r="Z24" s="205" t="s">
        <v>36</v>
      </c>
      <c r="AA24" s="205" t="s">
        <v>36</v>
      </c>
      <c r="AB24" s="210" t="s">
        <v>36</v>
      </c>
      <c r="AC24" s="264" t="s">
        <v>36</v>
      </c>
      <c r="AD24" s="259" t="s">
        <v>36</v>
      </c>
      <c r="AE24" s="91" t="s">
        <v>29</v>
      </c>
      <c r="AG24"/>
      <c r="AH24"/>
      <c r="AI24"/>
      <c r="AJ24"/>
      <c r="AK24"/>
      <c r="AL24"/>
      <c r="AM24"/>
      <c r="AN24"/>
      <c r="AO24"/>
      <c r="AP24"/>
      <c r="AQ24"/>
    </row>
    <row r="25" spans="1:43" ht="12.75" customHeight="1" x14ac:dyDescent="0.2">
      <c r="A25" s="15"/>
      <c r="B25" s="17" t="s">
        <v>10</v>
      </c>
      <c r="C25" s="207" t="s">
        <v>35</v>
      </c>
      <c r="D25" s="207" t="s">
        <v>35</v>
      </c>
      <c r="E25" s="207">
        <v>5.2869999999999999</v>
      </c>
      <c r="F25" s="208" t="s">
        <v>35</v>
      </c>
      <c r="G25" s="208" t="s">
        <v>35</v>
      </c>
      <c r="H25" s="208" t="s">
        <v>35</v>
      </c>
      <c r="I25" s="208" t="s">
        <v>35</v>
      </c>
      <c r="J25" s="208">
        <v>2.1812999999999998</v>
      </c>
      <c r="K25" s="208">
        <v>2.3511000000000002</v>
      </c>
      <c r="L25" s="208">
        <v>1.81</v>
      </c>
      <c r="M25" s="208">
        <v>1.9370000000000001</v>
      </c>
      <c r="N25" s="208">
        <v>2.3159999999999998</v>
      </c>
      <c r="O25" s="208">
        <v>2.2629999999999999</v>
      </c>
      <c r="P25" s="208">
        <v>2.5209999999999999</v>
      </c>
      <c r="Q25" s="208">
        <v>2.4449999999999998</v>
      </c>
      <c r="R25" s="208">
        <v>2.4159999999999999</v>
      </c>
      <c r="S25" s="208">
        <v>2.5459999999999998</v>
      </c>
      <c r="T25" s="208">
        <v>2.6829999999999998</v>
      </c>
      <c r="U25" s="208">
        <v>3.0409999999999999</v>
      </c>
      <c r="V25" s="208">
        <v>2.9870000000000001</v>
      </c>
      <c r="W25" s="208">
        <v>2.9746999999999999</v>
      </c>
      <c r="X25" s="208">
        <v>3.0104000000000002</v>
      </c>
      <c r="Y25" s="208">
        <v>3.2136999999999998</v>
      </c>
      <c r="Z25" s="208">
        <v>3.1190000000000002</v>
      </c>
      <c r="AA25" s="208">
        <v>2.7597100000000001</v>
      </c>
      <c r="AB25" s="208">
        <v>2.7024599999999999</v>
      </c>
      <c r="AC25" s="239">
        <v>2.7970000000000002</v>
      </c>
      <c r="AD25" s="152">
        <f>AC25/AB25*100-100</f>
        <v>3.498294146814402</v>
      </c>
      <c r="AE25" s="17" t="s">
        <v>10</v>
      </c>
      <c r="AG25"/>
      <c r="AH25"/>
      <c r="AI25"/>
      <c r="AJ25"/>
      <c r="AK25"/>
      <c r="AL25"/>
      <c r="AM25"/>
      <c r="AN25"/>
      <c r="AO25"/>
      <c r="AP25"/>
      <c r="AQ25"/>
    </row>
    <row r="26" spans="1:43" ht="12.75" customHeight="1" x14ac:dyDescent="0.2">
      <c r="A26" s="15"/>
      <c r="B26" s="58" t="s">
        <v>13</v>
      </c>
      <c r="C26" s="212" t="s">
        <v>36</v>
      </c>
      <c r="D26" s="212" t="s">
        <v>36</v>
      </c>
      <c r="E26" s="212" t="s">
        <v>36</v>
      </c>
      <c r="F26" s="213" t="s">
        <v>36</v>
      </c>
      <c r="G26" s="213" t="s">
        <v>36</v>
      </c>
      <c r="H26" s="213" t="s">
        <v>36</v>
      </c>
      <c r="I26" s="213" t="s">
        <v>36</v>
      </c>
      <c r="J26" s="213" t="s">
        <v>36</v>
      </c>
      <c r="K26" s="213" t="s">
        <v>36</v>
      </c>
      <c r="L26" s="213" t="s">
        <v>36</v>
      </c>
      <c r="M26" s="213" t="s">
        <v>36</v>
      </c>
      <c r="N26" s="213" t="s">
        <v>36</v>
      </c>
      <c r="O26" s="213" t="s">
        <v>36</v>
      </c>
      <c r="P26" s="213" t="s">
        <v>36</v>
      </c>
      <c r="Q26" s="213" t="s">
        <v>36</v>
      </c>
      <c r="R26" s="213" t="s">
        <v>36</v>
      </c>
      <c r="S26" s="213" t="s">
        <v>36</v>
      </c>
      <c r="T26" s="213" t="s">
        <v>36</v>
      </c>
      <c r="U26" s="213" t="s">
        <v>36</v>
      </c>
      <c r="V26" s="213" t="s">
        <v>36</v>
      </c>
      <c r="W26" s="213" t="s">
        <v>36</v>
      </c>
      <c r="X26" s="213" t="s">
        <v>36</v>
      </c>
      <c r="Y26" s="213" t="s">
        <v>36</v>
      </c>
      <c r="Z26" s="213" t="s">
        <v>36</v>
      </c>
      <c r="AA26" s="213" t="s">
        <v>36</v>
      </c>
      <c r="AB26" s="213" t="s">
        <v>36</v>
      </c>
      <c r="AC26" s="252" t="s">
        <v>36</v>
      </c>
      <c r="AD26" s="260" t="s">
        <v>36</v>
      </c>
      <c r="AE26" s="58" t="s">
        <v>13</v>
      </c>
      <c r="AG26"/>
      <c r="AH26"/>
      <c r="AI26"/>
      <c r="AJ26"/>
      <c r="AK26"/>
      <c r="AL26"/>
      <c r="AM26"/>
      <c r="AN26"/>
      <c r="AO26"/>
      <c r="AP26"/>
      <c r="AQ26"/>
    </row>
    <row r="27" spans="1:43" ht="12.75" customHeight="1" x14ac:dyDescent="0.2">
      <c r="A27" s="15"/>
      <c r="B27" s="17" t="s">
        <v>21</v>
      </c>
      <c r="C27" s="144">
        <v>4.0750000000000002</v>
      </c>
      <c r="D27" s="144">
        <v>5.0439999999999996</v>
      </c>
      <c r="E27" s="144">
        <v>4.8730000000000002</v>
      </c>
      <c r="F27" s="59">
        <v>5.43</v>
      </c>
      <c r="G27" s="59">
        <v>5.5030000000000001</v>
      </c>
      <c r="H27" s="59">
        <v>5.4909999999999997</v>
      </c>
      <c r="I27" s="59">
        <v>5.6210000000000004</v>
      </c>
      <c r="J27" s="59">
        <v>5.2779999999999996</v>
      </c>
      <c r="K27" s="59">
        <v>5.96</v>
      </c>
      <c r="L27" s="59">
        <v>6.04</v>
      </c>
      <c r="M27" s="59">
        <v>6.0430000000000001</v>
      </c>
      <c r="N27" s="59">
        <v>6.008</v>
      </c>
      <c r="O27" s="59">
        <v>5.8689999999999998</v>
      </c>
      <c r="P27" s="59">
        <v>5.827</v>
      </c>
      <c r="Q27" s="59">
        <v>6.0170000000000003</v>
      </c>
      <c r="R27" s="59">
        <v>6.1310000000000002</v>
      </c>
      <c r="S27" s="59">
        <v>6.09</v>
      </c>
      <c r="T27" s="59">
        <v>5.9390000000000001</v>
      </c>
      <c r="U27" s="59">
        <v>5.8280000000000003</v>
      </c>
      <c r="V27" s="59">
        <v>5.5830000000000002</v>
      </c>
      <c r="W27" s="59">
        <v>5.9669999999999996</v>
      </c>
      <c r="X27" s="59">
        <v>5.6219999999999999</v>
      </c>
      <c r="Y27" s="59">
        <v>5.6470000000000002</v>
      </c>
      <c r="Z27" s="59">
        <v>5.5019999999999998</v>
      </c>
      <c r="AA27" s="208">
        <v>5.5720000000000001</v>
      </c>
      <c r="AB27" s="208">
        <v>5.4050000000000002</v>
      </c>
      <c r="AC27" s="239">
        <v>5.8369999999999997</v>
      </c>
      <c r="AD27" s="152">
        <f t="shared" ref="AD27:AD31" si="11">AC27/AB27*100-100</f>
        <v>7.9925994449583584</v>
      </c>
      <c r="AE27" s="17" t="s">
        <v>21</v>
      </c>
      <c r="AG27"/>
      <c r="AH27"/>
      <c r="AI27"/>
      <c r="AJ27"/>
      <c r="AK27"/>
      <c r="AL27"/>
      <c r="AM27"/>
      <c r="AN27"/>
      <c r="AO27"/>
      <c r="AP27"/>
      <c r="AQ27"/>
    </row>
    <row r="28" spans="1:43" ht="12.75" customHeight="1" x14ac:dyDescent="0.2">
      <c r="A28" s="15"/>
      <c r="B28" s="91" t="s">
        <v>30</v>
      </c>
      <c r="C28" s="204">
        <v>3.62</v>
      </c>
      <c r="D28" s="204">
        <v>7.0540000000000003</v>
      </c>
      <c r="E28" s="204">
        <v>6.37</v>
      </c>
      <c r="F28" s="205">
        <v>6.6539999999999999</v>
      </c>
      <c r="G28" s="205">
        <v>6.7009999999999996</v>
      </c>
      <c r="H28" s="205">
        <v>6.7210000000000001</v>
      </c>
      <c r="I28" s="205">
        <v>6.99</v>
      </c>
      <c r="J28" s="205">
        <v>6.766</v>
      </c>
      <c r="K28" s="205">
        <v>7.0730000000000004</v>
      </c>
      <c r="L28" s="205">
        <v>8.02</v>
      </c>
      <c r="M28" s="205">
        <v>8.1639999999999997</v>
      </c>
      <c r="N28" s="205">
        <v>7.6310000000000002</v>
      </c>
      <c r="O28" s="213">
        <v>7.5629999999999997</v>
      </c>
      <c r="P28" s="213">
        <v>8.0709999999999997</v>
      </c>
      <c r="Q28" s="213">
        <v>7.9610000000000003</v>
      </c>
      <c r="R28" s="213">
        <v>7.7629999999999999</v>
      </c>
      <c r="S28" s="205">
        <v>7.5709999999999997</v>
      </c>
      <c r="T28" s="205">
        <v>7.78</v>
      </c>
      <c r="U28" s="205">
        <v>7.6390000000000002</v>
      </c>
      <c r="V28" s="205">
        <v>7.226</v>
      </c>
      <c r="W28" s="205">
        <v>7.5209999999999999</v>
      </c>
      <c r="X28" s="205">
        <v>7.3040000000000003</v>
      </c>
      <c r="Y28" s="205">
        <v>7</v>
      </c>
      <c r="Z28" s="205">
        <v>7.2279999999999998</v>
      </c>
      <c r="AA28" s="210">
        <v>7.1459999999999999</v>
      </c>
      <c r="AB28" s="210">
        <v>8.3919999999999995</v>
      </c>
      <c r="AC28" s="264">
        <v>8.2590000000000003</v>
      </c>
      <c r="AD28" s="153">
        <f t="shared" si="11"/>
        <v>-1.5848427073403144</v>
      </c>
      <c r="AE28" s="91" t="s">
        <v>30</v>
      </c>
      <c r="AG28"/>
      <c r="AH28"/>
      <c r="AI28"/>
      <c r="AJ28"/>
      <c r="AK28"/>
      <c r="AL28"/>
      <c r="AM28"/>
      <c r="AN28"/>
      <c r="AO28"/>
      <c r="AP28"/>
      <c r="AQ28"/>
    </row>
    <row r="29" spans="1:43" ht="12.75" customHeight="1" x14ac:dyDescent="0.2">
      <c r="A29" s="15"/>
      <c r="B29" s="271" t="s">
        <v>14</v>
      </c>
      <c r="C29" s="272">
        <v>6.98</v>
      </c>
      <c r="D29" s="272">
        <v>17.12</v>
      </c>
      <c r="E29" s="273">
        <v>13.887</v>
      </c>
      <c r="F29" s="273">
        <v>10.39</v>
      </c>
      <c r="G29" s="273">
        <v>11.93</v>
      </c>
      <c r="H29" s="273">
        <v>12.2</v>
      </c>
      <c r="I29" s="273">
        <v>14.3</v>
      </c>
      <c r="J29" s="273">
        <v>13.493</v>
      </c>
      <c r="K29" s="273">
        <v>15.33</v>
      </c>
      <c r="L29" s="273">
        <v>14.97</v>
      </c>
      <c r="M29" s="273">
        <v>18.448</v>
      </c>
      <c r="N29" s="273">
        <v>19.417000000000002</v>
      </c>
      <c r="O29" s="273">
        <v>20.353999999999999</v>
      </c>
      <c r="P29" s="273">
        <v>21.092700000000001</v>
      </c>
      <c r="Q29" s="273">
        <v>20.853999999999999</v>
      </c>
      <c r="R29" s="273">
        <v>23.870999999999999</v>
      </c>
      <c r="S29" s="273">
        <v>24.806000000000001</v>
      </c>
      <c r="T29" s="273">
        <v>25.388000000000002</v>
      </c>
      <c r="U29" s="273">
        <v>25.588099999999997</v>
      </c>
      <c r="V29" s="273">
        <v>23.513000000000002</v>
      </c>
      <c r="W29" s="273">
        <v>21.247299999999999</v>
      </c>
      <c r="X29" s="273">
        <v>22.908000000000001</v>
      </c>
      <c r="Y29" s="273">
        <v>24.157</v>
      </c>
      <c r="Z29" s="273">
        <v>23.460999999999999</v>
      </c>
      <c r="AA29" s="273">
        <v>22.324999999999999</v>
      </c>
      <c r="AB29" s="273">
        <v>20.111999999999998</v>
      </c>
      <c r="AC29" s="334">
        <v>22.097999999999999</v>
      </c>
      <c r="AD29" s="340">
        <f t="shared" si="11"/>
        <v>9.8747016706443986</v>
      </c>
      <c r="AE29" s="271" t="s">
        <v>14</v>
      </c>
      <c r="AG29"/>
      <c r="AH29"/>
      <c r="AI29"/>
      <c r="AJ29"/>
      <c r="AK29"/>
      <c r="AL29"/>
      <c r="AM29"/>
      <c r="AN29"/>
      <c r="AO29"/>
      <c r="AP29"/>
      <c r="AQ29"/>
    </row>
    <row r="30" spans="1:43" ht="12.75" customHeight="1" x14ac:dyDescent="0.2">
      <c r="A30" s="15"/>
      <c r="B30" s="58" t="s">
        <v>31</v>
      </c>
      <c r="C30" s="212" t="s">
        <v>36</v>
      </c>
      <c r="D30" s="212" t="s">
        <v>36</v>
      </c>
      <c r="E30" s="212"/>
      <c r="F30" s="213" t="s">
        <v>36</v>
      </c>
      <c r="G30" s="213" t="s">
        <v>36</v>
      </c>
      <c r="H30" s="213" t="s">
        <v>36</v>
      </c>
      <c r="I30" s="213" t="s">
        <v>36</v>
      </c>
      <c r="J30" s="213" t="s">
        <v>36</v>
      </c>
      <c r="K30" s="213" t="s">
        <v>36</v>
      </c>
      <c r="L30" s="213" t="s">
        <v>36</v>
      </c>
      <c r="M30" s="213" t="s">
        <v>36</v>
      </c>
      <c r="N30" s="213" t="s">
        <v>36</v>
      </c>
      <c r="O30" s="213">
        <v>0.5</v>
      </c>
      <c r="P30" s="213">
        <v>0.5</v>
      </c>
      <c r="Q30" s="213">
        <v>0.5</v>
      </c>
      <c r="R30" s="213">
        <v>0.5</v>
      </c>
      <c r="S30" s="213">
        <v>0.50396059999999998</v>
      </c>
      <c r="T30" s="213">
        <v>0.48450380000000004</v>
      </c>
      <c r="U30" s="213">
        <v>0.4535498</v>
      </c>
      <c r="V30" s="213">
        <v>0.477576</v>
      </c>
      <c r="W30" s="213">
        <v>0.44971740000000004</v>
      </c>
      <c r="X30" s="213">
        <v>0.41286740000000005</v>
      </c>
      <c r="Y30" s="213">
        <v>0.3826504</v>
      </c>
      <c r="Z30" s="213">
        <v>0.36348840000000004</v>
      </c>
      <c r="AA30" s="213">
        <v>0.35950860000000001</v>
      </c>
      <c r="AB30" s="213">
        <v>0.35007500000000003</v>
      </c>
      <c r="AC30" s="252">
        <f>2.517*0.1474</f>
        <v>0.3710058</v>
      </c>
      <c r="AD30" s="247">
        <f t="shared" si="11"/>
        <v>5.9789473684210463</v>
      </c>
      <c r="AE30" s="58" t="s">
        <v>31</v>
      </c>
      <c r="AG30"/>
      <c r="AH30"/>
      <c r="AI30"/>
      <c r="AJ30"/>
      <c r="AK30"/>
      <c r="AL30"/>
      <c r="AM30"/>
      <c r="AN30"/>
      <c r="AO30"/>
      <c r="AP30"/>
      <c r="AQ30"/>
    </row>
    <row r="31" spans="1:43" ht="12.75" customHeight="1" x14ac:dyDescent="0.2">
      <c r="A31" s="15"/>
      <c r="B31" s="271" t="s">
        <v>15</v>
      </c>
      <c r="C31" s="272">
        <v>1.84</v>
      </c>
      <c r="D31" s="272">
        <v>5.19</v>
      </c>
      <c r="E31" s="273">
        <v>5.0620000000000003</v>
      </c>
      <c r="F31" s="273">
        <v>3.18</v>
      </c>
      <c r="G31" s="273">
        <v>2.5579999999999998</v>
      </c>
      <c r="H31" s="273">
        <v>2.4710000000000001</v>
      </c>
      <c r="I31" s="273">
        <v>2.8010000000000002</v>
      </c>
      <c r="J31" s="273">
        <v>2.9359999999999999</v>
      </c>
      <c r="K31" s="273">
        <v>2.6619999999999999</v>
      </c>
      <c r="L31" s="273">
        <v>2.2959999999999998</v>
      </c>
      <c r="M31" s="273">
        <v>2.258</v>
      </c>
      <c r="N31" s="273">
        <v>1.6359999999999999</v>
      </c>
      <c r="O31" s="273">
        <v>1.3919999999999999</v>
      </c>
      <c r="P31" s="273">
        <v>1.77</v>
      </c>
      <c r="Q31" s="273">
        <v>1.78</v>
      </c>
      <c r="R31" s="273">
        <v>1.59</v>
      </c>
      <c r="S31" s="273">
        <v>1.8979999999999999</v>
      </c>
      <c r="T31" s="273">
        <v>2.21</v>
      </c>
      <c r="U31" s="273">
        <v>2.0270000000000001</v>
      </c>
      <c r="V31" s="273">
        <v>1.849</v>
      </c>
      <c r="W31" s="273">
        <v>1.72</v>
      </c>
      <c r="X31" s="273">
        <v>1.2430000000000001</v>
      </c>
      <c r="Y31" s="273">
        <v>0.996</v>
      </c>
      <c r="Z31" s="277">
        <v>0.879</v>
      </c>
      <c r="AA31" s="277">
        <v>0.78500000000000003</v>
      </c>
      <c r="AB31" s="277">
        <v>0.82899999999999996</v>
      </c>
      <c r="AC31" s="335">
        <v>0.98399999999999999</v>
      </c>
      <c r="AD31" s="341">
        <f t="shared" si="11"/>
        <v>18.697225572979505</v>
      </c>
      <c r="AE31" s="271" t="s">
        <v>15</v>
      </c>
      <c r="AG31"/>
      <c r="AH31"/>
      <c r="AI31"/>
      <c r="AJ31"/>
      <c r="AK31"/>
      <c r="AL31"/>
      <c r="AM31"/>
      <c r="AN31"/>
      <c r="AO31"/>
      <c r="AP31"/>
      <c r="AQ31"/>
    </row>
    <row r="32" spans="1:43" ht="12.75" customHeight="1" x14ac:dyDescent="0.2">
      <c r="A32" s="15"/>
      <c r="B32" s="58" t="s">
        <v>17</v>
      </c>
      <c r="C32" s="212" t="s">
        <v>36</v>
      </c>
      <c r="D32" s="212" t="s">
        <v>36</v>
      </c>
      <c r="E32" s="212" t="s">
        <v>36</v>
      </c>
      <c r="F32" s="213" t="s">
        <v>36</v>
      </c>
      <c r="G32" s="213" t="s">
        <v>36</v>
      </c>
      <c r="H32" s="213" t="s">
        <v>36</v>
      </c>
      <c r="I32" s="213" t="s">
        <v>36</v>
      </c>
      <c r="J32" s="213" t="s">
        <v>36</v>
      </c>
      <c r="K32" s="213" t="s">
        <v>36</v>
      </c>
      <c r="L32" s="213" t="s">
        <v>36</v>
      </c>
      <c r="M32" s="213" t="s">
        <v>36</v>
      </c>
      <c r="N32" s="213" t="s">
        <v>36</v>
      </c>
      <c r="O32" s="213" t="s">
        <v>36</v>
      </c>
      <c r="P32" s="213" t="s">
        <v>36</v>
      </c>
      <c r="Q32" s="213" t="s">
        <v>36</v>
      </c>
      <c r="R32" s="213" t="s">
        <v>36</v>
      </c>
      <c r="S32" s="213" t="s">
        <v>36</v>
      </c>
      <c r="T32" s="213" t="s">
        <v>36</v>
      </c>
      <c r="U32" s="213" t="s">
        <v>36</v>
      </c>
      <c r="V32" s="213" t="s">
        <v>36</v>
      </c>
      <c r="W32" s="213" t="s">
        <v>36</v>
      </c>
      <c r="X32" s="213" t="s">
        <v>36</v>
      </c>
      <c r="Y32" s="213" t="s">
        <v>36</v>
      </c>
      <c r="Z32" s="213" t="s">
        <v>36</v>
      </c>
      <c r="AA32" s="213" t="s">
        <v>36</v>
      </c>
      <c r="AB32" s="213" t="s">
        <v>36</v>
      </c>
      <c r="AC32" s="252" t="s">
        <v>36</v>
      </c>
      <c r="AD32" s="260" t="s">
        <v>36</v>
      </c>
      <c r="AE32" s="58" t="s">
        <v>17</v>
      </c>
      <c r="AG32"/>
      <c r="AH32"/>
      <c r="AI32"/>
      <c r="AJ32"/>
      <c r="AK32"/>
      <c r="AL32"/>
      <c r="AM32"/>
      <c r="AN32"/>
      <c r="AO32"/>
      <c r="AP32"/>
      <c r="AQ32"/>
    </row>
    <row r="33" spans="1:43" ht="12.75" customHeight="1" x14ac:dyDescent="0.2">
      <c r="A33" s="15"/>
      <c r="B33" s="271" t="s">
        <v>16</v>
      </c>
      <c r="C33" s="272"/>
      <c r="D33" s="272"/>
      <c r="E33" s="273"/>
      <c r="F33" s="273"/>
      <c r="G33" s="273"/>
      <c r="H33" s="273">
        <v>5.4</v>
      </c>
      <c r="I33" s="273">
        <v>6.2</v>
      </c>
      <c r="J33" s="287">
        <v>6.1</v>
      </c>
      <c r="K33" s="287">
        <v>5.8</v>
      </c>
      <c r="L33" s="287">
        <v>5.5</v>
      </c>
      <c r="M33" s="287">
        <v>5.6</v>
      </c>
      <c r="N33" s="287">
        <v>5.2</v>
      </c>
      <c r="O33" s="287">
        <v>4.5999999999999996</v>
      </c>
      <c r="P33" s="287">
        <v>4.8</v>
      </c>
      <c r="Q33" s="287">
        <v>4.7</v>
      </c>
      <c r="R33" s="287">
        <v>5</v>
      </c>
      <c r="S33" s="287">
        <v>5.2</v>
      </c>
      <c r="T33" s="287">
        <v>5.3</v>
      </c>
      <c r="U33" s="287">
        <v>5.6</v>
      </c>
      <c r="V33" s="287">
        <v>5.3</v>
      </c>
      <c r="W33" s="287">
        <v>5.3</v>
      </c>
      <c r="X33" s="287">
        <v>5.35</v>
      </c>
      <c r="Y33" s="287">
        <v>5.0374999999999996</v>
      </c>
      <c r="Z33" s="287">
        <v>4.96</v>
      </c>
      <c r="AA33" s="287">
        <v>4.2089999999999996</v>
      </c>
      <c r="AB33" s="287">
        <f>4.894</f>
        <v>4.8940000000000001</v>
      </c>
      <c r="AC33" s="345">
        <v>4.4725000000000001</v>
      </c>
      <c r="AD33" s="357">
        <f>AC33/AB33*100-100</f>
        <v>-8.6125868410298381</v>
      </c>
      <c r="AE33" s="271" t="s">
        <v>16</v>
      </c>
      <c r="AG33"/>
      <c r="AH33"/>
      <c r="AI33"/>
      <c r="AJ33"/>
      <c r="AK33"/>
      <c r="AL33"/>
      <c r="AM33"/>
      <c r="AN33"/>
      <c r="AO33"/>
      <c r="AP33"/>
      <c r="AQ33"/>
    </row>
    <row r="34" spans="1:43" ht="12.75" customHeight="1" x14ac:dyDescent="0.2">
      <c r="A34" s="15"/>
      <c r="B34" s="91" t="s">
        <v>32</v>
      </c>
      <c r="C34" s="209" t="s">
        <v>36</v>
      </c>
      <c r="D34" s="209" t="s">
        <v>36</v>
      </c>
      <c r="E34" s="209" t="s">
        <v>36</v>
      </c>
      <c r="F34" s="210" t="s">
        <v>36</v>
      </c>
      <c r="G34" s="210" t="s">
        <v>36</v>
      </c>
      <c r="H34" s="210" t="s">
        <v>36</v>
      </c>
      <c r="I34" s="210" t="s">
        <v>36</v>
      </c>
      <c r="J34" s="210" t="s">
        <v>36</v>
      </c>
      <c r="K34" s="210" t="s">
        <v>36</v>
      </c>
      <c r="L34" s="210" t="s">
        <v>36</v>
      </c>
      <c r="M34" s="210" t="s">
        <v>36</v>
      </c>
      <c r="N34" s="210" t="s">
        <v>36</v>
      </c>
      <c r="O34" s="210" t="s">
        <v>36</v>
      </c>
      <c r="P34" s="210" t="s">
        <v>36</v>
      </c>
      <c r="Q34" s="210" t="s">
        <v>36</v>
      </c>
      <c r="R34" s="210" t="s">
        <v>36</v>
      </c>
      <c r="S34" s="210" t="s">
        <v>36</v>
      </c>
      <c r="T34" s="210" t="s">
        <v>36</v>
      </c>
      <c r="U34" s="210" t="s">
        <v>36</v>
      </c>
      <c r="V34" s="210" t="s">
        <v>36</v>
      </c>
      <c r="W34" s="210" t="s">
        <v>36</v>
      </c>
      <c r="X34" s="210" t="s">
        <v>36</v>
      </c>
      <c r="Y34" s="210" t="s">
        <v>36</v>
      </c>
      <c r="Z34" s="210" t="s">
        <v>36</v>
      </c>
      <c r="AA34" s="210" t="s">
        <v>36</v>
      </c>
      <c r="AB34" s="210" t="s">
        <v>36</v>
      </c>
      <c r="AC34" s="264" t="s">
        <v>36</v>
      </c>
      <c r="AD34" s="259" t="s">
        <v>36</v>
      </c>
      <c r="AE34" s="91" t="s">
        <v>32</v>
      </c>
      <c r="AG34"/>
      <c r="AH34"/>
      <c r="AI34"/>
      <c r="AJ34"/>
      <c r="AK34"/>
      <c r="AL34"/>
      <c r="AM34"/>
      <c r="AN34"/>
      <c r="AO34"/>
      <c r="AP34"/>
      <c r="AQ34"/>
    </row>
    <row r="35" spans="1:43" ht="12.75" customHeight="1" x14ac:dyDescent="0.2">
      <c r="A35" s="15"/>
      <c r="B35" s="271" t="s">
        <v>33</v>
      </c>
      <c r="C35" s="272" t="s">
        <v>36</v>
      </c>
      <c r="D35" s="272" t="s">
        <v>36</v>
      </c>
      <c r="E35" s="273" t="s">
        <v>36</v>
      </c>
      <c r="F35" s="273" t="s">
        <v>36</v>
      </c>
      <c r="G35" s="273" t="s">
        <v>36</v>
      </c>
      <c r="H35" s="273" t="s">
        <v>36</v>
      </c>
      <c r="I35" s="273" t="s">
        <v>36</v>
      </c>
      <c r="J35" s="273" t="s">
        <v>36</v>
      </c>
      <c r="K35" s="273" t="s">
        <v>36</v>
      </c>
      <c r="L35" s="273" t="s">
        <v>36</v>
      </c>
      <c r="M35" s="273" t="s">
        <v>36</v>
      </c>
      <c r="N35" s="273" t="s">
        <v>36</v>
      </c>
      <c r="O35" s="273" t="s">
        <v>36</v>
      </c>
      <c r="P35" s="273" t="s">
        <v>36</v>
      </c>
      <c r="Q35" s="273" t="s">
        <v>36</v>
      </c>
      <c r="R35" s="273" t="s">
        <v>36</v>
      </c>
      <c r="S35" s="273" t="s">
        <v>36</v>
      </c>
      <c r="T35" s="273" t="s">
        <v>36</v>
      </c>
      <c r="U35" s="273" t="s">
        <v>36</v>
      </c>
      <c r="V35" s="273" t="s">
        <v>36</v>
      </c>
      <c r="W35" s="273" t="s">
        <v>36</v>
      </c>
      <c r="X35" s="273" t="s">
        <v>36</v>
      </c>
      <c r="Y35" s="273" t="s">
        <v>36</v>
      </c>
      <c r="Z35" s="273" t="s">
        <v>36</v>
      </c>
      <c r="AA35" s="277" t="s">
        <v>36</v>
      </c>
      <c r="AB35" s="277" t="s">
        <v>36</v>
      </c>
      <c r="AC35" s="335" t="s">
        <v>36</v>
      </c>
      <c r="AD35" s="278" t="s">
        <v>36</v>
      </c>
      <c r="AE35" s="271" t="s">
        <v>33</v>
      </c>
      <c r="AG35"/>
      <c r="AH35"/>
      <c r="AI35"/>
      <c r="AJ35"/>
      <c r="AK35"/>
      <c r="AL35"/>
      <c r="AM35"/>
      <c r="AN35"/>
      <c r="AO35"/>
      <c r="AP35"/>
      <c r="AQ35"/>
    </row>
    <row r="36" spans="1:43" ht="12.75" customHeight="1" x14ac:dyDescent="0.2">
      <c r="A36" s="15"/>
      <c r="B36" s="279" t="s">
        <v>22</v>
      </c>
      <c r="C36" s="280">
        <v>2.665</v>
      </c>
      <c r="D36" s="280">
        <v>10.077999999999999</v>
      </c>
      <c r="E36" s="281">
        <v>11.1</v>
      </c>
      <c r="F36" s="281">
        <v>11.07</v>
      </c>
      <c r="G36" s="281">
        <v>11</v>
      </c>
      <c r="H36" s="281">
        <v>11.6</v>
      </c>
      <c r="I36" s="281">
        <v>12</v>
      </c>
      <c r="J36" s="281">
        <v>11.1</v>
      </c>
      <c r="K36" s="281">
        <v>11.622999999999999</v>
      </c>
      <c r="L36" s="281">
        <v>11.234999999999999</v>
      </c>
      <c r="M36" s="281">
        <v>11.666</v>
      </c>
      <c r="N36" s="281">
        <v>11.637</v>
      </c>
      <c r="O36" s="281">
        <v>11.423999999999999</v>
      </c>
      <c r="P36" s="281">
        <v>11.561999999999999</v>
      </c>
      <c r="Q36" s="281">
        <v>10.935</v>
      </c>
      <c r="R36" s="281">
        <v>10.484</v>
      </c>
      <c r="S36" s="281">
        <v>10.657</v>
      </c>
      <c r="T36" s="281">
        <v>10.78</v>
      </c>
      <c r="U36" s="281">
        <v>10.776999999999999</v>
      </c>
      <c r="V36" s="281">
        <v>10.228999999999999</v>
      </c>
      <c r="W36" s="281">
        <v>10.18</v>
      </c>
      <c r="X36" s="281">
        <v>10.185</v>
      </c>
      <c r="Y36" s="283">
        <v>10.164999999999999</v>
      </c>
      <c r="Z36" s="283">
        <v>10.1</v>
      </c>
      <c r="AA36" s="283">
        <v>9.9139999999999997</v>
      </c>
      <c r="AB36" s="299">
        <v>9.9614106898867565</v>
      </c>
      <c r="AC36" s="352">
        <f>AVERAGE(Z36:AB36)</f>
        <v>9.9918035632955853</v>
      </c>
      <c r="AD36" s="342">
        <f>AC36/AB36*100-100</f>
        <v>0.30510611754704087</v>
      </c>
      <c r="AE36" s="279" t="s">
        <v>22</v>
      </c>
      <c r="AG36"/>
      <c r="AH36"/>
      <c r="AI36"/>
      <c r="AJ36"/>
      <c r="AK36"/>
      <c r="AL36"/>
      <c r="AM36"/>
      <c r="AN36"/>
      <c r="AO36"/>
      <c r="AP36"/>
      <c r="AQ36"/>
    </row>
    <row r="37" spans="1:43" ht="12.75" customHeight="1" x14ac:dyDescent="0.2">
      <c r="A37" s="15"/>
      <c r="B37" s="16" t="s">
        <v>123</v>
      </c>
      <c r="C37" s="112" t="s">
        <v>36</v>
      </c>
      <c r="D37" s="112" t="s">
        <v>36</v>
      </c>
      <c r="E37" s="220" t="s">
        <v>36</v>
      </c>
      <c r="F37" s="220" t="s">
        <v>36</v>
      </c>
      <c r="G37" s="220" t="s">
        <v>36</v>
      </c>
      <c r="H37" s="220" t="s">
        <v>36</v>
      </c>
      <c r="I37" s="220" t="s">
        <v>36</v>
      </c>
      <c r="J37" s="220" t="s">
        <v>36</v>
      </c>
      <c r="K37" s="220" t="s">
        <v>36</v>
      </c>
      <c r="L37" s="220" t="s">
        <v>36</v>
      </c>
      <c r="M37" s="220" t="s">
        <v>36</v>
      </c>
      <c r="N37" s="220" t="s">
        <v>36</v>
      </c>
      <c r="O37" s="220" t="s">
        <v>36</v>
      </c>
      <c r="P37" s="220" t="s">
        <v>36</v>
      </c>
      <c r="Q37" s="220" t="s">
        <v>36</v>
      </c>
      <c r="R37" s="220" t="s">
        <v>36</v>
      </c>
      <c r="S37" s="220" t="s">
        <v>36</v>
      </c>
      <c r="T37" s="220" t="s">
        <v>36</v>
      </c>
      <c r="U37" s="220" t="s">
        <v>36</v>
      </c>
      <c r="V37" s="220" t="s">
        <v>36</v>
      </c>
      <c r="W37" s="220" t="s">
        <v>36</v>
      </c>
      <c r="X37" s="220" t="s">
        <v>36</v>
      </c>
      <c r="Y37" s="270" t="s">
        <v>36</v>
      </c>
      <c r="Z37" s="270" t="s">
        <v>36</v>
      </c>
      <c r="AA37" s="270" t="s">
        <v>36</v>
      </c>
      <c r="AB37" s="270" t="s">
        <v>36</v>
      </c>
      <c r="AC37" s="346" t="s">
        <v>36</v>
      </c>
      <c r="AD37" s="348" t="s">
        <v>36</v>
      </c>
      <c r="AE37" s="16" t="s">
        <v>123</v>
      </c>
      <c r="AG37"/>
      <c r="AH37"/>
      <c r="AI37"/>
      <c r="AJ37"/>
      <c r="AK37"/>
      <c r="AL37"/>
      <c r="AM37"/>
      <c r="AN37"/>
      <c r="AO37"/>
      <c r="AP37"/>
      <c r="AQ37"/>
    </row>
    <row r="38" spans="1:43" ht="12.75" customHeight="1" x14ac:dyDescent="0.2">
      <c r="A38" s="15"/>
      <c r="B38" s="279" t="s">
        <v>113</v>
      </c>
      <c r="C38" s="349" t="s">
        <v>36</v>
      </c>
      <c r="D38" s="349" t="s">
        <v>36</v>
      </c>
      <c r="E38" s="283" t="s">
        <v>36</v>
      </c>
      <c r="F38" s="283" t="s">
        <v>36</v>
      </c>
      <c r="G38" s="283" t="s">
        <v>36</v>
      </c>
      <c r="H38" s="283" t="s">
        <v>36</v>
      </c>
      <c r="I38" s="283" t="s">
        <v>36</v>
      </c>
      <c r="J38" s="283" t="s">
        <v>36</v>
      </c>
      <c r="K38" s="281" t="s">
        <v>36</v>
      </c>
      <c r="L38" s="281" t="s">
        <v>36</v>
      </c>
      <c r="M38" s="281" t="s">
        <v>36</v>
      </c>
      <c r="N38" s="281" t="s">
        <v>36</v>
      </c>
      <c r="O38" s="283" t="s">
        <v>36</v>
      </c>
      <c r="P38" s="283" t="s">
        <v>36</v>
      </c>
      <c r="Q38" s="283" t="s">
        <v>36</v>
      </c>
      <c r="R38" s="283" t="s">
        <v>36</v>
      </c>
      <c r="S38" s="283" t="s">
        <v>36</v>
      </c>
      <c r="T38" s="283" t="s">
        <v>36</v>
      </c>
      <c r="U38" s="283" t="s">
        <v>36</v>
      </c>
      <c r="V38" s="283" t="s">
        <v>36</v>
      </c>
      <c r="W38" s="283" t="s">
        <v>36</v>
      </c>
      <c r="X38" s="283" t="s">
        <v>36</v>
      </c>
      <c r="Y38" s="283" t="s">
        <v>36</v>
      </c>
      <c r="Z38" s="283" t="s">
        <v>36</v>
      </c>
      <c r="AA38" s="283" t="s">
        <v>36</v>
      </c>
      <c r="AB38" s="283" t="s">
        <v>36</v>
      </c>
      <c r="AC38" s="329" t="s">
        <v>36</v>
      </c>
      <c r="AD38" s="309" t="s">
        <v>36</v>
      </c>
      <c r="AE38" s="279" t="s">
        <v>113</v>
      </c>
      <c r="AG38"/>
      <c r="AH38"/>
      <c r="AI38"/>
      <c r="AJ38"/>
      <c r="AK38"/>
      <c r="AL38"/>
      <c r="AM38"/>
      <c r="AN38"/>
      <c r="AO38"/>
      <c r="AP38"/>
      <c r="AQ38"/>
    </row>
    <row r="39" spans="1:43" ht="12.75" customHeight="1" x14ac:dyDescent="0.2">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0.14899999999999999</v>
      </c>
      <c r="U39" s="59">
        <v>0.17</v>
      </c>
      <c r="V39" s="59">
        <v>0.16400000000000001</v>
      </c>
      <c r="W39" s="59">
        <v>0.16400000000000001</v>
      </c>
      <c r="X39" s="59">
        <v>0.14399999999999999</v>
      </c>
      <c r="Y39" s="59">
        <v>0.123</v>
      </c>
      <c r="Z39" s="59">
        <v>9.8000000000000004E-2</v>
      </c>
      <c r="AA39" s="208">
        <v>3.6999999999999998E-2</v>
      </c>
      <c r="AB39" s="190" t="s">
        <v>36</v>
      </c>
      <c r="AC39" s="190" t="s">
        <v>36</v>
      </c>
      <c r="AD39" s="258" t="s">
        <v>36</v>
      </c>
      <c r="AE39" s="17" t="s">
        <v>3</v>
      </c>
      <c r="AG39"/>
      <c r="AH39"/>
      <c r="AI39"/>
      <c r="AJ39"/>
      <c r="AK39"/>
      <c r="AL39"/>
      <c r="AM39"/>
      <c r="AN39"/>
      <c r="AO39"/>
      <c r="AP39"/>
      <c r="AQ39"/>
    </row>
    <row r="40" spans="1:43" ht="12.75" customHeight="1" x14ac:dyDescent="0.2">
      <c r="A40" s="15"/>
      <c r="B40" s="279" t="s">
        <v>114</v>
      </c>
      <c r="C40" s="280" t="s">
        <v>36</v>
      </c>
      <c r="D40" s="280" t="s">
        <v>36</v>
      </c>
      <c r="E40" s="281" t="s">
        <v>36</v>
      </c>
      <c r="F40" s="281" t="s">
        <v>36</v>
      </c>
      <c r="G40" s="281" t="s">
        <v>36</v>
      </c>
      <c r="H40" s="281" t="s">
        <v>36</v>
      </c>
      <c r="I40" s="281" t="s">
        <v>36</v>
      </c>
      <c r="J40" s="281" t="s">
        <v>36</v>
      </c>
      <c r="K40" s="281" t="s">
        <v>36</v>
      </c>
      <c r="L40" s="281" t="s">
        <v>36</v>
      </c>
      <c r="M40" s="281" t="s">
        <v>36</v>
      </c>
      <c r="N40" s="281" t="s">
        <v>36</v>
      </c>
      <c r="O40" s="281" t="s">
        <v>36</v>
      </c>
      <c r="P40" s="281" t="s">
        <v>36</v>
      </c>
      <c r="Q40" s="281" t="s">
        <v>36</v>
      </c>
      <c r="R40" s="281" t="s">
        <v>36</v>
      </c>
      <c r="S40" s="281" t="s">
        <v>36</v>
      </c>
      <c r="T40" s="281" t="s">
        <v>36</v>
      </c>
      <c r="U40" s="281">
        <v>0.47</v>
      </c>
      <c r="V40" s="281">
        <v>0.45200000000000001</v>
      </c>
      <c r="W40" s="281">
        <v>0.46200000000000002</v>
      </c>
      <c r="X40" s="281">
        <v>0.40200000000000002</v>
      </c>
      <c r="Y40" s="281">
        <v>0.38100000000000001</v>
      </c>
      <c r="Z40" s="281">
        <v>0.311</v>
      </c>
      <c r="AA40" s="281">
        <v>0.29499999999999998</v>
      </c>
      <c r="AB40" s="283">
        <v>0.38100000000000001</v>
      </c>
      <c r="AC40" s="329">
        <v>0.35499999999999998</v>
      </c>
      <c r="AD40" s="342">
        <f t="shared" ref="AD40:AD41" si="12">AC40/AB40*100-100</f>
        <v>-6.8241469816272939</v>
      </c>
      <c r="AE40" s="279" t="s">
        <v>114</v>
      </c>
      <c r="AG40"/>
      <c r="AH40"/>
      <c r="AI40"/>
      <c r="AJ40"/>
      <c r="AK40"/>
      <c r="AL40"/>
      <c r="AM40"/>
      <c r="AN40"/>
      <c r="AO40"/>
      <c r="AP40"/>
      <c r="AQ40"/>
    </row>
    <row r="41" spans="1:43" ht="12.75" customHeight="1" x14ac:dyDescent="0.2">
      <c r="A41" s="15"/>
      <c r="B41" s="18" t="s">
        <v>18</v>
      </c>
      <c r="C41" s="108">
        <v>1.3</v>
      </c>
      <c r="D41" s="108">
        <v>13.8</v>
      </c>
      <c r="E41" s="60" t="s">
        <v>35</v>
      </c>
      <c r="F41" s="60" t="s">
        <v>0</v>
      </c>
      <c r="G41" s="60">
        <v>3.1</v>
      </c>
      <c r="H41" s="60">
        <v>3.1</v>
      </c>
      <c r="I41" s="60">
        <v>3.1</v>
      </c>
      <c r="J41" s="60">
        <v>3.2</v>
      </c>
      <c r="K41" s="60">
        <v>4</v>
      </c>
      <c r="L41" s="60">
        <v>21</v>
      </c>
      <c r="M41" s="60">
        <v>39.700000000000003</v>
      </c>
      <c r="N41" s="60">
        <v>43.478000000000002</v>
      </c>
      <c r="O41" s="60">
        <v>53.134</v>
      </c>
      <c r="P41" s="60">
        <v>43.518000000000001</v>
      </c>
      <c r="Q41" s="60">
        <v>47.691000000000003</v>
      </c>
      <c r="R41" s="60">
        <v>18.127734</v>
      </c>
      <c r="S41" s="60">
        <v>11.927372999999999</v>
      </c>
      <c r="T41" s="60">
        <v>5.735652</v>
      </c>
      <c r="U41" s="60">
        <v>5.8407600000000004</v>
      </c>
      <c r="V41" s="60">
        <v>12.893485</v>
      </c>
      <c r="W41" s="60">
        <v>36.397748999999997</v>
      </c>
      <c r="X41" s="60">
        <v>45.111153000000002</v>
      </c>
      <c r="Y41" s="60">
        <v>39.636437999999998</v>
      </c>
      <c r="Z41" s="60">
        <v>44.69</v>
      </c>
      <c r="AA41" s="339">
        <f>37268707/1000000</f>
        <v>37.268706999999999</v>
      </c>
      <c r="AB41" s="339">
        <v>26.713999999999999</v>
      </c>
      <c r="AC41" s="339">
        <v>15.331</v>
      </c>
      <c r="AD41" s="333">
        <f t="shared" si="12"/>
        <v>-42.610616156322521</v>
      </c>
      <c r="AE41" s="18" t="s">
        <v>18</v>
      </c>
      <c r="AG41"/>
      <c r="AH41"/>
      <c r="AI41"/>
      <c r="AJ41"/>
      <c r="AK41"/>
      <c r="AL41"/>
      <c r="AM41"/>
      <c r="AN41"/>
      <c r="AO41"/>
      <c r="AP41"/>
      <c r="AQ41"/>
    </row>
    <row r="42" spans="1:43" ht="12.75" customHeight="1" x14ac:dyDescent="0.2">
      <c r="A42" s="15"/>
      <c r="B42" s="279" t="s">
        <v>4</v>
      </c>
      <c r="C42" s="347" t="s">
        <v>36</v>
      </c>
      <c r="D42" s="347" t="s">
        <v>36</v>
      </c>
      <c r="E42" s="300" t="s">
        <v>36</v>
      </c>
      <c r="F42" s="300" t="s">
        <v>36</v>
      </c>
      <c r="G42" s="300" t="s">
        <v>36</v>
      </c>
      <c r="H42" s="300" t="s">
        <v>36</v>
      </c>
      <c r="I42" s="300" t="s">
        <v>36</v>
      </c>
      <c r="J42" s="300" t="s">
        <v>36</v>
      </c>
      <c r="K42" s="300" t="s">
        <v>36</v>
      </c>
      <c r="L42" s="300" t="s">
        <v>36</v>
      </c>
      <c r="M42" s="300" t="s">
        <v>36</v>
      </c>
      <c r="N42" s="300" t="s">
        <v>36</v>
      </c>
      <c r="O42" s="300" t="s">
        <v>36</v>
      </c>
      <c r="P42" s="300" t="s">
        <v>36</v>
      </c>
      <c r="Q42" s="300" t="s">
        <v>36</v>
      </c>
      <c r="R42" s="300" t="s">
        <v>36</v>
      </c>
      <c r="S42" s="300" t="s">
        <v>36</v>
      </c>
      <c r="T42" s="300" t="s">
        <v>36</v>
      </c>
      <c r="U42" s="300" t="s">
        <v>36</v>
      </c>
      <c r="V42" s="300" t="s">
        <v>36</v>
      </c>
      <c r="W42" s="300" t="s">
        <v>36</v>
      </c>
      <c r="X42" s="300" t="s">
        <v>36</v>
      </c>
      <c r="Y42" s="300" t="s">
        <v>36</v>
      </c>
      <c r="Z42" s="300" t="s">
        <v>36</v>
      </c>
      <c r="AA42" s="301" t="s">
        <v>36</v>
      </c>
      <c r="AB42" s="283" t="s">
        <v>36</v>
      </c>
      <c r="AC42" s="283" t="s">
        <v>36</v>
      </c>
      <c r="AD42" s="309" t="s">
        <v>36</v>
      </c>
      <c r="AE42" s="279" t="s">
        <v>4</v>
      </c>
      <c r="AG42"/>
      <c r="AH42"/>
      <c r="AI42"/>
      <c r="AJ42"/>
      <c r="AK42"/>
      <c r="AL42"/>
      <c r="AM42"/>
      <c r="AN42"/>
      <c r="AO42"/>
      <c r="AP42"/>
      <c r="AQ42"/>
    </row>
    <row r="43" spans="1:43" ht="12.75" customHeight="1" x14ac:dyDescent="0.2">
      <c r="A43" s="15"/>
      <c r="B43" s="17" t="s">
        <v>34</v>
      </c>
      <c r="C43" s="106" t="s">
        <v>36</v>
      </c>
      <c r="D43" s="106" t="s">
        <v>36</v>
      </c>
      <c r="E43" s="59">
        <v>2.0550000000000002</v>
      </c>
      <c r="F43" s="59">
        <v>2.5049999999999999</v>
      </c>
      <c r="G43" s="59">
        <v>3.0710000000000002</v>
      </c>
      <c r="H43" s="59">
        <v>3.39</v>
      </c>
      <c r="I43" s="59">
        <v>4.0490000000000004</v>
      </c>
      <c r="J43" s="59">
        <v>5.2610000000000001</v>
      </c>
      <c r="K43" s="59">
        <v>5.1260000000000003</v>
      </c>
      <c r="L43" s="59">
        <v>4.16</v>
      </c>
      <c r="M43" s="59">
        <v>4.1360000000000001</v>
      </c>
      <c r="N43" s="59">
        <v>3.9809999999999999</v>
      </c>
      <c r="O43" s="59">
        <v>3.4849999999999999</v>
      </c>
      <c r="P43" s="59">
        <v>3.681</v>
      </c>
      <c r="Q43" s="59">
        <v>3.601</v>
      </c>
      <c r="R43" s="59">
        <v>3.4940000000000002</v>
      </c>
      <c r="S43" s="59">
        <v>4.7210000000000001</v>
      </c>
      <c r="T43" s="59">
        <v>4.59</v>
      </c>
      <c r="U43" s="59">
        <v>4.5289999999999999</v>
      </c>
      <c r="V43" s="59">
        <v>4.1920000000000002</v>
      </c>
      <c r="W43" s="59">
        <v>3.827</v>
      </c>
      <c r="X43" s="59">
        <v>3.8540000000000001</v>
      </c>
      <c r="Y43" s="59">
        <v>3.4649999999999999</v>
      </c>
      <c r="Z43" s="59">
        <v>3.3719999999999999</v>
      </c>
      <c r="AA43" s="208">
        <v>3.1150000000000002</v>
      </c>
      <c r="AB43" s="208">
        <v>2.7240000000000002</v>
      </c>
      <c r="AC43" s="208">
        <v>2.4060000000000001</v>
      </c>
      <c r="AD43" s="152">
        <f t="shared" ref="AD43:AD44" si="13">AC43/AB43*100-100</f>
        <v>-11.674008810572687</v>
      </c>
      <c r="AE43" s="17" t="s">
        <v>34</v>
      </c>
      <c r="AG43"/>
      <c r="AH43"/>
      <c r="AI43"/>
      <c r="AJ43"/>
      <c r="AK43"/>
      <c r="AL43"/>
      <c r="AM43"/>
      <c r="AN43"/>
      <c r="AO43"/>
      <c r="AP43"/>
      <c r="AQ43"/>
    </row>
    <row r="44" spans="1:43" ht="12.75" customHeight="1" x14ac:dyDescent="0.2">
      <c r="A44" s="15"/>
      <c r="B44" s="325" t="s">
        <v>5</v>
      </c>
      <c r="C44" s="326">
        <v>1.2</v>
      </c>
      <c r="D44" s="326">
        <v>1.1000000000000001</v>
      </c>
      <c r="E44" s="350">
        <v>1.2</v>
      </c>
      <c r="F44" s="284">
        <v>1.2270000000000001</v>
      </c>
      <c r="G44" s="284">
        <v>1.2649999999999999</v>
      </c>
      <c r="H44" s="284">
        <v>1.2210000000000001</v>
      </c>
      <c r="I44" s="284">
        <v>1.2110000000000001</v>
      </c>
      <c r="J44" s="351">
        <v>1.248</v>
      </c>
      <c r="K44" s="284">
        <v>1.202</v>
      </c>
      <c r="L44" s="284">
        <v>0.28899999999999998</v>
      </c>
      <c r="M44" s="284">
        <v>0.23400000000000001</v>
      </c>
      <c r="N44" s="284">
        <v>0.23300000000000001</v>
      </c>
      <c r="O44" s="284">
        <v>0.216</v>
      </c>
      <c r="P44" s="284">
        <v>0.23</v>
      </c>
      <c r="Q44" s="284">
        <v>0.22600000000000001</v>
      </c>
      <c r="R44" s="284">
        <v>0.222</v>
      </c>
      <c r="S44" s="284">
        <v>0.23799999999999999</v>
      </c>
      <c r="T44" s="284">
        <v>0.22600000000000001</v>
      </c>
      <c r="U44" s="284">
        <v>0.25600000000000001</v>
      </c>
      <c r="V44" s="284">
        <v>0.217</v>
      </c>
      <c r="W44" s="284">
        <v>0.248</v>
      </c>
      <c r="X44" s="284">
        <v>0.23300000000000001</v>
      </c>
      <c r="Y44" s="284">
        <v>0.218</v>
      </c>
      <c r="Z44" s="284">
        <v>0.20300000000000001</v>
      </c>
      <c r="AA44" s="284">
        <v>0.183</v>
      </c>
      <c r="AB44" s="284">
        <v>0.22800000000000001</v>
      </c>
      <c r="AC44" s="284">
        <v>0.23699999999999999</v>
      </c>
      <c r="AD44" s="356">
        <f t="shared" si="13"/>
        <v>3.9473684210526301</v>
      </c>
      <c r="AE44" s="325" t="s">
        <v>5</v>
      </c>
    </row>
    <row r="45" spans="1:43" ht="15" customHeight="1" x14ac:dyDescent="0.2">
      <c r="B45" s="11" t="s">
        <v>82</v>
      </c>
      <c r="C45" s="65"/>
      <c r="D45" s="65"/>
      <c r="E45" s="65"/>
      <c r="F45" s="65"/>
      <c r="G45" s="65"/>
      <c r="H45" s="65"/>
      <c r="I45" s="65"/>
      <c r="J45" s="65"/>
      <c r="K45" s="65"/>
      <c r="L45" s="65"/>
      <c r="M45" s="65"/>
      <c r="N45" s="65"/>
      <c r="O45" s="65"/>
      <c r="P45" s="65"/>
      <c r="Q45" s="65"/>
      <c r="R45" s="65"/>
      <c r="S45" s="65"/>
    </row>
    <row r="46" spans="1:43" ht="12.75" customHeight="1" x14ac:dyDescent="0.2">
      <c r="B46" s="507" t="s">
        <v>2</v>
      </c>
      <c r="C46" s="507"/>
      <c r="D46" s="507"/>
      <c r="E46" s="507"/>
      <c r="F46" s="507"/>
      <c r="G46" s="507"/>
      <c r="H46" s="507"/>
      <c r="I46" s="507"/>
      <c r="J46" s="507"/>
      <c r="K46" s="507"/>
      <c r="L46" s="507"/>
      <c r="M46" s="507"/>
      <c r="N46" s="507"/>
      <c r="O46" s="507"/>
      <c r="P46" s="507"/>
      <c r="Q46" s="507"/>
      <c r="R46" s="507"/>
      <c r="S46" s="507"/>
    </row>
    <row r="47" spans="1:43" ht="15" customHeight="1" x14ac:dyDescent="0.2">
      <c r="B47" s="508" t="s">
        <v>127</v>
      </c>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row>
    <row r="48" spans="1:43" ht="12.75" customHeight="1" x14ac:dyDescent="0.2">
      <c r="B48" s="104" t="s">
        <v>89</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row>
    <row r="49" spans="2:31" ht="16.5" customHeight="1" x14ac:dyDescent="0.2">
      <c r="B49" s="104" t="s">
        <v>90</v>
      </c>
      <c r="C49" s="48"/>
      <c r="D49" s="48"/>
      <c r="E49" s="48"/>
      <c r="F49" s="48"/>
      <c r="G49" s="48"/>
      <c r="H49" s="48"/>
      <c r="I49" s="48"/>
      <c r="J49" s="48"/>
      <c r="K49" s="48"/>
      <c r="L49" s="48"/>
      <c r="M49" s="48"/>
      <c r="N49" s="48"/>
      <c r="O49" s="48"/>
      <c r="X49" s="48"/>
      <c r="AA49" s="48"/>
      <c r="AB49" s="48"/>
      <c r="AC49" s="48"/>
      <c r="AD49" s="48"/>
      <c r="AE49" s="48"/>
    </row>
    <row r="52" spans="2:31" x14ac:dyDescent="0.2">
      <c r="AA52" s="48"/>
      <c r="AB52" s="48"/>
      <c r="AC52" s="48"/>
    </row>
    <row r="53" spans="2:31" x14ac:dyDescent="0.2">
      <c r="AA53" s="48"/>
      <c r="AB53" s="48"/>
      <c r="AC53" s="48"/>
    </row>
  </sheetData>
  <mergeCells count="4">
    <mergeCell ref="B2:AE2"/>
    <mergeCell ref="B46:S46"/>
    <mergeCell ref="B47:AF47"/>
    <mergeCell ref="W3:X3"/>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S83"/>
  <sheetViews>
    <sheetView tabSelected="1" workbookViewId="0">
      <selection activeCell="C28" sqref="C28"/>
    </sheetView>
  </sheetViews>
  <sheetFormatPr defaultRowHeight="12.75" x14ac:dyDescent="0.2"/>
  <cols>
    <col min="1" max="1" width="2.28515625" customWidth="1"/>
    <col min="2" max="2" width="6.140625" customWidth="1"/>
    <col min="3" max="7" width="8.7109375" customWidth="1"/>
    <col min="8" max="8" width="1.85546875" customWidth="1"/>
  </cols>
  <sheetData>
    <row r="1" spans="1:7" ht="14.25" customHeight="1" x14ac:dyDescent="0.2">
      <c r="B1" s="67"/>
      <c r="C1" s="31"/>
      <c r="D1" s="31"/>
      <c r="E1" s="31"/>
      <c r="F1" s="31"/>
      <c r="G1" s="20" t="s">
        <v>100</v>
      </c>
    </row>
    <row r="2" spans="1:7" s="82" customFormat="1" ht="30" customHeight="1" x14ac:dyDescent="0.2">
      <c r="A2" s="83"/>
      <c r="B2" s="520" t="s">
        <v>66</v>
      </c>
      <c r="C2" s="520"/>
      <c r="D2" s="520"/>
      <c r="E2" s="520"/>
      <c r="F2" s="520"/>
      <c r="G2" s="520"/>
    </row>
    <row r="3" spans="1:7" ht="15" customHeight="1" x14ac:dyDescent="0.2">
      <c r="B3" s="482" t="s">
        <v>67</v>
      </c>
      <c r="C3" s="482"/>
      <c r="D3" s="482"/>
      <c r="E3" s="482"/>
      <c r="F3" s="482"/>
      <c r="G3" s="482"/>
    </row>
    <row r="4" spans="1:7" ht="12" customHeight="1" x14ac:dyDescent="0.2">
      <c r="B4" s="473" t="s">
        <v>112</v>
      </c>
      <c r="C4" s="473"/>
      <c r="D4" s="473"/>
      <c r="E4" s="473"/>
      <c r="F4" s="473"/>
      <c r="G4" s="473"/>
    </row>
    <row r="5" spans="1:7" x14ac:dyDescent="0.2">
      <c r="B5" s="35"/>
      <c r="C5" s="68" t="s">
        <v>68</v>
      </c>
      <c r="D5" s="521" t="s">
        <v>44</v>
      </c>
      <c r="E5" s="510" t="s">
        <v>133</v>
      </c>
      <c r="F5" s="512" t="s">
        <v>47</v>
      </c>
      <c r="G5" s="69" t="s">
        <v>46</v>
      </c>
    </row>
    <row r="6" spans="1:7" ht="21.75" customHeight="1" x14ac:dyDescent="0.2">
      <c r="B6" s="35"/>
      <c r="C6" s="70"/>
      <c r="D6" s="522"/>
      <c r="E6" s="511"/>
      <c r="F6" s="513"/>
      <c r="G6" s="71"/>
    </row>
    <row r="7" spans="1:7" ht="12.75" customHeight="1" x14ac:dyDescent="0.2">
      <c r="B7" s="157">
        <v>1990</v>
      </c>
      <c r="C7" s="376">
        <v>2492.7173913251941</v>
      </c>
      <c r="D7" s="377">
        <v>1554.0052774039339</v>
      </c>
      <c r="E7" s="377">
        <v>515.8416869560001</v>
      </c>
      <c r="F7" s="378">
        <v>1519.8945302595796</v>
      </c>
      <c r="G7" s="379">
        <f t="shared" ref="G7:G23" si="0">SUM(C7:F7)</f>
        <v>6082.4588859447076</v>
      </c>
    </row>
    <row r="8" spans="1:7" ht="12.75" hidden="1" customHeight="1" x14ac:dyDescent="0.2">
      <c r="B8" s="155">
        <v>1991</v>
      </c>
      <c r="C8" s="380">
        <v>2548.9834442290417</v>
      </c>
      <c r="D8" s="381">
        <v>1521.1868936356595</v>
      </c>
      <c r="E8" s="381">
        <v>504.12541165599998</v>
      </c>
      <c r="F8" s="382">
        <v>1505.3226943248876</v>
      </c>
      <c r="G8" s="379">
        <f t="shared" si="0"/>
        <v>6079.6184438455884</v>
      </c>
    </row>
    <row r="9" spans="1:7" ht="12.75" hidden="1" customHeight="1" x14ac:dyDescent="0.2">
      <c r="B9" s="155">
        <v>1992</v>
      </c>
      <c r="C9" s="380">
        <v>2614.453880219251</v>
      </c>
      <c r="D9" s="381">
        <v>1603.6032488397896</v>
      </c>
      <c r="E9" s="381">
        <v>515.98622418399998</v>
      </c>
      <c r="F9" s="382">
        <v>1532.1244639904819</v>
      </c>
      <c r="G9" s="379">
        <f t="shared" si="0"/>
        <v>6266.1678172335223</v>
      </c>
    </row>
    <row r="10" spans="1:7" ht="12.75" hidden="1" customHeight="1" x14ac:dyDescent="0.2">
      <c r="B10" s="155">
        <v>1993</v>
      </c>
      <c r="C10" s="380">
        <v>2725.3155609483097</v>
      </c>
      <c r="D10" s="381">
        <v>1657.0922835723966</v>
      </c>
      <c r="E10" s="381">
        <v>496.87519070400003</v>
      </c>
      <c r="F10" s="382">
        <v>1542.7931295855244</v>
      </c>
      <c r="G10" s="379">
        <f t="shared" si="0"/>
        <v>6422.0761648102298</v>
      </c>
    </row>
    <row r="11" spans="1:7" ht="12.75" hidden="1" customHeight="1" x14ac:dyDescent="0.2">
      <c r="B11" s="155">
        <v>1994</v>
      </c>
      <c r="C11" s="380">
        <v>2901.3579100518955</v>
      </c>
      <c r="D11" s="381">
        <v>1782.7320733424262</v>
      </c>
      <c r="E11" s="381">
        <v>519.78653129999998</v>
      </c>
      <c r="F11" s="382">
        <v>1538.8899592458747</v>
      </c>
      <c r="G11" s="379">
        <f t="shared" si="0"/>
        <v>6742.7664739401971</v>
      </c>
    </row>
    <row r="12" spans="1:7" ht="12.75" customHeight="1" x14ac:dyDescent="0.2">
      <c r="B12" s="158">
        <v>1995</v>
      </c>
      <c r="C12" s="383">
        <v>3036.798702652311</v>
      </c>
      <c r="D12" s="384">
        <v>1922.7970776334619</v>
      </c>
      <c r="E12" s="384">
        <v>534.39793107599996</v>
      </c>
      <c r="F12" s="385">
        <v>1564.1304607756094</v>
      </c>
      <c r="G12" s="386">
        <f t="shared" si="0"/>
        <v>7058.1241721373817</v>
      </c>
    </row>
    <row r="13" spans="1:7" ht="12.75" customHeight="1" x14ac:dyDescent="0.2">
      <c r="B13" s="73">
        <v>1996</v>
      </c>
      <c r="C13" s="380">
        <v>3118.7688475825144</v>
      </c>
      <c r="D13" s="387">
        <v>2010.52014134</v>
      </c>
      <c r="E13" s="387">
        <v>518.47401647200002</v>
      </c>
      <c r="F13" s="388">
        <v>1611.2287162073821</v>
      </c>
      <c r="G13" s="379">
        <f t="shared" si="0"/>
        <v>7258.9917216018966</v>
      </c>
    </row>
    <row r="14" spans="1:7" ht="12.75" customHeight="1" x14ac:dyDescent="0.2">
      <c r="B14" s="73">
        <v>1997</v>
      </c>
      <c r="C14" s="380">
        <v>3261.5049660365648</v>
      </c>
      <c r="D14" s="387">
        <v>2030.951296327268</v>
      </c>
      <c r="E14" s="387">
        <v>520.02596670800006</v>
      </c>
      <c r="F14" s="388">
        <v>1604.2030095960126</v>
      </c>
      <c r="G14" s="379">
        <f t="shared" si="0"/>
        <v>7416.6852386678456</v>
      </c>
    </row>
    <row r="15" spans="1:7" ht="12.75" customHeight="1" x14ac:dyDescent="0.2">
      <c r="B15" s="73">
        <v>1998</v>
      </c>
      <c r="C15" s="380">
        <v>3319.3745569602715</v>
      </c>
      <c r="D15" s="387">
        <v>2114.5540410103404</v>
      </c>
      <c r="E15" s="387">
        <v>520.55301659999998</v>
      </c>
      <c r="F15" s="388">
        <v>1540.4647512589331</v>
      </c>
      <c r="G15" s="379">
        <f t="shared" si="0"/>
        <v>7494.9463658295444</v>
      </c>
    </row>
    <row r="16" spans="1:7" ht="12.75" customHeight="1" x14ac:dyDescent="0.2">
      <c r="B16" s="73">
        <v>1999</v>
      </c>
      <c r="C16" s="380">
        <v>3354.0990464646884</v>
      </c>
      <c r="D16" s="387">
        <v>2195.3087894400282</v>
      </c>
      <c r="E16" s="387">
        <v>528.1726104679999</v>
      </c>
      <c r="F16" s="388">
        <v>1476.7264929218534</v>
      </c>
      <c r="G16" s="379">
        <f t="shared" si="0"/>
        <v>7554.3069392945699</v>
      </c>
    </row>
    <row r="17" spans="2:19" ht="12.75" customHeight="1" x14ac:dyDescent="0.2">
      <c r="B17" s="73">
        <v>2000</v>
      </c>
      <c r="C17" s="380">
        <v>3396.6603805558161</v>
      </c>
      <c r="D17" s="387">
        <v>2257.5824257835588</v>
      </c>
      <c r="E17" s="387">
        <v>526.22792776400001</v>
      </c>
      <c r="F17" s="388">
        <v>1412.9882345847741</v>
      </c>
      <c r="G17" s="379">
        <f t="shared" si="0"/>
        <v>7593.4589686881482</v>
      </c>
    </row>
    <row r="18" spans="2:19" ht="12.75" customHeight="1" x14ac:dyDescent="0.2">
      <c r="B18" s="73">
        <v>2001</v>
      </c>
      <c r="C18" s="380">
        <v>3448.5460726942761</v>
      </c>
      <c r="D18" s="387">
        <v>2334.9796739655867</v>
      </c>
      <c r="E18" s="387">
        <v>504.73421997999998</v>
      </c>
      <c r="F18" s="388">
        <v>1349.2499762476946</v>
      </c>
      <c r="G18" s="379">
        <f t="shared" si="0"/>
        <v>7637.5099428875574</v>
      </c>
    </row>
    <row r="19" spans="2:19" ht="12.75" customHeight="1" x14ac:dyDescent="0.2">
      <c r="B19" s="73">
        <v>2002</v>
      </c>
      <c r="C19" s="380">
        <v>3544.3641237427332</v>
      </c>
      <c r="D19" s="387">
        <v>2344.0318531355579</v>
      </c>
      <c r="E19" s="387">
        <v>506.70226223600002</v>
      </c>
      <c r="F19" s="388">
        <v>1285.5117179106153</v>
      </c>
      <c r="G19" s="379">
        <f t="shared" si="0"/>
        <v>7680.6099570249071</v>
      </c>
    </row>
    <row r="20" spans="2:19" ht="12.75" customHeight="1" x14ac:dyDescent="0.2">
      <c r="B20" s="73">
        <v>2003</v>
      </c>
      <c r="C20" s="380">
        <v>3618.8904709996455</v>
      </c>
      <c r="D20" s="387">
        <v>2341.158540208</v>
      </c>
      <c r="E20" s="387">
        <v>475.79173505200004</v>
      </c>
      <c r="F20" s="388">
        <v>1278.3071785976238</v>
      </c>
      <c r="G20" s="379">
        <f t="shared" si="0"/>
        <v>7714.1479248572696</v>
      </c>
    </row>
    <row r="21" spans="2:19" ht="12.75" customHeight="1" x14ac:dyDescent="0.2">
      <c r="B21" s="73">
        <v>2004</v>
      </c>
      <c r="C21" s="380">
        <v>3543.6004902082673</v>
      </c>
      <c r="D21" s="387">
        <v>2459.1870566040002</v>
      </c>
      <c r="E21" s="387">
        <v>496.14082478800003</v>
      </c>
      <c r="F21" s="388">
        <v>1271.1026392846322</v>
      </c>
      <c r="G21" s="379">
        <f t="shared" si="0"/>
        <v>7770.0310108848998</v>
      </c>
      <c r="Q21" s="519"/>
      <c r="R21" s="519"/>
      <c r="S21" s="519"/>
    </row>
    <row r="22" spans="2:19" ht="12.75" customHeight="1" x14ac:dyDescent="0.2">
      <c r="B22" s="73">
        <v>2005</v>
      </c>
      <c r="C22" s="380">
        <v>3581.8174589495325</v>
      </c>
      <c r="D22" s="387">
        <v>2530.6118067880002</v>
      </c>
      <c r="E22" s="387">
        <v>476.37572385200002</v>
      </c>
      <c r="F22" s="388">
        <v>1263.8980999716409</v>
      </c>
      <c r="G22" s="379">
        <f t="shared" si="0"/>
        <v>7852.7030895611733</v>
      </c>
    </row>
    <row r="23" spans="2:19" ht="12.75" customHeight="1" x14ac:dyDescent="0.2">
      <c r="B23" s="73">
        <v>2006</v>
      </c>
      <c r="C23" s="380">
        <v>3512.4160051253334</v>
      </c>
      <c r="D23" s="387">
        <v>2709.5649547439998</v>
      </c>
      <c r="E23" s="387">
        <v>485.99956728159998</v>
      </c>
      <c r="F23" s="388">
        <v>1256.6935606586492</v>
      </c>
      <c r="G23" s="379">
        <f t="shared" si="0"/>
        <v>7964.6740878095834</v>
      </c>
    </row>
    <row r="24" spans="2:19" ht="12.75" customHeight="1" x14ac:dyDescent="0.2">
      <c r="B24" s="73">
        <v>2007</v>
      </c>
      <c r="C24" s="380">
        <v>3643.7769872887943</v>
      </c>
      <c r="D24" s="387">
        <v>2656.6132302760002</v>
      </c>
      <c r="E24" s="387">
        <v>472.30050400839991</v>
      </c>
      <c r="F24" s="388">
        <v>1249.4890213456574</v>
      </c>
      <c r="G24" s="379">
        <f>SUM(C24:F24)</f>
        <v>8022.1797429188518</v>
      </c>
    </row>
    <row r="25" spans="2:19" ht="12.75" customHeight="1" x14ac:dyDescent="0.2">
      <c r="B25" s="73">
        <v>2008</v>
      </c>
      <c r="C25" s="389">
        <v>4018.8038839926635</v>
      </c>
      <c r="D25" s="387">
        <v>2525.3675873640004</v>
      </c>
      <c r="E25" s="387">
        <v>454.33686252320007</v>
      </c>
      <c r="F25" s="388">
        <v>1432.703863520592</v>
      </c>
      <c r="G25" s="379">
        <f t="shared" ref="G25" si="1">SUM(C25:F25)</f>
        <v>8431.2121974004549</v>
      </c>
    </row>
    <row r="26" spans="2:19" ht="12.75" customHeight="1" x14ac:dyDescent="0.2">
      <c r="B26" s="73">
        <v>2009</v>
      </c>
      <c r="C26" s="390">
        <v>3576.2139376398177</v>
      </c>
      <c r="D26" s="387">
        <v>2309.8114813960001</v>
      </c>
      <c r="E26" s="387">
        <v>406.608041888</v>
      </c>
      <c r="F26" s="388">
        <v>1382.9612871541058</v>
      </c>
      <c r="G26" s="391">
        <f>SUM(C26:F26)</f>
        <v>7675.5947480779232</v>
      </c>
    </row>
    <row r="27" spans="2:19" ht="12.75" customHeight="1" thickBot="1" x14ac:dyDescent="0.25">
      <c r="B27" s="73">
        <v>2010</v>
      </c>
      <c r="C27" s="389">
        <v>3668.0760074637005</v>
      </c>
      <c r="D27" s="392">
        <v>2491.4499999999998</v>
      </c>
      <c r="E27" s="387">
        <v>450.529</v>
      </c>
      <c r="F27" s="393">
        <v>1395.7128591127205</v>
      </c>
      <c r="G27" s="391">
        <f t="shared" ref="G27:G30" si="2">SUM(C27:F27)</f>
        <v>8005.7678665764215</v>
      </c>
    </row>
    <row r="28" spans="2:19" ht="12.75" customHeight="1" thickTop="1" x14ac:dyDescent="0.2">
      <c r="B28" s="418">
        <v>2011</v>
      </c>
      <c r="C28" s="417">
        <v>3411.9545640000001</v>
      </c>
      <c r="D28" s="417">
        <v>2216.2374960000002</v>
      </c>
      <c r="E28" s="424">
        <v>633.62784799999997</v>
      </c>
      <c r="F28" s="416">
        <v>1486.2514960000001</v>
      </c>
      <c r="G28" s="415">
        <f t="shared" si="2"/>
        <v>7748.0714040000003</v>
      </c>
    </row>
    <row r="29" spans="2:19" ht="12.75" customHeight="1" x14ac:dyDescent="0.2">
      <c r="B29" s="73">
        <v>2012</v>
      </c>
      <c r="C29" s="389">
        <v>3657.2298599999999</v>
      </c>
      <c r="D29" s="392">
        <v>2398.7339959999999</v>
      </c>
      <c r="E29" s="423">
        <v>747.50566400000002</v>
      </c>
      <c r="F29" s="423">
        <v>1366.5337919999999</v>
      </c>
      <c r="G29" s="391">
        <f t="shared" si="2"/>
        <v>8170.0033120000007</v>
      </c>
    </row>
    <row r="30" spans="2:19" s="419" customFormat="1" ht="12.75" customHeight="1" x14ac:dyDescent="0.2">
      <c r="B30" s="156">
        <v>2013</v>
      </c>
      <c r="C30" s="422">
        <f>(2610)*1.459972</f>
        <v>3810.5269200000002</v>
      </c>
      <c r="D30" s="422">
        <v>2290.6960680000002</v>
      </c>
      <c r="E30" s="421">
        <v>572.30902400000002</v>
      </c>
      <c r="F30" s="421">
        <v>1305.214968</v>
      </c>
      <c r="G30" s="420">
        <f t="shared" si="2"/>
        <v>7978.7469800000008</v>
      </c>
    </row>
    <row r="31" spans="2:19" ht="18.75" customHeight="1" x14ac:dyDescent="0.2">
      <c r="B31" s="289" t="s">
        <v>134</v>
      </c>
      <c r="C31" s="74"/>
      <c r="D31" s="74"/>
      <c r="E31" s="74"/>
      <c r="F31" s="74"/>
      <c r="G31" s="74"/>
    </row>
    <row r="32" spans="2:19" ht="24" customHeight="1" x14ac:dyDescent="0.2">
      <c r="B32" s="523" t="s">
        <v>135</v>
      </c>
      <c r="C32" s="524"/>
      <c r="D32" s="524"/>
      <c r="E32" s="524"/>
      <c r="F32" s="524"/>
      <c r="G32" s="524"/>
    </row>
    <row r="33" spans="2:7" ht="15" customHeight="1" x14ac:dyDescent="0.2">
      <c r="B33" s="517" t="s">
        <v>69</v>
      </c>
      <c r="C33" s="517"/>
      <c r="D33" s="517"/>
      <c r="E33" s="517"/>
      <c r="F33" s="517"/>
      <c r="G33" s="517"/>
    </row>
    <row r="34" spans="2:7" ht="12" customHeight="1" x14ac:dyDescent="0.2">
      <c r="B34" s="474" t="s">
        <v>70</v>
      </c>
      <c r="C34" s="474"/>
      <c r="D34" s="474"/>
      <c r="E34" s="474"/>
      <c r="F34" s="474"/>
      <c r="G34" s="474"/>
    </row>
    <row r="35" spans="2:7" x14ac:dyDescent="0.2">
      <c r="B35" s="35"/>
      <c r="C35" s="75" t="s">
        <v>43</v>
      </c>
      <c r="D35" s="69" t="s">
        <v>44</v>
      </c>
      <c r="E35" s="510" t="s">
        <v>133</v>
      </c>
      <c r="F35" s="515" t="s">
        <v>47</v>
      </c>
      <c r="G35" s="75" t="s">
        <v>46</v>
      </c>
    </row>
    <row r="36" spans="2:7" ht="23.25" customHeight="1" x14ac:dyDescent="0.2">
      <c r="B36" s="35"/>
      <c r="C36" s="159"/>
      <c r="D36" s="160" t="s">
        <v>35</v>
      </c>
      <c r="E36" s="514"/>
      <c r="F36" s="516"/>
      <c r="G36" s="115"/>
    </row>
    <row r="37" spans="2:7" ht="12.75" customHeight="1" x14ac:dyDescent="0.2">
      <c r="B37" s="72">
        <v>2001</v>
      </c>
      <c r="C37" s="105">
        <f t="shared" ref="C37:G42" si="3">(C18/C17-1)*100</f>
        <v>1.5275501912254574</v>
      </c>
      <c r="D37" s="105">
        <f t="shared" si="3"/>
        <v>3.4283243569795729</v>
      </c>
      <c r="E37" s="105">
        <f t="shared" si="3"/>
        <v>-4.0844863318693747</v>
      </c>
      <c r="F37" s="105">
        <f t="shared" si="3"/>
        <v>-4.5108838684569719</v>
      </c>
      <c r="G37" s="161">
        <f t="shared" si="3"/>
        <v>0.58011736655263491</v>
      </c>
    </row>
    <row r="38" spans="2:7" ht="12.75" customHeight="1" x14ac:dyDescent="0.2">
      <c r="B38" s="73">
        <v>2002</v>
      </c>
      <c r="C38" s="62">
        <f t="shared" si="3"/>
        <v>2.7785057536898972</v>
      </c>
      <c r="D38" s="62">
        <f t="shared" si="3"/>
        <v>0.3876770008279129</v>
      </c>
      <c r="E38" s="62">
        <f t="shared" si="3"/>
        <v>0.38991654975919499</v>
      </c>
      <c r="F38" s="62">
        <f t="shared" si="3"/>
        <v>-4.7239769841862289</v>
      </c>
      <c r="G38" s="77">
        <f t="shared" si="3"/>
        <v>0.56432023604089387</v>
      </c>
    </row>
    <row r="39" spans="2:7" ht="12.75" customHeight="1" x14ac:dyDescent="0.2">
      <c r="B39" s="73">
        <v>2003</v>
      </c>
      <c r="C39" s="62">
        <f t="shared" si="3"/>
        <v>2.1026718659541865</v>
      </c>
      <c r="D39" s="62">
        <f t="shared" si="3"/>
        <v>-0.12257994377142811</v>
      </c>
      <c r="E39" s="62">
        <f t="shared" si="3"/>
        <v>-6.1003333688696255</v>
      </c>
      <c r="F39" s="62">
        <f t="shared" si="3"/>
        <v>-0.56044135674634399</v>
      </c>
      <c r="G39" s="77">
        <f t="shared" si="3"/>
        <v>0.43665760948696786</v>
      </c>
    </row>
    <row r="40" spans="2:7" ht="12.75" customHeight="1" x14ac:dyDescent="0.2">
      <c r="B40" s="73">
        <v>2004</v>
      </c>
      <c r="C40" s="62">
        <f t="shared" si="3"/>
        <v>-2.0804713874244651</v>
      </c>
      <c r="D40" s="62">
        <f t="shared" si="3"/>
        <v>5.0414576530777744</v>
      </c>
      <c r="E40" s="62">
        <f t="shared" si="3"/>
        <v>4.2768901258396275</v>
      </c>
      <c r="F40" s="62">
        <f t="shared" si="3"/>
        <v>-0.56360000425682566</v>
      </c>
      <c r="G40" s="77">
        <f t="shared" si="3"/>
        <v>0.72442331378632652</v>
      </c>
    </row>
    <row r="41" spans="2:7" ht="12.75" customHeight="1" x14ac:dyDescent="0.2">
      <c r="B41" s="73">
        <v>2005</v>
      </c>
      <c r="C41" s="62">
        <f t="shared" si="3"/>
        <v>1.0784784810496273</v>
      </c>
      <c r="D41" s="62">
        <f t="shared" si="3"/>
        <v>2.9044049330120281</v>
      </c>
      <c r="E41" s="62">
        <f t="shared" si="3"/>
        <v>-3.9837683070014673</v>
      </c>
      <c r="F41" s="62">
        <f t="shared" si="3"/>
        <v>-0.56679445784535432</v>
      </c>
      <c r="G41" s="77">
        <f t="shared" si="3"/>
        <v>1.0639864700727752</v>
      </c>
    </row>
    <row r="42" spans="2:7" ht="12.75" customHeight="1" x14ac:dyDescent="0.2">
      <c r="B42" s="73">
        <v>2006</v>
      </c>
      <c r="C42" s="62">
        <f t="shared" si="3"/>
        <v>-1.9376044318169416</v>
      </c>
      <c r="D42" s="62">
        <f t="shared" si="3"/>
        <v>7.0715369096114866</v>
      </c>
      <c r="E42" s="62">
        <f t="shared" si="3"/>
        <v>2.0202212135792763</v>
      </c>
      <c r="F42" s="62">
        <f t="shared" si="3"/>
        <v>-0.5700253298231428</v>
      </c>
      <c r="G42" s="77">
        <f t="shared" si="3"/>
        <v>1.4258911481991099</v>
      </c>
    </row>
    <row r="43" spans="2:7" ht="12.75" customHeight="1" x14ac:dyDescent="0.2">
      <c r="B43" s="73">
        <v>2007</v>
      </c>
      <c r="C43" s="62">
        <f t="shared" ref="C43:C47" si="4">(C24/C23-1)*100</f>
        <v>3.7399038716307675</v>
      </c>
      <c r="D43" s="62">
        <f t="shared" ref="D43:G43" si="5">(D24/D23-1)*100</f>
        <v>-1.9542518947659793</v>
      </c>
      <c r="E43" s="62">
        <f t="shared" si="5"/>
        <v>-2.81873980872549</v>
      </c>
      <c r="F43" s="62">
        <f t="shared" si="5"/>
        <v>-0.57329324654259439</v>
      </c>
      <c r="G43" s="243">
        <f t="shared" si="5"/>
        <v>0.72200889170448423</v>
      </c>
    </row>
    <row r="44" spans="2:7" ht="12.75" customHeight="1" x14ac:dyDescent="0.2">
      <c r="B44" s="73">
        <v>2008</v>
      </c>
      <c r="C44" s="62">
        <f t="shared" si="4"/>
        <v>10.292257128033345</v>
      </c>
      <c r="D44" s="62">
        <f t="shared" ref="D44:G45" si="6">(D25/D24-1)*100</f>
        <v>-4.9403368701271049</v>
      </c>
      <c r="E44" s="62">
        <f t="shared" si="6"/>
        <v>-3.8034347481620268</v>
      </c>
      <c r="F44" s="62">
        <f t="shared" si="6"/>
        <v>14.663181432168049</v>
      </c>
      <c r="G44" s="243">
        <f t="shared" si="6"/>
        <v>5.0987695064131922</v>
      </c>
    </row>
    <row r="45" spans="2:7" ht="12.75" customHeight="1" x14ac:dyDescent="0.2">
      <c r="B45" s="73">
        <v>2009</v>
      </c>
      <c r="C45" s="62">
        <f t="shared" si="4"/>
        <v>-11.012976973465417</v>
      </c>
      <c r="D45" s="62">
        <f t="shared" si="6"/>
        <v>-8.5356328736680869</v>
      </c>
      <c r="E45" s="62">
        <f t="shared" si="6"/>
        <v>-10.50516138402986</v>
      </c>
      <c r="F45" s="62">
        <f t="shared" si="6"/>
        <v>-3.4719370578266906</v>
      </c>
      <c r="G45" s="243">
        <f t="shared" si="6"/>
        <v>-8.9621448450260424</v>
      </c>
    </row>
    <row r="46" spans="2:7" ht="12.75" customHeight="1" thickBot="1" x14ac:dyDescent="0.25">
      <c r="B46" s="73">
        <v>2010</v>
      </c>
      <c r="C46" s="365">
        <f t="shared" si="4"/>
        <v>2.5686961525715812</v>
      </c>
      <c r="D46" s="365">
        <f t="shared" ref="D46:G46" si="7">(D27/D26-1)*100</f>
        <v>7.8637810949931497</v>
      </c>
      <c r="E46" s="365">
        <f t="shared" si="7"/>
        <v>10.801792780108865</v>
      </c>
      <c r="F46" s="365">
        <f t="shared" si="7"/>
        <v>0.92204836657829858</v>
      </c>
      <c r="G46" s="243">
        <f t="shared" si="7"/>
        <v>4.3015965450909022</v>
      </c>
    </row>
    <row r="47" spans="2:7" ht="12.75" customHeight="1" thickTop="1" x14ac:dyDescent="0.2">
      <c r="B47" s="418">
        <v>2011</v>
      </c>
      <c r="C47" s="430">
        <f t="shared" si="4"/>
        <v>-6.9824464635561352</v>
      </c>
      <c r="D47" s="429">
        <f>(D28/D27-1)*100</f>
        <v>-11.046278432238243</v>
      </c>
      <c r="E47" s="429">
        <f>(E28/E27-1)*100</f>
        <v>40.640857303303449</v>
      </c>
      <c r="F47" s="429">
        <f>(F28/F27-1)*100</f>
        <v>6.486909989841072</v>
      </c>
      <c r="G47" s="428">
        <f>(G28/G27-1)*100</f>
        <v>-3.2188850197903962</v>
      </c>
    </row>
    <row r="48" spans="2:7" ht="12.75" customHeight="1" x14ac:dyDescent="0.2">
      <c r="B48" s="73">
        <v>2012</v>
      </c>
      <c r="C48" s="366">
        <f>(C29/C28-1)*100</f>
        <v>7.1887034659820159</v>
      </c>
      <c r="D48" s="365">
        <f t="shared" ref="D48:G48" si="8">(D29/D28-1)*100</f>
        <v>8.2345191040843027</v>
      </c>
      <c r="E48" s="365">
        <f t="shared" si="8"/>
        <v>17.972350230414747</v>
      </c>
      <c r="F48" s="365">
        <f t="shared" si="8"/>
        <v>-8.0550098231827238</v>
      </c>
      <c r="G48" s="243">
        <f t="shared" si="8"/>
        <v>5.4456378368193059</v>
      </c>
    </row>
    <row r="49" spans="2:7" s="419" customFormat="1" ht="12.75" customHeight="1" x14ac:dyDescent="0.2">
      <c r="B49" s="156">
        <v>2013</v>
      </c>
      <c r="C49" s="409">
        <f>(C30/C29-1)*100</f>
        <v>4.1916167664670656</v>
      </c>
      <c r="D49" s="364">
        <f t="shared" ref="D49:G49" si="9">(D30/D29-1)*100</f>
        <v>-4.5039561777236674</v>
      </c>
      <c r="E49" s="364">
        <f t="shared" si="9"/>
        <v>-23.4375</v>
      </c>
      <c r="F49" s="364">
        <f t="shared" si="9"/>
        <v>-4.4871794871794819</v>
      </c>
      <c r="G49" s="244">
        <f t="shared" si="9"/>
        <v>-2.3409578270192966</v>
      </c>
    </row>
    <row r="50" spans="2:7" ht="20.100000000000001" customHeight="1" x14ac:dyDescent="0.2">
      <c r="B50" s="78" t="s">
        <v>72</v>
      </c>
      <c r="C50" s="62">
        <f>100*(POWER((C12/C7), 1/5) -1)</f>
        <v>4.0276031663377676</v>
      </c>
      <c r="D50" s="62">
        <f>100*(POWER((D12/D7), 1/5) -1)</f>
        <v>4.3508984899033543</v>
      </c>
      <c r="E50" s="62">
        <f>100*(POWER((E12/E7), 1/5) -1)</f>
        <v>0.70932065662396848</v>
      </c>
      <c r="F50" s="62">
        <f>100*(POWER((F12/F7), 1/5) -1)</f>
        <v>0.57543146284888547</v>
      </c>
      <c r="G50" s="77">
        <f>100*(POWER((G12/G7), 1/5) -1)</f>
        <v>3.0201131408499338</v>
      </c>
    </row>
    <row r="51" spans="2:7" ht="20.100000000000001" customHeight="1" x14ac:dyDescent="0.2">
      <c r="B51" s="78" t="s">
        <v>71</v>
      </c>
      <c r="C51" s="62">
        <f>100*(POWER((C17/C12), 1/5) -1)</f>
        <v>2.2650474194636727</v>
      </c>
      <c r="D51" s="62">
        <f>100*(POWER((D17/D12), 1/5) -1)</f>
        <v>3.2623566909095736</v>
      </c>
      <c r="E51" s="62">
        <f>100*(POWER((E17/E12), 1/5) -1)</f>
        <v>-0.30765196046482757</v>
      </c>
      <c r="F51" s="62">
        <f>100*(POWER((F17/F12), 1/5) -1)</f>
        <v>-2.0119501705767706</v>
      </c>
      <c r="G51" s="77">
        <f>100*(POWER((G17/G12), 1/5) -1)</f>
        <v>1.4728997491606277</v>
      </c>
    </row>
    <row r="52" spans="2:7" ht="20.100000000000001" customHeight="1" x14ac:dyDescent="0.2">
      <c r="B52" s="79" t="s">
        <v>115</v>
      </c>
      <c r="C52" s="364">
        <f>100*(POWER((C27/C17), 1/10) -1)</f>
        <v>0.77170811652416127</v>
      </c>
      <c r="D52" s="364">
        <f>100*(POWER((D27/D17), 1/10) -1)</f>
        <v>0.99057758552560937</v>
      </c>
      <c r="E52" s="364">
        <f>100*(POWER((E27/E17), 1/10) -1)</f>
        <v>-1.5411212280335596</v>
      </c>
      <c r="F52" s="364">
        <f>100*(POWER((F27/F17), 1/10) -1)</f>
        <v>-0.12293919027238642</v>
      </c>
      <c r="G52" s="244">
        <f>100*(POWER((G27/G17), 1/10) -1)</f>
        <v>0.5301508577487013</v>
      </c>
    </row>
    <row r="53" spans="2:7" ht="20.100000000000001" customHeight="1" x14ac:dyDescent="0.2">
      <c r="B53" s="192" t="s">
        <v>136</v>
      </c>
      <c r="C53" s="364">
        <f>100*(POWER((C30/C28), 1/2) -1)</f>
        <v>5.6795359245207955</v>
      </c>
      <c r="D53" s="414">
        <f t="shared" ref="D53:G53" si="10">100*(POWER((D30/D28), 1/2) -1)</f>
        <v>1.6659647052377213</v>
      </c>
      <c r="E53" s="414">
        <f t="shared" si="10"/>
        <v>-4.9618073377017069</v>
      </c>
      <c r="F53" s="414">
        <f t="shared" si="10"/>
        <v>-6.288072563779834</v>
      </c>
      <c r="G53" s="410">
        <f t="shared" si="10"/>
        <v>1.4776822383266053</v>
      </c>
    </row>
    <row r="54" spans="2:7" ht="15" customHeight="1" x14ac:dyDescent="0.2"/>
    <row r="55" spans="2:7" ht="15" customHeight="1" x14ac:dyDescent="0.2">
      <c r="B55" s="517" t="s">
        <v>52</v>
      </c>
      <c r="C55" s="517"/>
      <c r="D55" s="517"/>
      <c r="E55" s="517"/>
      <c r="F55" s="517"/>
      <c r="G55" s="517"/>
    </row>
    <row r="56" spans="2:7" ht="12" customHeight="1" x14ac:dyDescent="0.2">
      <c r="B56" s="518" t="s">
        <v>73</v>
      </c>
      <c r="C56" s="518"/>
      <c r="D56" s="518"/>
      <c r="E56" s="518"/>
      <c r="F56" s="518"/>
      <c r="G56" s="518"/>
    </row>
    <row r="57" spans="2:7" ht="15.75" customHeight="1" x14ac:dyDescent="0.2">
      <c r="B57" s="35"/>
      <c r="C57" s="75" t="s">
        <v>43</v>
      </c>
      <c r="D57" s="80" t="s">
        <v>44</v>
      </c>
      <c r="E57" s="510" t="s">
        <v>133</v>
      </c>
      <c r="F57" s="512" t="s">
        <v>47</v>
      </c>
      <c r="G57" s="34"/>
    </row>
    <row r="58" spans="2:7" ht="18.75" customHeight="1" x14ac:dyDescent="0.2">
      <c r="B58" s="35"/>
      <c r="C58" s="70"/>
      <c r="D58" s="76" t="s">
        <v>35</v>
      </c>
      <c r="E58" s="511"/>
      <c r="F58" s="513"/>
      <c r="G58" s="34"/>
    </row>
    <row r="59" spans="2:7" ht="12.75" customHeight="1" x14ac:dyDescent="0.2">
      <c r="B59" s="162">
        <v>1990</v>
      </c>
      <c r="C59" s="358">
        <f t="shared" ref="C59:F78" si="11">100*C7/$G7</f>
        <v>40.982067253842743</v>
      </c>
      <c r="D59" s="363">
        <f t="shared" si="11"/>
        <v>25.548964761519649</v>
      </c>
      <c r="E59" s="363">
        <f t="shared" si="11"/>
        <v>8.4808084465314266</v>
      </c>
      <c r="F59" s="362">
        <f t="shared" si="11"/>
        <v>24.988159538106181</v>
      </c>
      <c r="G59" s="34"/>
    </row>
    <row r="60" spans="2:7" ht="12.75" hidden="1" customHeight="1" x14ac:dyDescent="0.2">
      <c r="B60" s="73">
        <v>1991</v>
      </c>
      <c r="C60" s="361">
        <f t="shared" si="11"/>
        <v>41.926700956198715</v>
      </c>
      <c r="D60" s="360">
        <f t="shared" si="11"/>
        <v>25.021091499180521</v>
      </c>
      <c r="E60" s="360">
        <f t="shared" si="11"/>
        <v>8.2920567517905219</v>
      </c>
      <c r="F60" s="359">
        <f t="shared" si="11"/>
        <v>24.760150792830252</v>
      </c>
      <c r="G60" s="34"/>
    </row>
    <row r="61" spans="2:7" ht="12.75" hidden="1" customHeight="1" x14ac:dyDescent="0.2">
      <c r="B61" s="73">
        <v>1992</v>
      </c>
      <c r="C61" s="361">
        <f t="shared" si="11"/>
        <v>41.723330055554079</v>
      </c>
      <c r="D61" s="360">
        <f t="shared" si="11"/>
        <v>25.591450717765351</v>
      </c>
      <c r="E61" s="360">
        <f t="shared" si="11"/>
        <v>8.2344782207222309</v>
      </c>
      <c r="F61" s="359">
        <f t="shared" si="11"/>
        <v>24.450741005958349</v>
      </c>
      <c r="G61" s="34"/>
    </row>
    <row r="62" spans="2:7" ht="12.75" hidden="1" customHeight="1" x14ac:dyDescent="0.2">
      <c r="B62" s="73">
        <v>1993</v>
      </c>
      <c r="C62" s="361">
        <f t="shared" si="11"/>
        <v>42.436674542754226</v>
      </c>
      <c r="D62" s="360">
        <f t="shared" si="11"/>
        <v>25.80306182994893</v>
      </c>
      <c r="E62" s="360">
        <f t="shared" si="11"/>
        <v>7.7369868863690527</v>
      </c>
      <c r="F62" s="359">
        <f t="shared" si="11"/>
        <v>24.023276740927805</v>
      </c>
      <c r="G62" s="34"/>
    </row>
    <row r="63" spans="2:7" ht="12.75" hidden="1" customHeight="1" x14ac:dyDescent="0.2">
      <c r="B63" s="73">
        <v>1994</v>
      </c>
      <c r="C63" s="361">
        <f t="shared" si="11"/>
        <v>43.029191671774754</v>
      </c>
      <c r="D63" s="360">
        <f t="shared" si="11"/>
        <v>26.439178640286951</v>
      </c>
      <c r="E63" s="360">
        <f t="shared" si="11"/>
        <v>7.7088022150685278</v>
      </c>
      <c r="F63" s="359">
        <f t="shared" si="11"/>
        <v>22.822827472869758</v>
      </c>
    </row>
    <row r="64" spans="2:7" ht="12.75" customHeight="1" x14ac:dyDescent="0.2">
      <c r="B64" s="73">
        <v>1995</v>
      </c>
      <c r="C64" s="361">
        <f t="shared" si="11"/>
        <v>43.02557773976779</v>
      </c>
      <c r="D64" s="360">
        <f t="shared" si="11"/>
        <v>27.242324316478967</v>
      </c>
      <c r="E64" s="360">
        <f t="shared" si="11"/>
        <v>7.5713874967740971</v>
      </c>
      <c r="F64" s="359">
        <f t="shared" si="11"/>
        <v>22.160710446979152</v>
      </c>
      <c r="G64" s="61"/>
    </row>
    <row r="65" spans="2:7" ht="12.75" customHeight="1" x14ac:dyDescent="0.2">
      <c r="B65" s="73">
        <v>1996</v>
      </c>
      <c r="C65" s="361">
        <f t="shared" si="11"/>
        <v>42.964215516342705</v>
      </c>
      <c r="D65" s="360">
        <f t="shared" si="11"/>
        <v>27.696961485118255</v>
      </c>
      <c r="E65" s="360">
        <f t="shared" si="11"/>
        <v>7.1425073392642524</v>
      </c>
      <c r="F65" s="359">
        <f t="shared" si="11"/>
        <v>22.196315659274784</v>
      </c>
      <c r="G65" s="61"/>
    </row>
    <row r="66" spans="2:7" ht="12.75" customHeight="1" x14ac:dyDescent="0.2">
      <c r="B66" s="73">
        <v>1997</v>
      </c>
      <c r="C66" s="361">
        <f t="shared" si="11"/>
        <v>43.975237738717667</v>
      </c>
      <c r="D66" s="360">
        <f t="shared" si="11"/>
        <v>27.383544413326877</v>
      </c>
      <c r="E66" s="360">
        <f t="shared" si="11"/>
        <v>7.0115685103741168</v>
      </c>
      <c r="F66" s="359">
        <f t="shared" si="11"/>
        <v>21.629649337581341</v>
      </c>
      <c r="G66" s="81"/>
    </row>
    <row r="67" spans="2:7" ht="12.75" customHeight="1" x14ac:dyDescent="0.2">
      <c r="B67" s="73">
        <v>1998</v>
      </c>
      <c r="C67" s="361">
        <f t="shared" si="11"/>
        <v>44.288169587093257</v>
      </c>
      <c r="D67" s="360">
        <f t="shared" si="11"/>
        <v>28.213064347609919</v>
      </c>
      <c r="E67" s="360">
        <f t="shared" si="11"/>
        <v>6.9453868138839567</v>
      </c>
      <c r="F67" s="359">
        <f t="shared" si="11"/>
        <v>20.553379251412878</v>
      </c>
      <c r="G67" s="81"/>
    </row>
    <row r="68" spans="2:7" ht="12.75" customHeight="1" x14ac:dyDescent="0.2">
      <c r="B68" s="73">
        <v>1999</v>
      </c>
      <c r="C68" s="361">
        <f t="shared" si="11"/>
        <v>44.399824807461393</v>
      </c>
      <c r="D68" s="360">
        <f t="shared" si="11"/>
        <v>29.060359965265441</v>
      </c>
      <c r="E68" s="360">
        <f t="shared" si="11"/>
        <v>6.9916752749435052</v>
      </c>
      <c r="F68" s="359">
        <f t="shared" si="11"/>
        <v>19.548139952329656</v>
      </c>
      <c r="G68" s="81"/>
    </row>
    <row r="69" spans="2:7" ht="12.75" customHeight="1" x14ac:dyDescent="0.2">
      <c r="B69" s="73">
        <v>2000</v>
      </c>
      <c r="C69" s="361">
        <f t="shared" si="11"/>
        <v>44.731398359588766</v>
      </c>
      <c r="D69" s="360">
        <f t="shared" si="11"/>
        <v>29.730619933455447</v>
      </c>
      <c r="E69" s="360">
        <f t="shared" si="11"/>
        <v>6.9300160827090318</v>
      </c>
      <c r="F69" s="359">
        <f t="shared" si="11"/>
        <v>18.607965624246773</v>
      </c>
      <c r="G69" s="81"/>
    </row>
    <row r="70" spans="2:7" ht="12.75" customHeight="1" x14ac:dyDescent="0.2">
      <c r="B70" s="73">
        <v>2001</v>
      </c>
      <c r="C70" s="361">
        <f t="shared" si="11"/>
        <v>45.152753953606826</v>
      </c>
      <c r="D70" s="360">
        <f t="shared" si="11"/>
        <v>30.572525488363389</v>
      </c>
      <c r="E70" s="360">
        <f t="shared" si="11"/>
        <v>6.6086227547243261</v>
      </c>
      <c r="F70" s="359">
        <f t="shared" si="11"/>
        <v>17.666097803305455</v>
      </c>
      <c r="G70" s="81"/>
    </row>
    <row r="71" spans="2:7" ht="12.75" customHeight="1" x14ac:dyDescent="0.2">
      <c r="B71" s="73">
        <v>2002</v>
      </c>
      <c r="C71" s="361">
        <f t="shared" si="11"/>
        <v>46.146909471700958</v>
      </c>
      <c r="D71" s="360">
        <f t="shared" si="11"/>
        <v>30.518824237281297</v>
      </c>
      <c r="E71" s="360">
        <f t="shared" si="11"/>
        <v>6.5971617497976904</v>
      </c>
      <c r="F71" s="359">
        <f t="shared" si="11"/>
        <v>16.737104541220052</v>
      </c>
      <c r="G71" s="81"/>
    </row>
    <row r="72" spans="2:7" ht="12.75" customHeight="1" x14ac:dyDescent="0.2">
      <c r="B72" s="73">
        <v>2003</v>
      </c>
      <c r="C72" s="361">
        <f t="shared" si="11"/>
        <v>46.912381072425489</v>
      </c>
      <c r="D72" s="360">
        <f t="shared" si="11"/>
        <v>30.348893526712054</v>
      </c>
      <c r="E72" s="360">
        <f t="shared" si="11"/>
        <v>6.1677808059508177</v>
      </c>
      <c r="F72" s="359">
        <f t="shared" si="11"/>
        <v>16.570944594911634</v>
      </c>
      <c r="G72" s="81"/>
    </row>
    <row r="73" spans="2:7" ht="12.75" customHeight="1" x14ac:dyDescent="0.2">
      <c r="B73" s="73">
        <v>2004</v>
      </c>
      <c r="C73" s="361">
        <f t="shared" si="11"/>
        <v>45.606001896827685</v>
      </c>
      <c r="D73" s="360">
        <f t="shared" si="11"/>
        <v>31.649642751218988</v>
      </c>
      <c r="E73" s="360">
        <f t="shared" si="11"/>
        <v>6.3853133159052398</v>
      </c>
      <c r="F73" s="359">
        <f t="shared" si="11"/>
        <v>16.359042036048077</v>
      </c>
      <c r="G73" s="81"/>
    </row>
    <row r="74" spans="2:7" ht="12.75" customHeight="1" x14ac:dyDescent="0.2">
      <c r="B74" s="73">
        <v>2005</v>
      </c>
      <c r="C74" s="361">
        <f t="shared" si="11"/>
        <v>45.612541542681612</v>
      </c>
      <c r="D74" s="360">
        <f t="shared" si="11"/>
        <v>32.225996296129111</v>
      </c>
      <c r="E74" s="360">
        <f t="shared" si="11"/>
        <v>6.0663916414369483</v>
      </c>
      <c r="F74" s="359">
        <f t="shared" si="11"/>
        <v>16.09507051975233</v>
      </c>
      <c r="G74" s="81"/>
    </row>
    <row r="75" spans="2:7" ht="12.75" customHeight="1" x14ac:dyDescent="0.2">
      <c r="B75" s="73">
        <v>2006</v>
      </c>
      <c r="C75" s="361">
        <f t="shared" si="11"/>
        <v>44.099933862972485</v>
      </c>
      <c r="D75" s="360">
        <f t="shared" si="11"/>
        <v>34.019784423962221</v>
      </c>
      <c r="E75" s="360">
        <f t="shared" si="11"/>
        <v>6.1019391618980592</v>
      </c>
      <c r="F75" s="359">
        <f t="shared" si="11"/>
        <v>15.778342551167221</v>
      </c>
      <c r="G75" s="81"/>
    </row>
    <row r="76" spans="2:7" ht="12.75" customHeight="1" x14ac:dyDescent="0.2">
      <c r="B76" s="73">
        <v>2007</v>
      </c>
      <c r="C76" s="361">
        <f t="shared" si="11"/>
        <v>45.421283292800098</v>
      </c>
      <c r="D76" s="360">
        <f t="shared" si="11"/>
        <v>33.115852740908515</v>
      </c>
      <c r="E76" s="360">
        <f t="shared" si="11"/>
        <v>5.8874335796988069</v>
      </c>
      <c r="F76" s="359">
        <f t="shared" si="11"/>
        <v>15.575430386592581</v>
      </c>
      <c r="G76" s="81"/>
    </row>
    <row r="77" spans="2:7" ht="12.75" customHeight="1" x14ac:dyDescent="0.2">
      <c r="B77" s="73">
        <v>2008</v>
      </c>
      <c r="C77" s="361">
        <f t="shared" si="11"/>
        <v>47.665789804599598</v>
      </c>
      <c r="D77" s="360">
        <f t="shared" si="11"/>
        <v>29.952603827746525</v>
      </c>
      <c r="E77" s="360">
        <f t="shared" si="11"/>
        <v>5.3887489946378411</v>
      </c>
      <c r="F77" s="359">
        <f t="shared" si="11"/>
        <v>16.992857373016054</v>
      </c>
      <c r="G77" s="81"/>
    </row>
    <row r="78" spans="2:7" ht="12.75" customHeight="1" x14ac:dyDescent="0.2">
      <c r="B78" s="73">
        <v>2009</v>
      </c>
      <c r="C78" s="361">
        <f t="shared" si="11"/>
        <v>46.592010847567892</v>
      </c>
      <c r="D78" s="360">
        <f t="shared" si="11"/>
        <v>30.092931651640537</v>
      </c>
      <c r="E78" s="360">
        <f t="shared" si="11"/>
        <v>5.2974141448754883</v>
      </c>
      <c r="F78" s="359">
        <f t="shared" si="11"/>
        <v>18.017643355916082</v>
      </c>
      <c r="G78" s="81"/>
    </row>
    <row r="79" spans="2:7" ht="12.75" customHeight="1" thickBot="1" x14ac:dyDescent="0.25">
      <c r="B79" s="73">
        <v>2010</v>
      </c>
      <c r="C79" s="361">
        <f t="shared" ref="C79:F79" si="12">100*C27/$G27</f>
        <v>45.817916139908171</v>
      </c>
      <c r="D79" s="360">
        <f t="shared" si="12"/>
        <v>31.120687503339276</v>
      </c>
      <c r="E79" s="360">
        <f t="shared" si="12"/>
        <v>5.6275551266097823</v>
      </c>
      <c r="F79" s="359">
        <f t="shared" si="12"/>
        <v>17.433841230142757</v>
      </c>
      <c r="G79" s="81"/>
    </row>
    <row r="80" spans="2:7" ht="12.75" customHeight="1" thickTop="1" x14ac:dyDescent="0.2">
      <c r="B80" s="418">
        <v>2011</v>
      </c>
      <c r="C80" s="427">
        <f>100*C28/$G28</f>
        <v>44.036178631995476</v>
      </c>
      <c r="D80" s="426">
        <f>100*D28/$G28</f>
        <v>28.603730921424535</v>
      </c>
      <c r="E80" s="426">
        <f>100*E28/$G28</f>
        <v>8.1778782739777647</v>
      </c>
      <c r="F80" s="425">
        <f>100*F28/$G28</f>
        <v>19.182212172602224</v>
      </c>
      <c r="G80" s="245"/>
    </row>
    <row r="81" spans="2:7" s="419" customFormat="1" ht="12.75" customHeight="1" x14ac:dyDescent="0.2">
      <c r="B81" s="73">
        <v>2012</v>
      </c>
      <c r="C81" s="361">
        <f t="shared" ref="C81:F81" si="13">100*C29/$G29</f>
        <v>44.764117226590415</v>
      </c>
      <c r="D81" s="360">
        <f t="shared" si="13"/>
        <v>29.360257326661898</v>
      </c>
      <c r="E81" s="360">
        <f t="shared" si="13"/>
        <v>9.1493924231593979</v>
      </c>
      <c r="F81" s="359">
        <f t="shared" si="13"/>
        <v>16.726233023588275</v>
      </c>
      <c r="G81" s="245"/>
    </row>
    <row r="82" spans="2:7" ht="12.75" customHeight="1" x14ac:dyDescent="0.2">
      <c r="B82" s="156">
        <v>2013</v>
      </c>
      <c r="C82" s="411">
        <f t="shared" ref="C82:F82" si="14">100*C30/$G30</f>
        <v>47.758462946020131</v>
      </c>
      <c r="D82" s="412">
        <f t="shared" si="14"/>
        <v>28.7099725526075</v>
      </c>
      <c r="E82" s="412">
        <f t="shared" si="14"/>
        <v>7.1729185727355889</v>
      </c>
      <c r="F82" s="413">
        <f t="shared" si="14"/>
        <v>16.358645928636776</v>
      </c>
      <c r="G82" s="245"/>
    </row>
    <row r="83" spans="2:7" s="419" customFormat="1" ht="18.75" customHeight="1" x14ac:dyDescent="0.2">
      <c r="B83" s="289" t="s">
        <v>161</v>
      </c>
      <c r="C83" s="74"/>
      <c r="D83" s="74"/>
      <c r="E83" s="74"/>
      <c r="F83" s="74"/>
      <c r="G83" s="74"/>
    </row>
  </sheetData>
  <mergeCells count="16">
    <mergeCell ref="Q21:S21"/>
    <mergeCell ref="B33:G33"/>
    <mergeCell ref="B2:G2"/>
    <mergeCell ref="B3:G3"/>
    <mergeCell ref="D5:D6"/>
    <mergeCell ref="E5:E6"/>
    <mergeCell ref="B4:G4"/>
    <mergeCell ref="F5:F6"/>
    <mergeCell ref="B32:G32"/>
    <mergeCell ref="E57:E58"/>
    <mergeCell ref="F57:F58"/>
    <mergeCell ref="B34:G34"/>
    <mergeCell ref="E35:E36"/>
    <mergeCell ref="F35:F36"/>
    <mergeCell ref="B55:G55"/>
    <mergeCell ref="B56:G56"/>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V44"/>
  <sheetViews>
    <sheetView topLeftCell="A13" workbookViewId="0">
      <selection activeCell="S21" sqref="S21"/>
    </sheetView>
  </sheetViews>
  <sheetFormatPr defaultRowHeight="12.75" x14ac:dyDescent="0.2"/>
  <cols>
    <col min="1" max="1" width="0.7109375" customWidth="1"/>
    <col min="2" max="2" width="9.7109375" customWidth="1"/>
    <col min="3" max="17" width="6.7109375" customWidth="1"/>
  </cols>
  <sheetData>
    <row r="1" spans="2:14" ht="14.25" customHeight="1" x14ac:dyDescent="0.2">
      <c r="B1" s="467"/>
      <c r="C1" s="467"/>
      <c r="F1" s="19"/>
      <c r="N1" s="19" t="s">
        <v>91</v>
      </c>
    </row>
    <row r="2" spans="2:14" ht="12.75" customHeight="1" x14ac:dyDescent="0.2"/>
    <row r="3" spans="2:14" ht="12.75" customHeight="1" x14ac:dyDescent="0.2"/>
    <row r="4" spans="2:14" ht="12.75" customHeight="1" x14ac:dyDescent="0.2"/>
    <row r="5" spans="2:14" ht="12.75" customHeight="1" x14ac:dyDescent="0.2"/>
    <row r="6" spans="2:14" ht="12.75" customHeight="1" x14ac:dyDescent="0.2"/>
    <row r="7" spans="2:14" ht="12.75" customHeight="1" x14ac:dyDescent="0.2"/>
    <row r="8" spans="2:14" ht="12.75" customHeight="1" x14ac:dyDescent="0.2"/>
    <row r="9" spans="2:14" ht="12.75" customHeight="1" x14ac:dyDescent="0.2"/>
    <row r="10" spans="2:14" ht="12.75" customHeight="1" x14ac:dyDescent="0.2"/>
    <row r="11" spans="2:14" ht="12.75" customHeight="1" x14ac:dyDescent="0.2"/>
    <row r="12" spans="2:14" ht="12.75" customHeight="1" x14ac:dyDescent="0.2"/>
    <row r="13" spans="2:14" ht="12.75" customHeight="1" x14ac:dyDescent="0.2"/>
    <row r="14" spans="2:14" ht="12.75" customHeight="1" x14ac:dyDescent="0.2"/>
    <row r="15" spans="2:14" ht="12.75" customHeight="1" x14ac:dyDescent="0.2"/>
    <row r="16" spans="2:14" ht="12.75" customHeight="1" x14ac:dyDescent="0.2"/>
    <row r="17" spans="2:2" ht="12.75" customHeight="1" x14ac:dyDescent="0.2"/>
    <row r="18" spans="2:2" ht="12.75" customHeight="1" x14ac:dyDescent="0.2"/>
    <row r="19" spans="2:2" ht="12.75" customHeight="1" x14ac:dyDescent="0.2"/>
    <row r="20" spans="2:2" ht="12.75" customHeight="1" x14ac:dyDescent="0.2"/>
    <row r="21" spans="2:2" ht="12.75" customHeight="1" x14ac:dyDescent="0.2"/>
    <row r="22" spans="2:2" ht="12.75" customHeight="1" x14ac:dyDescent="0.2"/>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5" customHeight="1" x14ac:dyDescent="0.2">
      <c r="B32" s="11" t="s">
        <v>108</v>
      </c>
    </row>
    <row r="34" spans="2:22" x14ac:dyDescent="0.2">
      <c r="G34" s="1"/>
      <c r="H34" s="1"/>
      <c r="I34" s="1"/>
      <c r="J34" s="1"/>
      <c r="K34" s="1"/>
      <c r="L34" s="1"/>
      <c r="M34" s="1"/>
      <c r="N34" s="1"/>
      <c r="O34" s="1"/>
      <c r="P34" s="1"/>
      <c r="Q34" s="1"/>
      <c r="R34" s="1"/>
      <c r="S34" s="1"/>
    </row>
    <row r="37" spans="2:22" x14ac:dyDescent="0.2">
      <c r="C37" s="198">
        <v>1995</v>
      </c>
      <c r="D37" s="198">
        <v>1996</v>
      </c>
      <c r="E37" s="198">
        <v>1997</v>
      </c>
      <c r="F37" s="198">
        <v>1998</v>
      </c>
      <c r="G37" s="198">
        <v>1999</v>
      </c>
      <c r="H37" s="198">
        <v>2000</v>
      </c>
      <c r="I37" s="198">
        <v>2001</v>
      </c>
      <c r="J37" s="198">
        <v>2002</v>
      </c>
      <c r="K37" s="198">
        <v>2003</v>
      </c>
      <c r="L37" s="198">
        <v>2004</v>
      </c>
      <c r="M37" s="198">
        <v>2005</v>
      </c>
      <c r="N37" s="198">
        <v>2006</v>
      </c>
      <c r="O37" s="198">
        <v>2007</v>
      </c>
      <c r="P37" s="198">
        <v>2008</v>
      </c>
      <c r="Q37" s="198">
        <v>2009</v>
      </c>
      <c r="R37" s="198">
        <v>2010</v>
      </c>
      <c r="S37" s="198">
        <v>2011</v>
      </c>
      <c r="T37" s="198">
        <v>2012</v>
      </c>
      <c r="U37" s="198">
        <v>2013</v>
      </c>
      <c r="V37" s="198">
        <v>2014</v>
      </c>
    </row>
    <row r="38" spans="2:22" ht="24.95" customHeight="1" x14ac:dyDescent="0.2">
      <c r="B38" s="99" t="s">
        <v>43</v>
      </c>
      <c r="C38" s="199">
        <v>1288.6600000000001</v>
      </c>
      <c r="D38" s="199">
        <v>1302.5789999999997</v>
      </c>
      <c r="E38" s="199">
        <v>1351.6780000000001</v>
      </c>
      <c r="F38" s="199">
        <v>1414.2039999999997</v>
      </c>
      <c r="G38" s="199">
        <v>1460.6219999999998</v>
      </c>
      <c r="H38" s="199">
        <v>1509.4880000000001</v>
      </c>
      <c r="I38" s="199">
        <v>1552.5170000000003</v>
      </c>
      <c r="J38" s="199">
        <v>1602.835</v>
      </c>
      <c r="K38" s="199">
        <v>1607.683</v>
      </c>
      <c r="L38" s="199">
        <v>1750.92</v>
      </c>
      <c r="M38" s="199">
        <v>1794.5950000000003</v>
      </c>
      <c r="N38" s="199">
        <v>1857.7469999999998</v>
      </c>
      <c r="O38" s="199">
        <v>1924.9579999999996</v>
      </c>
      <c r="P38" s="199">
        <v>1891.1260000000002</v>
      </c>
      <c r="Q38" s="199">
        <v>1699.7570000000003</v>
      </c>
      <c r="R38" s="199">
        <v>1755.3109999999997</v>
      </c>
      <c r="S38" s="199">
        <v>1743.8540000000003</v>
      </c>
      <c r="T38" s="199">
        <v>1692.5810000000001</v>
      </c>
      <c r="U38" s="199">
        <v>1719.4480000000003</v>
      </c>
      <c r="V38" s="199">
        <v>1725.4899999999998</v>
      </c>
    </row>
    <row r="39" spans="2:22" ht="24.95" customHeight="1" x14ac:dyDescent="0.2">
      <c r="B39" s="100" t="s">
        <v>42</v>
      </c>
      <c r="C39" s="199">
        <v>930.37460046420847</v>
      </c>
      <c r="D39" s="199">
        <v>941.74043327965262</v>
      </c>
      <c r="E39" s="199">
        <v>968.53132491605652</v>
      </c>
      <c r="F39" s="199">
        <v>1000.1932877590793</v>
      </c>
      <c r="G39" s="199">
        <v>1029.4197149987926</v>
      </c>
      <c r="H39" s="199">
        <v>1066.7645942495374</v>
      </c>
      <c r="I39" s="199">
        <v>1083.0014982716002</v>
      </c>
      <c r="J39" s="199">
        <v>1100.0502474947664</v>
      </c>
      <c r="K39" s="199">
        <v>1118.7226871201387</v>
      </c>
      <c r="L39" s="199">
        <v>1158.5031019741932</v>
      </c>
      <c r="M39" s="199">
        <v>1177.8146841521752</v>
      </c>
      <c r="N39" s="199">
        <v>1190.8285082341656</v>
      </c>
      <c r="O39" s="199">
        <v>1173.585510663846</v>
      </c>
      <c r="P39" s="199">
        <v>1153.1223126038606</v>
      </c>
      <c r="Q39" s="199">
        <v>1035.192809289515</v>
      </c>
      <c r="R39" s="199">
        <v>1094.3039954260601</v>
      </c>
      <c r="S39" s="199">
        <v>1111.2850550979645</v>
      </c>
      <c r="T39" s="199">
        <v>1084.7573911563193</v>
      </c>
      <c r="U39" s="199">
        <v>1081.5026771627672</v>
      </c>
      <c r="V39" s="199">
        <v>1122.1246881611078</v>
      </c>
    </row>
    <row r="40" spans="2:22" ht="24.95" customHeight="1" x14ac:dyDescent="0.2">
      <c r="B40" s="100" t="s">
        <v>44</v>
      </c>
      <c r="C40" s="199">
        <v>388.11806800000005</v>
      </c>
      <c r="D40" s="199">
        <v>393.86300000000011</v>
      </c>
      <c r="E40" s="199">
        <v>411.2519999999999</v>
      </c>
      <c r="F40" s="199">
        <v>394.33752500000003</v>
      </c>
      <c r="G40" s="199">
        <v>385.31001500293985</v>
      </c>
      <c r="H40" s="199">
        <v>405.4637546422241</v>
      </c>
      <c r="I40" s="199">
        <v>388.04830225225697</v>
      </c>
      <c r="J40" s="199">
        <v>385.98319255303102</v>
      </c>
      <c r="K40" s="199">
        <v>394.37526875462396</v>
      </c>
      <c r="L40" s="199">
        <v>419.32637026043301</v>
      </c>
      <c r="M40" s="199">
        <v>416.02418045013309</v>
      </c>
      <c r="N40" s="199">
        <v>438.16492025294502</v>
      </c>
      <c r="O40" s="199">
        <v>452</v>
      </c>
      <c r="P40" s="199">
        <v>442.76299999999992</v>
      </c>
      <c r="Q40" s="199">
        <v>363.541</v>
      </c>
      <c r="R40" s="199">
        <v>393.53100000000001</v>
      </c>
      <c r="S40" s="199">
        <v>422.09699999999992</v>
      </c>
      <c r="T40" s="199">
        <v>406.67099999999999</v>
      </c>
      <c r="U40" s="199">
        <v>406.29700000000003</v>
      </c>
      <c r="V40" s="199">
        <v>410.79399999999998</v>
      </c>
    </row>
    <row r="41" spans="2:22" ht="24.95" customHeight="1" x14ac:dyDescent="0.2">
      <c r="B41" s="100" t="s">
        <v>49</v>
      </c>
      <c r="C41" s="199">
        <v>122.118208</v>
      </c>
      <c r="D41" s="199">
        <v>119.778492</v>
      </c>
      <c r="E41" s="199">
        <v>127.87012699999998</v>
      </c>
      <c r="F41" s="199">
        <v>131.06435455100001</v>
      </c>
      <c r="G41" s="199">
        <v>128.778899</v>
      </c>
      <c r="H41" s="199">
        <v>133.92488560000001</v>
      </c>
      <c r="I41" s="199">
        <v>132.6062436</v>
      </c>
      <c r="J41" s="199">
        <v>132.59402299999999</v>
      </c>
      <c r="K41" s="199">
        <v>123.6150852</v>
      </c>
      <c r="L41" s="199">
        <v>136.91315100000006</v>
      </c>
      <c r="M41" s="199">
        <v>138.78097439999996</v>
      </c>
      <c r="N41" s="199">
        <v>138.57696909999999</v>
      </c>
      <c r="O41" s="199">
        <v>145.07299999999998</v>
      </c>
      <c r="P41" s="199">
        <v>146.12899999999999</v>
      </c>
      <c r="Q41" s="199">
        <v>130.53200000000001</v>
      </c>
      <c r="R41" s="199">
        <v>155.52099999999999</v>
      </c>
      <c r="S41" s="199">
        <v>141.96900000000002</v>
      </c>
      <c r="T41" s="199">
        <v>149.98699999999999</v>
      </c>
      <c r="U41" s="199">
        <v>152.74900000000002</v>
      </c>
      <c r="V41" s="199">
        <v>150.87599999999998</v>
      </c>
    </row>
    <row r="42" spans="2:22" ht="24.95" customHeight="1" x14ac:dyDescent="0.2">
      <c r="B42" s="100" t="s">
        <v>74</v>
      </c>
      <c r="C42" s="199">
        <v>114.91029999999998</v>
      </c>
      <c r="D42" s="199">
        <v>119.3301</v>
      </c>
      <c r="E42" s="199">
        <v>118.90400000000001</v>
      </c>
      <c r="F42" s="199">
        <v>126.33999999999999</v>
      </c>
      <c r="G42" s="199">
        <v>124.85099999999998</v>
      </c>
      <c r="H42" s="199">
        <v>127.10669999999999</v>
      </c>
      <c r="I42" s="199">
        <v>133.93729999999999</v>
      </c>
      <c r="J42" s="199">
        <v>129.73159999999999</v>
      </c>
      <c r="K42" s="199">
        <v>131.68780000000001</v>
      </c>
      <c r="L42" s="199">
        <v>133.25936060000001</v>
      </c>
      <c r="M42" s="199">
        <v>137.58850379999998</v>
      </c>
      <c r="N42" s="199">
        <v>136.56624979999998</v>
      </c>
      <c r="O42" s="199">
        <v>128.45148842182226</v>
      </c>
      <c r="P42" s="199">
        <v>124.94496585313127</v>
      </c>
      <c r="Q42" s="199">
        <v>121.81921473696151</v>
      </c>
      <c r="R42" s="199">
        <v>121.13344560300447</v>
      </c>
      <c r="S42" s="199">
        <v>118.37031897026802</v>
      </c>
      <c r="T42" s="199">
        <v>114.89650906969668</v>
      </c>
      <c r="U42" s="199">
        <v>111.81004097523953</v>
      </c>
      <c r="V42" s="199">
        <v>112.88771480506807</v>
      </c>
    </row>
    <row r="43" spans="2:22" ht="24.95" customHeight="1" x14ac:dyDescent="0.2">
      <c r="B43" s="101" t="s">
        <v>45</v>
      </c>
      <c r="C43" s="199">
        <v>1.7663653688748147</v>
      </c>
      <c r="D43" s="199">
        <v>1.8193563299410593</v>
      </c>
      <c r="E43" s="199">
        <v>1.9253382520735483</v>
      </c>
      <c r="F43" s="199">
        <v>1.9871610399841666</v>
      </c>
      <c r="G43" s="199">
        <v>2.0313201742060367</v>
      </c>
      <c r="H43" s="199">
        <v>2.1637975768716484</v>
      </c>
      <c r="I43" s="199">
        <v>2.1726294037160225</v>
      </c>
      <c r="J43" s="199">
        <v>2.1196384426497774</v>
      </c>
      <c r="K43" s="199">
        <v>2.1373020963385256</v>
      </c>
      <c r="L43" s="199">
        <v>2.2167885379378918</v>
      </c>
      <c r="M43" s="199">
        <v>2.2786113258485106</v>
      </c>
      <c r="N43" s="199">
        <v>2.349265940603503</v>
      </c>
      <c r="O43" s="199">
        <v>2.4287523822028696</v>
      </c>
      <c r="P43" s="199">
        <v>2.3845932479809999</v>
      </c>
      <c r="Q43" s="199">
        <v>2.2267430481419006</v>
      </c>
      <c r="R43" s="199">
        <v>2.3132690379414003</v>
      </c>
      <c r="S43" s="199">
        <v>2.2832852674023001</v>
      </c>
      <c r="T43" s="199">
        <v>2.2653185590209999</v>
      </c>
      <c r="U43" s="199">
        <v>2.2431214734515006</v>
      </c>
      <c r="V43" s="199">
        <v>2.2431214734515006</v>
      </c>
    </row>
    <row r="44" spans="2:22" ht="24.95" customHeight="1" x14ac:dyDescent="0.2">
      <c r="B44" s="175" t="s">
        <v>46</v>
      </c>
      <c r="C44" s="200">
        <f t="shared" ref="C44:V44" si="0">SUM(C38:C43)</f>
        <v>2845.9475418330835</v>
      </c>
      <c r="D44" s="200">
        <f t="shared" si="0"/>
        <v>2879.1103816095938</v>
      </c>
      <c r="E44" s="200">
        <f t="shared" si="0"/>
        <v>2980.1607901681305</v>
      </c>
      <c r="F44" s="200">
        <f t="shared" si="0"/>
        <v>3068.1263283500634</v>
      </c>
      <c r="G44" s="200">
        <f t="shared" si="0"/>
        <v>3131.0129491759385</v>
      </c>
      <c r="H44" s="200">
        <f t="shared" si="0"/>
        <v>3244.9117320686332</v>
      </c>
      <c r="I44" s="200">
        <f t="shared" si="0"/>
        <v>3292.2829735275741</v>
      </c>
      <c r="J44" s="200">
        <f t="shared" si="0"/>
        <v>3353.3137014904473</v>
      </c>
      <c r="K44" s="200">
        <f t="shared" si="0"/>
        <v>3378.2211431711012</v>
      </c>
      <c r="L44" s="200">
        <f t="shared" si="0"/>
        <v>3601.1387723725647</v>
      </c>
      <c r="M44" s="200">
        <f t="shared" si="0"/>
        <v>3667.0819541281571</v>
      </c>
      <c r="N44" s="200">
        <f t="shared" si="0"/>
        <v>3764.2329133277144</v>
      </c>
      <c r="O44" s="200">
        <f t="shared" si="0"/>
        <v>3826.4967514678706</v>
      </c>
      <c r="P44" s="200">
        <f t="shared" si="0"/>
        <v>3760.4698717049723</v>
      </c>
      <c r="Q44" s="200">
        <f t="shared" si="0"/>
        <v>3353.0687670746192</v>
      </c>
      <c r="R44" s="200">
        <f t="shared" si="0"/>
        <v>3522.1137100670062</v>
      </c>
      <c r="S44" s="200">
        <f t="shared" si="0"/>
        <v>3539.8586593356349</v>
      </c>
      <c r="T44" s="200">
        <f t="shared" si="0"/>
        <v>3451.1582187850372</v>
      </c>
      <c r="U44" s="200">
        <f t="shared" si="0"/>
        <v>3474.049839611459</v>
      </c>
      <c r="V44" s="200">
        <f t="shared" si="0"/>
        <v>3524.415524439627</v>
      </c>
    </row>
  </sheetData>
  <mergeCells count="1">
    <mergeCell ref="B1:C1"/>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J64"/>
  <sheetViews>
    <sheetView topLeftCell="A37" zoomScale="110" zoomScaleNormal="110" workbookViewId="0">
      <selection activeCell="K1" sqref="K1:Q1048576"/>
    </sheetView>
  </sheetViews>
  <sheetFormatPr defaultRowHeight="12.75" x14ac:dyDescent="0.2"/>
  <cols>
    <col min="2" max="2" width="7.85546875" customWidth="1"/>
    <col min="3" max="9" width="6.7109375" customWidth="1"/>
  </cols>
  <sheetData>
    <row r="1" spans="1:10" ht="14.25" customHeight="1" x14ac:dyDescent="0.2">
      <c r="B1" s="31"/>
      <c r="C1" s="31"/>
      <c r="D1" s="31"/>
      <c r="E1" s="31"/>
      <c r="F1" s="31"/>
      <c r="G1" s="31"/>
      <c r="H1" s="31"/>
      <c r="I1" s="20" t="s">
        <v>92</v>
      </c>
    </row>
    <row r="2" spans="1:10" s="82" customFormat="1" ht="30" customHeight="1" x14ac:dyDescent="0.2">
      <c r="A2"/>
      <c r="B2" s="468" t="s">
        <v>116</v>
      </c>
      <c r="C2" s="468"/>
      <c r="D2" s="468"/>
      <c r="E2" s="468"/>
      <c r="F2" s="468"/>
      <c r="G2" s="468"/>
      <c r="H2" s="468"/>
      <c r="I2" s="468"/>
      <c r="J2"/>
    </row>
    <row r="3" spans="1:10" ht="15" customHeight="1" x14ac:dyDescent="0.2">
      <c r="B3" s="465" t="s">
        <v>48</v>
      </c>
      <c r="C3" s="465"/>
      <c r="D3" s="465"/>
      <c r="E3" s="465"/>
      <c r="F3" s="465"/>
      <c r="G3" s="465"/>
      <c r="H3" s="465"/>
      <c r="I3" s="465"/>
    </row>
    <row r="4" spans="1:10" ht="12" customHeight="1" x14ac:dyDescent="0.2">
      <c r="B4" s="473" t="s">
        <v>117</v>
      </c>
      <c r="C4" s="474"/>
      <c r="D4" s="474"/>
      <c r="E4" s="474"/>
      <c r="F4" s="474"/>
      <c r="G4" s="474"/>
      <c r="H4" s="474"/>
      <c r="I4" s="474"/>
    </row>
    <row r="5" spans="1:10" s="25" customFormat="1" ht="12" customHeight="1" x14ac:dyDescent="0.2">
      <c r="A5"/>
      <c r="B5" s="4"/>
      <c r="C5" s="470" t="s">
        <v>43</v>
      </c>
      <c r="D5" s="470" t="s">
        <v>44</v>
      </c>
      <c r="E5" s="470" t="s">
        <v>50</v>
      </c>
      <c r="F5" s="470" t="s">
        <v>83</v>
      </c>
      <c r="G5" s="138"/>
      <c r="H5" s="138"/>
      <c r="I5" s="470" t="s">
        <v>46</v>
      </c>
      <c r="J5"/>
    </row>
    <row r="6" spans="1:10" s="25" customFormat="1" ht="12" customHeight="1" x14ac:dyDescent="0.2">
      <c r="A6"/>
      <c r="B6" s="4"/>
      <c r="C6" s="471"/>
      <c r="D6" s="471"/>
      <c r="E6" s="471"/>
      <c r="F6" s="471"/>
      <c r="G6" s="440" t="s">
        <v>152</v>
      </c>
      <c r="H6" s="140" t="s">
        <v>45</v>
      </c>
      <c r="I6" s="471"/>
      <c r="J6"/>
    </row>
    <row r="7" spans="1:10" s="25" customFormat="1" ht="12" customHeight="1" x14ac:dyDescent="0.2">
      <c r="A7"/>
      <c r="B7" s="32"/>
      <c r="C7" s="472"/>
      <c r="D7" s="472"/>
      <c r="E7" s="472"/>
      <c r="F7" s="472"/>
      <c r="G7" s="139"/>
      <c r="H7" s="139"/>
      <c r="I7" s="472"/>
      <c r="J7"/>
    </row>
    <row r="8" spans="1:10" s="25" customFormat="1" ht="12" customHeight="1" x14ac:dyDescent="0.2">
      <c r="A8"/>
      <c r="B8" s="141">
        <v>1995</v>
      </c>
      <c r="C8" s="122">
        <v>1288.6600000000001</v>
      </c>
      <c r="D8" s="123">
        <v>388.11806800000005</v>
      </c>
      <c r="E8" s="124">
        <v>122.118208</v>
      </c>
      <c r="F8" s="124">
        <v>114.91029999999998</v>
      </c>
      <c r="G8" s="124">
        <v>930.37460046420847</v>
      </c>
      <c r="H8" s="371">
        <v>1.7663653688748147</v>
      </c>
      <c r="I8" s="372">
        <f t="shared" ref="I8:I22" si="0">SUM(C8:H8)</f>
        <v>2845.9475418330835</v>
      </c>
      <c r="J8"/>
    </row>
    <row r="9" spans="1:10" s="25" customFormat="1" ht="12.75" customHeight="1" x14ac:dyDescent="0.2">
      <c r="A9"/>
      <c r="B9" s="142">
        <v>1996</v>
      </c>
      <c r="C9" s="126">
        <v>1302.5789999999997</v>
      </c>
      <c r="D9" s="127">
        <v>393.86300000000011</v>
      </c>
      <c r="E9" s="128">
        <v>119.778492</v>
      </c>
      <c r="F9" s="128">
        <v>119.3301</v>
      </c>
      <c r="G9" s="128">
        <v>941.74043327965262</v>
      </c>
      <c r="H9" s="373">
        <v>1.8193563299410593</v>
      </c>
      <c r="I9" s="374">
        <f t="shared" si="0"/>
        <v>2879.1103816095933</v>
      </c>
      <c r="J9"/>
    </row>
    <row r="10" spans="1:10" s="25" customFormat="1" ht="12.75" customHeight="1" x14ac:dyDescent="0.2">
      <c r="A10"/>
      <c r="B10" s="142">
        <v>1997</v>
      </c>
      <c r="C10" s="126">
        <v>1351.6780000000001</v>
      </c>
      <c r="D10" s="127">
        <v>411.2519999999999</v>
      </c>
      <c r="E10" s="128">
        <v>127.87012699999998</v>
      </c>
      <c r="F10" s="128">
        <v>118.90400000000001</v>
      </c>
      <c r="G10" s="128">
        <v>968.53132491605652</v>
      </c>
      <c r="H10" s="373">
        <v>1.9253382520735483</v>
      </c>
      <c r="I10" s="374">
        <f t="shared" si="0"/>
        <v>2980.16079016813</v>
      </c>
      <c r="J10"/>
    </row>
    <row r="11" spans="1:10" s="26" customFormat="1" ht="12.75" customHeight="1" x14ac:dyDescent="0.2">
      <c r="A11"/>
      <c r="B11" s="142">
        <v>1998</v>
      </c>
      <c r="C11" s="126">
        <v>1414.2039999999997</v>
      </c>
      <c r="D11" s="127">
        <v>394.33752500000003</v>
      </c>
      <c r="E11" s="128">
        <v>131.06435455100001</v>
      </c>
      <c r="F11" s="128">
        <v>126.33999999999999</v>
      </c>
      <c r="G11" s="128">
        <v>1000.1932877590793</v>
      </c>
      <c r="H11" s="373">
        <v>1.9871610399841666</v>
      </c>
      <c r="I11" s="374">
        <f t="shared" si="0"/>
        <v>3068.126328350063</v>
      </c>
      <c r="J11"/>
    </row>
    <row r="12" spans="1:10" s="26" customFormat="1" ht="12.75" customHeight="1" x14ac:dyDescent="0.2">
      <c r="A12"/>
      <c r="B12" s="142">
        <v>1999</v>
      </c>
      <c r="C12" s="126">
        <v>1460.6219999999998</v>
      </c>
      <c r="D12" s="127">
        <v>385.31001500293985</v>
      </c>
      <c r="E12" s="128">
        <v>128.778899</v>
      </c>
      <c r="F12" s="128">
        <v>124.85099999999998</v>
      </c>
      <c r="G12" s="128">
        <v>1029.4197149987926</v>
      </c>
      <c r="H12" s="373">
        <v>2.0313201742060367</v>
      </c>
      <c r="I12" s="374">
        <f t="shared" si="0"/>
        <v>3131.0129491759385</v>
      </c>
      <c r="J12"/>
    </row>
    <row r="13" spans="1:10" s="26" customFormat="1" ht="12.75" customHeight="1" x14ac:dyDescent="0.2">
      <c r="A13"/>
      <c r="B13" s="142">
        <v>2000</v>
      </c>
      <c r="C13" s="126">
        <v>1509.4880000000001</v>
      </c>
      <c r="D13" s="127">
        <v>405.4637546422241</v>
      </c>
      <c r="E13" s="128">
        <v>133.92488560000001</v>
      </c>
      <c r="F13" s="128">
        <v>127.10669999999999</v>
      </c>
      <c r="G13" s="128">
        <v>1066.7645942495374</v>
      </c>
      <c r="H13" s="373">
        <v>2.1637975768716484</v>
      </c>
      <c r="I13" s="374">
        <f t="shared" si="0"/>
        <v>3244.9117320686332</v>
      </c>
      <c r="J13"/>
    </row>
    <row r="14" spans="1:10" s="26" customFormat="1" ht="12.75" customHeight="1" x14ac:dyDescent="0.2">
      <c r="A14"/>
      <c r="B14" s="142">
        <v>2001</v>
      </c>
      <c r="C14" s="126">
        <v>1552.5170000000003</v>
      </c>
      <c r="D14" s="127">
        <v>388.04830225225697</v>
      </c>
      <c r="E14" s="128">
        <v>132.6062436</v>
      </c>
      <c r="F14" s="128">
        <v>133.93729999999999</v>
      </c>
      <c r="G14" s="128">
        <v>1083.0014982716002</v>
      </c>
      <c r="H14" s="373">
        <v>2.1726294037160225</v>
      </c>
      <c r="I14" s="374">
        <f t="shared" si="0"/>
        <v>3292.2829735275736</v>
      </c>
      <c r="J14"/>
    </row>
    <row r="15" spans="1:10" s="26" customFormat="1" ht="12.75" customHeight="1" x14ac:dyDescent="0.2">
      <c r="A15"/>
      <c r="B15" s="142">
        <v>2002</v>
      </c>
      <c r="C15" s="126">
        <v>1602.835</v>
      </c>
      <c r="D15" s="127">
        <v>385.98319255303102</v>
      </c>
      <c r="E15" s="128">
        <v>132.59402299999999</v>
      </c>
      <c r="F15" s="128">
        <v>129.73159999999999</v>
      </c>
      <c r="G15" s="128">
        <v>1100.0502474947664</v>
      </c>
      <c r="H15" s="373">
        <v>2.1196384426497774</v>
      </c>
      <c r="I15" s="374">
        <f t="shared" si="0"/>
        <v>3353.3137014904473</v>
      </c>
      <c r="J15"/>
    </row>
    <row r="16" spans="1:10" s="26" customFormat="1" ht="12.75" customHeight="1" x14ac:dyDescent="0.2">
      <c r="A16"/>
      <c r="B16" s="142">
        <v>2003</v>
      </c>
      <c r="C16" s="126">
        <v>1607.683</v>
      </c>
      <c r="D16" s="127">
        <v>394.37526875462396</v>
      </c>
      <c r="E16" s="128">
        <v>123.6150852</v>
      </c>
      <c r="F16" s="128">
        <v>131.68780000000001</v>
      </c>
      <c r="G16" s="128">
        <v>1118.7226871201387</v>
      </c>
      <c r="H16" s="373">
        <v>2.1373020963385256</v>
      </c>
      <c r="I16" s="374">
        <f t="shared" si="0"/>
        <v>3378.2211431711012</v>
      </c>
      <c r="J16"/>
    </row>
    <row r="17" spans="1:10" s="26" customFormat="1" ht="12.75" customHeight="1" x14ac:dyDescent="0.2">
      <c r="A17"/>
      <c r="B17" s="142">
        <v>2004</v>
      </c>
      <c r="C17" s="126">
        <v>1750.92</v>
      </c>
      <c r="D17" s="127">
        <v>419.32637026043301</v>
      </c>
      <c r="E17" s="128">
        <v>136.91315100000006</v>
      </c>
      <c r="F17" s="128">
        <v>133.25936060000001</v>
      </c>
      <c r="G17" s="128">
        <v>1158.5031019741932</v>
      </c>
      <c r="H17" s="373">
        <v>2.2167885379378918</v>
      </c>
      <c r="I17" s="374">
        <f t="shared" si="0"/>
        <v>3601.1387723725647</v>
      </c>
      <c r="J17"/>
    </row>
    <row r="18" spans="1:10" s="26" customFormat="1" ht="12.75" customHeight="1" x14ac:dyDescent="0.2">
      <c r="A18"/>
      <c r="B18" s="142">
        <v>2005</v>
      </c>
      <c r="C18" s="126">
        <v>1794.5950000000003</v>
      </c>
      <c r="D18" s="127">
        <v>416.02418045013309</v>
      </c>
      <c r="E18" s="128">
        <v>138.78097439999996</v>
      </c>
      <c r="F18" s="128">
        <v>137.58850379999998</v>
      </c>
      <c r="G18" s="375">
        <v>1177.8146841521752</v>
      </c>
      <c r="H18" s="373">
        <v>2.2786113258485106</v>
      </c>
      <c r="I18" s="374">
        <f t="shared" si="0"/>
        <v>3667.0819541281571</v>
      </c>
      <c r="J18"/>
    </row>
    <row r="19" spans="1:10" s="26" customFormat="1" ht="12.75" customHeight="1" x14ac:dyDescent="0.2">
      <c r="A19"/>
      <c r="B19" s="142">
        <v>2006</v>
      </c>
      <c r="C19" s="126">
        <v>1857.7469999999998</v>
      </c>
      <c r="D19" s="127">
        <v>438.16492025294502</v>
      </c>
      <c r="E19" s="128">
        <v>138.57696909999999</v>
      </c>
      <c r="F19" s="128">
        <v>136.56624979999998</v>
      </c>
      <c r="G19" s="375">
        <v>1190.8285082341656</v>
      </c>
      <c r="H19" s="373">
        <v>2.349265940603503</v>
      </c>
      <c r="I19" s="374">
        <f t="shared" si="0"/>
        <v>3764.232913327714</v>
      </c>
      <c r="J19"/>
    </row>
    <row r="20" spans="1:10" s="26" customFormat="1" ht="12.75" customHeight="1" x14ac:dyDescent="0.2">
      <c r="A20"/>
      <c r="B20" s="142">
        <v>2007</v>
      </c>
      <c r="C20" s="126">
        <v>1924.9579999999996</v>
      </c>
      <c r="D20" s="127">
        <v>452</v>
      </c>
      <c r="E20" s="128">
        <v>145.07299999999998</v>
      </c>
      <c r="F20" s="128">
        <v>128.45148842182226</v>
      </c>
      <c r="G20" s="375">
        <v>1173.585510663846</v>
      </c>
      <c r="H20" s="373">
        <v>2.4287523822028696</v>
      </c>
      <c r="I20" s="374">
        <f t="shared" si="0"/>
        <v>3826.4967514678706</v>
      </c>
      <c r="J20"/>
    </row>
    <row r="21" spans="1:10" s="26" customFormat="1" ht="12.75" customHeight="1" x14ac:dyDescent="0.2">
      <c r="A21"/>
      <c r="B21" s="142">
        <v>2008</v>
      </c>
      <c r="C21" s="126">
        <v>1891.1260000000002</v>
      </c>
      <c r="D21" s="127">
        <v>442.76299999999992</v>
      </c>
      <c r="E21" s="128">
        <v>146.12899999999999</v>
      </c>
      <c r="F21" s="128">
        <v>124.94496585313127</v>
      </c>
      <c r="G21" s="375">
        <v>1153.1223126038606</v>
      </c>
      <c r="H21" s="373">
        <v>2.3845932479809999</v>
      </c>
      <c r="I21" s="374">
        <f t="shared" si="0"/>
        <v>3760.4698717049723</v>
      </c>
      <c r="J21"/>
    </row>
    <row r="22" spans="1:10" s="26" customFormat="1" ht="12.75" customHeight="1" x14ac:dyDescent="0.2">
      <c r="A22"/>
      <c r="B22" s="142">
        <v>2009</v>
      </c>
      <c r="C22" s="126">
        <v>1699.7570000000003</v>
      </c>
      <c r="D22" s="127">
        <v>363.541</v>
      </c>
      <c r="E22" s="128">
        <v>130.53200000000001</v>
      </c>
      <c r="F22" s="128">
        <v>121.81921473696151</v>
      </c>
      <c r="G22" s="375">
        <v>1035.192809289515</v>
      </c>
      <c r="H22" s="373">
        <v>2.2267430481419006</v>
      </c>
      <c r="I22" s="374">
        <f t="shared" si="0"/>
        <v>3353.0687670746188</v>
      </c>
      <c r="J22"/>
    </row>
    <row r="23" spans="1:10" s="26" customFormat="1" ht="12.75" customHeight="1" x14ac:dyDescent="0.2">
      <c r="A23"/>
      <c r="B23" s="142">
        <v>2010</v>
      </c>
      <c r="C23" s="126">
        <v>1755.3109999999997</v>
      </c>
      <c r="D23" s="127">
        <v>393.53100000000001</v>
      </c>
      <c r="E23" s="128">
        <v>155.52099999999999</v>
      </c>
      <c r="F23" s="128">
        <v>121.13344560300447</v>
      </c>
      <c r="G23" s="375">
        <v>1094.3039954260601</v>
      </c>
      <c r="H23" s="373">
        <v>2.3132690379414003</v>
      </c>
      <c r="I23" s="374">
        <f>SUM(C23:H23)</f>
        <v>3522.1137100670057</v>
      </c>
      <c r="J23"/>
    </row>
    <row r="24" spans="1:10" s="26" customFormat="1" ht="12.75" customHeight="1" x14ac:dyDescent="0.2">
      <c r="A24"/>
      <c r="B24" s="142">
        <v>2011</v>
      </c>
      <c r="C24" s="126">
        <v>1743.8540000000003</v>
      </c>
      <c r="D24" s="127">
        <v>422.09699999999992</v>
      </c>
      <c r="E24" s="128">
        <v>141.96900000000002</v>
      </c>
      <c r="F24" s="128">
        <v>118.37031897026802</v>
      </c>
      <c r="G24" s="375">
        <v>1111.2850550979645</v>
      </c>
      <c r="H24" s="373">
        <v>2.2832852674023001</v>
      </c>
      <c r="I24" s="374">
        <f>SUM(C24:H24)</f>
        <v>3539.8586593356345</v>
      </c>
      <c r="J24"/>
    </row>
    <row r="25" spans="1:10" s="26" customFormat="1" ht="12.75" customHeight="1" x14ac:dyDescent="0.2">
      <c r="A25"/>
      <c r="B25" s="142">
        <v>2012</v>
      </c>
      <c r="C25" s="126">
        <v>1692.5810000000001</v>
      </c>
      <c r="D25" s="128">
        <v>406.67099999999999</v>
      </c>
      <c r="E25" s="128">
        <v>149.98699999999999</v>
      </c>
      <c r="F25" s="128">
        <v>114.89650906969668</v>
      </c>
      <c r="G25" s="375">
        <v>1084.7573911563193</v>
      </c>
      <c r="H25" s="373">
        <v>2.2653185590209999</v>
      </c>
      <c r="I25" s="374">
        <f>SUM(C25:H25)</f>
        <v>3451.1582187850368</v>
      </c>
      <c r="J25"/>
    </row>
    <row r="26" spans="1:10" s="26" customFormat="1" ht="12.75" customHeight="1" x14ac:dyDescent="0.2">
      <c r="A26"/>
      <c r="B26" s="142">
        <v>2013</v>
      </c>
      <c r="C26" s="126">
        <v>1719.4480000000003</v>
      </c>
      <c r="D26" s="128">
        <v>406.29700000000003</v>
      </c>
      <c r="E26" s="128">
        <v>152.74900000000002</v>
      </c>
      <c r="F26" s="128">
        <v>111.81004097523953</v>
      </c>
      <c r="G26" s="375">
        <v>1081.5026771627672</v>
      </c>
      <c r="H26" s="373">
        <v>2.2431214734515006</v>
      </c>
      <c r="I26" s="374">
        <f>SUM(C26:H26)</f>
        <v>3474.049839611459</v>
      </c>
      <c r="J26"/>
    </row>
    <row r="27" spans="1:10" s="26" customFormat="1" ht="12.75" customHeight="1" x14ac:dyDescent="0.2">
      <c r="A27" s="419"/>
      <c r="B27" s="142">
        <v>2014</v>
      </c>
      <c r="C27" s="126">
        <v>1725.4899999999998</v>
      </c>
      <c r="D27" s="128">
        <v>410.79399999999998</v>
      </c>
      <c r="E27" s="128">
        <v>150.87599999999998</v>
      </c>
      <c r="F27" s="128">
        <v>112.88771480506807</v>
      </c>
      <c r="G27" s="375">
        <v>1122.1246881611078</v>
      </c>
      <c r="H27" s="373">
        <v>2.2431214734515006</v>
      </c>
      <c r="I27" s="374">
        <f>SUM(C27:H27)</f>
        <v>3524.415524439627</v>
      </c>
      <c r="J27" s="419"/>
    </row>
    <row r="28" spans="1:10" s="26" customFormat="1" ht="23.1" customHeight="1" x14ac:dyDescent="0.2">
      <c r="A28"/>
      <c r="B28" s="191" t="s">
        <v>149</v>
      </c>
      <c r="C28" s="136">
        <f>C27/C8-1</f>
        <v>0.33898002576319564</v>
      </c>
      <c r="D28" s="137">
        <f t="shared" ref="D28:I28" si="1">D27/D8-1</f>
        <v>5.8425344939107449E-2</v>
      </c>
      <c r="E28" s="137">
        <f t="shared" si="1"/>
        <v>0.2354914346597683</v>
      </c>
      <c r="F28" s="137">
        <f t="shared" si="1"/>
        <v>-1.7601426459872727E-2</v>
      </c>
      <c r="G28" s="137">
        <f t="shared" si="1"/>
        <v>0.20609987375109551</v>
      </c>
      <c r="H28" s="137">
        <f t="shared" si="1"/>
        <v>0.26990797769115149</v>
      </c>
      <c r="I28" s="132">
        <f t="shared" si="1"/>
        <v>0.23839792288284412</v>
      </c>
      <c r="J28"/>
    </row>
    <row r="29" spans="1:10" s="33" customFormat="1" ht="17.25" customHeight="1" x14ac:dyDescent="0.2">
      <c r="A29"/>
      <c r="B29" s="79" t="s">
        <v>51</v>
      </c>
      <c r="C29" s="133">
        <f>(POWER((C27/C8), 1/19) -1)</f>
        <v>1.5482213437611358E-2</v>
      </c>
      <c r="D29" s="134">
        <f t="shared" ref="D29:I29" si="2">(POWER((D27/D8), 1/19) -1)</f>
        <v>2.9930111932641168E-3</v>
      </c>
      <c r="E29" s="134">
        <f t="shared" si="2"/>
        <v>1.1192105748481618E-2</v>
      </c>
      <c r="F29" s="134">
        <f t="shared" si="2"/>
        <v>-9.3420407549771323E-4</v>
      </c>
      <c r="G29" s="134">
        <f t="shared" si="2"/>
        <v>9.911529082859083E-3</v>
      </c>
      <c r="H29" s="134">
        <f t="shared" si="2"/>
        <v>1.2655433842842179E-2</v>
      </c>
      <c r="I29" s="135">
        <f t="shared" si="2"/>
        <v>1.1317167761584201E-2</v>
      </c>
      <c r="J29"/>
    </row>
    <row r="30" spans="1:10" s="26" customFormat="1" ht="23.1" customHeight="1" x14ac:dyDescent="0.2">
      <c r="A30"/>
      <c r="B30" s="191" t="s">
        <v>150</v>
      </c>
      <c r="C30" s="136">
        <f>C27/C13-1</f>
        <v>0.14309620215596253</v>
      </c>
      <c r="D30" s="137">
        <f t="shared" ref="D30:I30" si="3">D27/D13-1</f>
        <v>1.3146046463460737E-2</v>
      </c>
      <c r="E30" s="137">
        <f t="shared" si="3"/>
        <v>0.12657180421739311</v>
      </c>
      <c r="F30" s="137">
        <f t="shared" si="3"/>
        <v>-0.11186652784575413</v>
      </c>
      <c r="G30" s="137">
        <f t="shared" si="3"/>
        <v>5.1895323682462413E-2</v>
      </c>
      <c r="H30" s="137">
        <f t="shared" si="3"/>
        <v>3.6659573625429598E-2</v>
      </c>
      <c r="I30" s="132">
        <f t="shared" si="3"/>
        <v>8.6136023241781601E-2</v>
      </c>
      <c r="J30"/>
    </row>
    <row r="31" spans="1:10" s="33" customFormat="1" ht="23.1" customHeight="1" x14ac:dyDescent="0.2">
      <c r="A31"/>
      <c r="B31" s="79" t="s">
        <v>51</v>
      </c>
      <c r="C31" s="133">
        <f>(POWER((C27/C13), 1/14) -1)</f>
        <v>9.5986708169846224E-3</v>
      </c>
      <c r="D31" s="134">
        <f t="shared" ref="D31:I31" si="4">(POWER((D27/D13), 1/14) -1)</f>
        <v>9.3332006516599897E-4</v>
      </c>
      <c r="E31" s="134">
        <f t="shared" si="4"/>
        <v>8.5491383477622751E-3</v>
      </c>
      <c r="F31" s="134">
        <f t="shared" si="4"/>
        <v>-8.4380014429545902E-3</v>
      </c>
      <c r="G31" s="134">
        <f t="shared" si="4"/>
        <v>3.6203668363796737E-3</v>
      </c>
      <c r="H31" s="134">
        <f t="shared" si="4"/>
        <v>2.5749950006033195E-3</v>
      </c>
      <c r="I31" s="135">
        <f t="shared" si="4"/>
        <v>5.9193408449584872E-3</v>
      </c>
      <c r="J31"/>
    </row>
    <row r="32" spans="1:10" s="33" customFormat="1" ht="23.1" customHeight="1" x14ac:dyDescent="0.2">
      <c r="A32"/>
      <c r="B32" s="192" t="s">
        <v>151</v>
      </c>
      <c r="C32" s="133">
        <f t="shared" ref="C32" si="5">C27/C26-1</f>
        <v>3.5139184203298868E-3</v>
      </c>
      <c r="D32" s="134">
        <f>D27/D26-1</f>
        <v>1.106825794923405E-2</v>
      </c>
      <c r="E32" s="134">
        <f t="shared" ref="E32:I32" si="6">E27/E26-1</f>
        <v>-1.2261946068387042E-2</v>
      </c>
      <c r="F32" s="134">
        <f t="shared" si="6"/>
        <v>9.6384351568854498E-3</v>
      </c>
      <c r="G32" s="134">
        <f t="shared" si="6"/>
        <v>3.7560712382986416E-2</v>
      </c>
      <c r="H32" s="134">
        <f t="shared" si="6"/>
        <v>0</v>
      </c>
      <c r="I32" s="135">
        <f t="shared" si="6"/>
        <v>1.4497686318110103E-2</v>
      </c>
      <c r="J32"/>
    </row>
    <row r="33" spans="1:10" s="33" customFormat="1" ht="23.1" customHeight="1" x14ac:dyDescent="0.2">
      <c r="A33"/>
      <c r="B33" s="178"/>
      <c r="C33" s="131"/>
      <c r="D33" s="131"/>
      <c r="E33" s="131"/>
      <c r="F33" s="131"/>
      <c r="G33" s="131"/>
      <c r="H33" s="131"/>
      <c r="I33" s="177"/>
      <c r="J33"/>
    </row>
    <row r="34" spans="1:10" ht="22.5" customHeight="1" x14ac:dyDescent="0.2">
      <c r="B34" s="475" t="s">
        <v>52</v>
      </c>
      <c r="C34" s="475"/>
      <c r="D34" s="475"/>
      <c r="E34" s="475"/>
      <c r="F34" s="475"/>
      <c r="G34" s="475"/>
      <c r="H34" s="475"/>
      <c r="I34" s="475"/>
    </row>
    <row r="35" spans="1:10" ht="15" customHeight="1" x14ac:dyDescent="0.2">
      <c r="B35" s="469" t="s">
        <v>53</v>
      </c>
      <c r="C35" s="469"/>
      <c r="D35" s="469"/>
      <c r="E35" s="469"/>
      <c r="F35" s="469"/>
      <c r="G35" s="469"/>
      <c r="H35" s="469"/>
      <c r="I35" s="469"/>
    </row>
    <row r="36" spans="1:10" ht="11.25" customHeight="1" x14ac:dyDescent="0.2">
      <c r="B36" s="4"/>
      <c r="C36" s="470" t="s">
        <v>43</v>
      </c>
      <c r="D36" s="470" t="s">
        <v>44</v>
      </c>
      <c r="E36" s="470" t="s">
        <v>50</v>
      </c>
      <c r="F36" s="470" t="s">
        <v>83</v>
      </c>
      <c r="G36" s="479" t="s">
        <v>152</v>
      </c>
      <c r="H36" s="470" t="s">
        <v>45</v>
      </c>
      <c r="I36" s="34"/>
    </row>
    <row r="37" spans="1:10" ht="12.75" customHeight="1" x14ac:dyDescent="0.2">
      <c r="B37" s="4"/>
      <c r="C37" s="471"/>
      <c r="D37" s="471"/>
      <c r="E37" s="471"/>
      <c r="F37" s="471"/>
      <c r="G37" s="471"/>
      <c r="H37" s="471"/>
      <c r="I37" s="34"/>
    </row>
    <row r="38" spans="1:10" ht="15.75" customHeight="1" x14ac:dyDescent="0.2">
      <c r="B38" s="4"/>
      <c r="C38" s="471"/>
      <c r="D38" s="471"/>
      <c r="E38" s="471"/>
      <c r="F38" s="471"/>
      <c r="G38" s="471"/>
      <c r="H38" s="471"/>
      <c r="I38" s="34"/>
    </row>
    <row r="39" spans="1:10" x14ac:dyDescent="0.2">
      <c r="B39" s="143">
        <v>1995</v>
      </c>
      <c r="C39" s="193">
        <f t="shared" ref="C39:H39" si="7">C8/$I8*100</f>
        <v>45.280525415797726</v>
      </c>
      <c r="D39" s="194">
        <f t="shared" si="7"/>
        <v>13.63756929089466</v>
      </c>
      <c r="E39" s="194">
        <f t="shared" si="7"/>
        <v>4.2909507714025992</v>
      </c>
      <c r="F39" s="194">
        <f t="shared" si="7"/>
        <v>4.0376815914880115</v>
      </c>
      <c r="G39" s="194">
        <f t="shared" si="7"/>
        <v>32.69120694561191</v>
      </c>
      <c r="H39" s="125">
        <f t="shared" si="7"/>
        <v>6.2065984805085107E-2</v>
      </c>
      <c r="I39" s="34"/>
    </row>
    <row r="40" spans="1:10" ht="12.75" customHeight="1" x14ac:dyDescent="0.2">
      <c r="B40" s="58">
        <v>1996</v>
      </c>
      <c r="C40" s="195">
        <f t="shared" ref="C40:H40" si="8">C9/$I9*100</f>
        <v>45.242412667477545</v>
      </c>
      <c r="D40" s="190">
        <f t="shared" si="8"/>
        <v>13.680024305973548</v>
      </c>
      <c r="E40" s="190">
        <f t="shared" si="8"/>
        <v>4.1602605014760403</v>
      </c>
      <c r="F40" s="190">
        <f t="shared" si="8"/>
        <v>4.1446865240813517</v>
      </c>
      <c r="G40" s="190">
        <f t="shared" si="8"/>
        <v>32.709424386610834</v>
      </c>
      <c r="H40" s="129">
        <f t="shared" si="8"/>
        <v>6.3191614380686961E-2</v>
      </c>
      <c r="I40" s="29"/>
      <c r="J40" s="232"/>
    </row>
    <row r="41" spans="1:10" ht="12.75" customHeight="1" x14ac:dyDescent="0.2">
      <c r="B41" s="58">
        <v>1997</v>
      </c>
      <c r="C41" s="195">
        <f t="shared" ref="C41:H41" si="9">C10/$I10*100</f>
        <v>45.3558749064591</v>
      </c>
      <c r="D41" s="190">
        <f t="shared" si="9"/>
        <v>13.799658104246065</v>
      </c>
      <c r="E41" s="190">
        <f t="shared" si="9"/>
        <v>4.290712347530282</v>
      </c>
      <c r="F41" s="190">
        <f t="shared" si="9"/>
        <v>3.9898518359236537</v>
      </c>
      <c r="G41" s="190">
        <f t="shared" si="9"/>
        <v>32.499297625528975</v>
      </c>
      <c r="H41" s="129">
        <f t="shared" si="9"/>
        <v>6.4605180311929661E-2</v>
      </c>
      <c r="I41" s="29"/>
      <c r="J41" s="232"/>
    </row>
    <row r="42" spans="1:10" ht="12.75" customHeight="1" x14ac:dyDescent="0.2">
      <c r="B42" s="58">
        <v>1998</v>
      </c>
      <c r="C42" s="195">
        <f t="shared" ref="C42:H42" si="10">C11/$I11*100</f>
        <v>46.093408440600683</v>
      </c>
      <c r="D42" s="190">
        <f t="shared" si="10"/>
        <v>12.852714745030127</v>
      </c>
      <c r="E42" s="190">
        <f t="shared" si="10"/>
        <v>4.2718043693292804</v>
      </c>
      <c r="F42" s="190">
        <f t="shared" si="10"/>
        <v>4.1178226213371554</v>
      </c>
      <c r="G42" s="190">
        <f t="shared" si="10"/>
        <v>32.599481922145955</v>
      </c>
      <c r="H42" s="129">
        <f t="shared" si="10"/>
        <v>6.4767901556804411E-2</v>
      </c>
      <c r="I42" s="29"/>
      <c r="J42" s="232"/>
    </row>
    <row r="43" spans="1:10" ht="12.75" customHeight="1" x14ac:dyDescent="0.2">
      <c r="B43" s="58">
        <v>1999</v>
      </c>
      <c r="C43" s="195">
        <f t="shared" ref="C43:H43" si="11">C12/$I12*100</f>
        <v>46.650142420663762</v>
      </c>
      <c r="D43" s="190">
        <f t="shared" si="11"/>
        <v>12.306241502589469</v>
      </c>
      <c r="E43" s="190">
        <f t="shared" si="11"/>
        <v>4.113010744139328</v>
      </c>
      <c r="F43" s="190">
        <f t="shared" si="11"/>
        <v>3.9875593626292707</v>
      </c>
      <c r="G43" s="190">
        <f t="shared" si="11"/>
        <v>32.878168557869714</v>
      </c>
      <c r="H43" s="129">
        <f t="shared" si="11"/>
        <v>6.4877412108457308E-2</v>
      </c>
      <c r="I43" s="29"/>
      <c r="J43" s="232"/>
    </row>
    <row r="44" spans="1:10" ht="12.75" customHeight="1" x14ac:dyDescent="0.2">
      <c r="B44" s="58">
        <v>2000</v>
      </c>
      <c r="C44" s="195">
        <f t="shared" ref="C44:H44" si="12">C13/$I13*100</f>
        <v>46.518615131564786</v>
      </c>
      <c r="D44" s="190">
        <f t="shared" si="12"/>
        <v>12.495370848924162</v>
      </c>
      <c r="E44" s="190">
        <f t="shared" si="12"/>
        <v>4.1272273842291183</v>
      </c>
      <c r="F44" s="190">
        <f t="shared" si="12"/>
        <v>3.9171080909177576</v>
      </c>
      <c r="G44" s="190">
        <f t="shared" si="12"/>
        <v>32.874995757418468</v>
      </c>
      <c r="H44" s="129">
        <f t="shared" si="12"/>
        <v>6.6682786945709185E-2</v>
      </c>
      <c r="I44" s="29"/>
      <c r="J44" s="232"/>
    </row>
    <row r="45" spans="1:10" ht="12.75" customHeight="1" x14ac:dyDescent="0.2">
      <c r="B45" s="58">
        <v>2001</v>
      </c>
      <c r="C45" s="195">
        <f t="shared" ref="C45:H45" si="13">C14/$I14*100</f>
        <v>47.156244237916432</v>
      </c>
      <c r="D45" s="190">
        <f t="shared" si="13"/>
        <v>11.786602347746431</v>
      </c>
      <c r="E45" s="190">
        <f t="shared" si="13"/>
        <v>4.0277899763250522</v>
      </c>
      <c r="F45" s="190">
        <f t="shared" si="13"/>
        <v>4.0682195630496052</v>
      </c>
      <c r="G45" s="190">
        <f t="shared" si="13"/>
        <v>32.895152299475626</v>
      </c>
      <c r="H45" s="129">
        <f t="shared" si="13"/>
        <v>6.5991575486845866E-2</v>
      </c>
      <c r="I45" s="81"/>
      <c r="J45" s="232"/>
    </row>
    <row r="46" spans="1:10" ht="12.75" customHeight="1" x14ac:dyDescent="0.2">
      <c r="B46" s="58">
        <v>2002</v>
      </c>
      <c r="C46" s="195">
        <f t="shared" ref="C46:H46" si="14">C15/$I15*100</f>
        <v>47.798540270407386</v>
      </c>
      <c r="D46" s="190">
        <f t="shared" si="14"/>
        <v>11.510500564903101</v>
      </c>
      <c r="E46" s="190">
        <f t="shared" si="14"/>
        <v>3.9541192624199137</v>
      </c>
      <c r="F46" s="190">
        <f t="shared" si="14"/>
        <v>3.8687582358411077</v>
      </c>
      <c r="G46" s="190">
        <f t="shared" si="14"/>
        <v>32.804871402452655</v>
      </c>
      <c r="H46" s="129">
        <f t="shared" si="14"/>
        <v>6.3210263975829697E-2</v>
      </c>
      <c r="I46" s="81"/>
      <c r="J46" s="232"/>
    </row>
    <row r="47" spans="1:10" ht="12.75" customHeight="1" x14ac:dyDescent="0.2">
      <c r="B47" s="58">
        <v>2003</v>
      </c>
      <c r="C47" s="195">
        <f t="shared" ref="C47:H47" si="15">C16/$I16*100</f>
        <v>47.589631698618895</v>
      </c>
      <c r="D47" s="190">
        <f t="shared" si="15"/>
        <v>11.674051284411416</v>
      </c>
      <c r="E47" s="190">
        <f t="shared" si="15"/>
        <v>3.6591768259422999</v>
      </c>
      <c r="F47" s="190">
        <f t="shared" si="15"/>
        <v>3.8981403057700965</v>
      </c>
      <c r="G47" s="190">
        <f t="shared" si="15"/>
        <v>33.115732798652886</v>
      </c>
      <c r="H47" s="129">
        <f t="shared" si="15"/>
        <v>6.3267086604409273E-2</v>
      </c>
      <c r="I47" s="81"/>
      <c r="J47" s="232"/>
    </row>
    <row r="48" spans="1:10" ht="12.75" customHeight="1" x14ac:dyDescent="0.2">
      <c r="B48" s="58">
        <v>2004</v>
      </c>
      <c r="C48" s="195">
        <f t="shared" ref="C48:H48" si="16">C17/$I17*100</f>
        <v>48.621286506168957</v>
      </c>
      <c r="D48" s="190">
        <f t="shared" si="16"/>
        <v>11.644271347648321</v>
      </c>
      <c r="E48" s="190">
        <f t="shared" si="16"/>
        <v>3.801940432020523</v>
      </c>
      <c r="F48" s="190">
        <f t="shared" si="16"/>
        <v>3.7004783493029278</v>
      </c>
      <c r="G48" s="190">
        <f t="shared" si="16"/>
        <v>32.170465377842909</v>
      </c>
      <c r="H48" s="129">
        <f t="shared" si="16"/>
        <v>6.1557987016351179E-2</v>
      </c>
      <c r="I48" s="81"/>
      <c r="J48" s="232"/>
    </row>
    <row r="49" spans="2:10" ht="12.75" customHeight="1" x14ac:dyDescent="0.2">
      <c r="B49" s="58">
        <v>2005</v>
      </c>
      <c r="C49" s="195">
        <f t="shared" ref="C49:H49" si="17">C18/$I18*100</f>
        <v>48.937957276350602</v>
      </c>
      <c r="D49" s="190">
        <f t="shared" si="17"/>
        <v>11.344829094473898</v>
      </c>
      <c r="E49" s="190">
        <f t="shared" si="17"/>
        <v>3.7845070313678035</v>
      </c>
      <c r="F49" s="190">
        <f t="shared" si="17"/>
        <v>3.7519887889364458</v>
      </c>
      <c r="G49" s="190">
        <f t="shared" si="17"/>
        <v>32.118580901260465</v>
      </c>
      <c r="H49" s="129">
        <f t="shared" si="17"/>
        <v>6.2136907610788508E-2</v>
      </c>
      <c r="I49" s="81"/>
      <c r="J49" s="232"/>
    </row>
    <row r="50" spans="2:10" ht="12.75" customHeight="1" x14ac:dyDescent="0.2">
      <c r="B50" s="58">
        <v>2006</v>
      </c>
      <c r="C50" s="195">
        <f t="shared" ref="C50:H50" si="18">C19/$I19*100</f>
        <v>49.352604973577108</v>
      </c>
      <c r="D50" s="190">
        <f t="shared" si="18"/>
        <v>11.640218082721981</v>
      </c>
      <c r="E50" s="190">
        <f t="shared" si="18"/>
        <v>3.6814132464904539</v>
      </c>
      <c r="F50" s="190">
        <f t="shared" si="18"/>
        <v>3.6279968042485082</v>
      </c>
      <c r="G50" s="190">
        <f t="shared" si="18"/>
        <v>31.635356675669453</v>
      </c>
      <c r="H50" s="129">
        <f t="shared" si="18"/>
        <v>6.2410217292496642E-2</v>
      </c>
      <c r="I50" s="36"/>
      <c r="J50" s="232"/>
    </row>
    <row r="51" spans="2:10" ht="12.75" customHeight="1" x14ac:dyDescent="0.2">
      <c r="B51" s="58">
        <v>2007</v>
      </c>
      <c r="C51" s="195">
        <f t="shared" ref="C51:H51" si="19">C20/$I20*100</f>
        <v>50.306014222057613</v>
      </c>
      <c r="D51" s="190">
        <f t="shared" si="19"/>
        <v>11.81237119374555</v>
      </c>
      <c r="E51" s="190">
        <f t="shared" si="19"/>
        <v>3.7912746154651504</v>
      </c>
      <c r="F51" s="190">
        <f t="shared" si="19"/>
        <v>3.3568952690877731</v>
      </c>
      <c r="G51" s="190">
        <f t="shared" si="19"/>
        <v>30.669972742395519</v>
      </c>
      <c r="H51" s="129">
        <f t="shared" si="19"/>
        <v>6.347195724839394E-2</v>
      </c>
      <c r="I51" s="36"/>
      <c r="J51" s="232"/>
    </row>
    <row r="52" spans="2:10" ht="12.75" customHeight="1" x14ac:dyDescent="0.2">
      <c r="B52" s="58">
        <v>2008</v>
      </c>
      <c r="C52" s="195">
        <f t="shared" ref="C52:H52" si="20">C21/$I21*100</f>
        <v>50.28961976878108</v>
      </c>
      <c r="D52" s="190">
        <f t="shared" si="20"/>
        <v>11.774140336331271</v>
      </c>
      <c r="E52" s="190">
        <f t="shared" si="20"/>
        <v>3.8859239665639458</v>
      </c>
      <c r="F52" s="190">
        <f t="shared" si="20"/>
        <v>3.3225892007075708</v>
      </c>
      <c r="G52" s="190">
        <f t="shared" si="20"/>
        <v>30.664314618775084</v>
      </c>
      <c r="H52" s="129">
        <f t="shared" si="20"/>
        <v>6.3412108841064616E-2</v>
      </c>
      <c r="I52" s="36"/>
      <c r="J52" s="232"/>
    </row>
    <row r="53" spans="2:10" ht="12.75" customHeight="1" x14ac:dyDescent="0.2">
      <c r="B53" s="58">
        <v>2009</v>
      </c>
      <c r="C53" s="195">
        <f t="shared" ref="C53:H53" si="21">C22/$I22*100</f>
        <v>50.692577995737068</v>
      </c>
      <c r="D53" s="190">
        <f t="shared" si="21"/>
        <v>10.842038301444409</v>
      </c>
      <c r="E53" s="190">
        <f t="shared" si="21"/>
        <v>3.8929115108451087</v>
      </c>
      <c r="F53" s="190">
        <f t="shared" si="21"/>
        <v>3.633066399745883</v>
      </c>
      <c r="G53" s="190">
        <f t="shared" si="21"/>
        <v>30.87299668454661</v>
      </c>
      <c r="H53" s="129">
        <f t="shared" si="21"/>
        <v>6.6409107680920607E-2</v>
      </c>
      <c r="I53" s="36"/>
      <c r="J53" s="232"/>
    </row>
    <row r="54" spans="2:10" ht="12.75" customHeight="1" x14ac:dyDescent="0.2">
      <c r="B54" s="58">
        <v>2010</v>
      </c>
      <c r="C54" s="195">
        <f t="shared" ref="C54:H54" si="22">C23/$I23*100</f>
        <v>49.836863443190936</v>
      </c>
      <c r="D54" s="190">
        <f t="shared" si="22"/>
        <v>11.173148637285573</v>
      </c>
      <c r="E54" s="190">
        <f t="shared" si="22"/>
        <v>4.4155587468821755</v>
      </c>
      <c r="F54" s="190">
        <f t="shared" si="22"/>
        <v>3.4392258619242591</v>
      </c>
      <c r="G54" s="190">
        <f t="shared" si="22"/>
        <v>31.069524879287378</v>
      </c>
      <c r="H54" s="129">
        <f t="shared" si="22"/>
        <v>6.5678431429671016E-2</v>
      </c>
      <c r="I54" s="36"/>
      <c r="J54" s="232"/>
    </row>
    <row r="55" spans="2:10" ht="12.75" customHeight="1" x14ac:dyDescent="0.2">
      <c r="B55" s="58">
        <v>2011</v>
      </c>
      <c r="C55" s="195">
        <f t="shared" ref="C55:H55" si="23">C24/$I24*100</f>
        <v>49.263379355583908</v>
      </c>
      <c r="D55" s="190">
        <f t="shared" si="23"/>
        <v>11.92412015905798</v>
      </c>
      <c r="E55" s="190">
        <f t="shared" si="23"/>
        <v>4.0105838583579194</v>
      </c>
      <c r="F55" s="190">
        <f t="shared" si="23"/>
        <v>3.3439278333356937</v>
      </c>
      <c r="G55" s="190">
        <f t="shared" si="23"/>
        <v>31.393486634478563</v>
      </c>
      <c r="H55" s="129">
        <f t="shared" si="23"/>
        <v>6.4502159185949828E-2</v>
      </c>
      <c r="I55" s="36"/>
      <c r="J55" s="232"/>
    </row>
    <row r="56" spans="2:10" ht="12.75" customHeight="1" x14ac:dyDescent="0.2">
      <c r="B56" s="58">
        <v>2012</v>
      </c>
      <c r="C56" s="195">
        <f>C25/$I25*100</f>
        <v>49.043854054186625</v>
      </c>
      <c r="D56" s="190">
        <f t="shared" ref="D56:H56" si="24">D25/$I25*100</f>
        <v>11.783609276052447</v>
      </c>
      <c r="E56" s="190">
        <f t="shared" si="24"/>
        <v>4.345990258679076</v>
      </c>
      <c r="F56" s="190">
        <f t="shared" si="24"/>
        <v>3.3292159265345256</v>
      </c>
      <c r="G56" s="190">
        <f t="shared" si="24"/>
        <v>31.431691113199751</v>
      </c>
      <c r="H56" s="129">
        <f t="shared" si="24"/>
        <v>6.5639371347584699E-2</v>
      </c>
      <c r="J56" s="232"/>
    </row>
    <row r="57" spans="2:10" ht="14.25" customHeight="1" x14ac:dyDescent="0.2">
      <c r="B57" s="58">
        <v>2013</v>
      </c>
      <c r="C57" s="195">
        <f>C26/$I26*100</f>
        <v>49.494051017768506</v>
      </c>
      <c r="D57" s="190">
        <f t="shared" ref="D57:H57" si="25">D26/$I26*100</f>
        <v>11.695197788107746</v>
      </c>
      <c r="E57" s="190">
        <f t="shared" si="25"/>
        <v>4.396856897628262</v>
      </c>
      <c r="F57" s="190">
        <f t="shared" si="25"/>
        <v>3.2184351444924717</v>
      </c>
      <c r="G57" s="190">
        <f t="shared" si="25"/>
        <v>31.130891239134424</v>
      </c>
      <c r="H57" s="129">
        <f t="shared" si="25"/>
        <v>6.4567912868583766E-2</v>
      </c>
      <c r="J57" s="232"/>
    </row>
    <row r="58" spans="2:10" s="419" customFormat="1" ht="14.25" customHeight="1" x14ac:dyDescent="0.2">
      <c r="B58" s="197">
        <v>2014</v>
      </c>
      <c r="C58" s="196">
        <f>C27/$I27*100</f>
        <v>48.958188614106398</v>
      </c>
      <c r="D58" s="196">
        <f t="shared" ref="D58:H58" si="26">D27/$I27*100</f>
        <v>11.655663106446996</v>
      </c>
      <c r="E58" s="196">
        <f t="shared" si="26"/>
        <v>4.2808800197867951</v>
      </c>
      <c r="F58" s="196">
        <f t="shared" si="26"/>
        <v>3.203019451658355</v>
      </c>
      <c r="G58" s="196">
        <f t="shared" si="26"/>
        <v>31.838603603345629</v>
      </c>
      <c r="H58" s="130">
        <f t="shared" si="26"/>
        <v>6.364520465583158E-2</v>
      </c>
      <c r="J58" s="232"/>
    </row>
    <row r="59" spans="2:10" ht="15" customHeight="1" x14ac:dyDescent="0.2">
      <c r="B59" s="176" t="s">
        <v>129</v>
      </c>
      <c r="G59" s="36"/>
      <c r="H59" s="36"/>
      <c r="I59" s="36"/>
    </row>
    <row r="60" spans="2:10" ht="12.75" customHeight="1" x14ac:dyDescent="0.2">
      <c r="B60" s="11" t="s">
        <v>84</v>
      </c>
      <c r="C60" s="12"/>
      <c r="D60" s="12"/>
      <c r="E60" s="12"/>
      <c r="F60" s="12"/>
      <c r="G60" s="27"/>
      <c r="H60" s="27"/>
      <c r="I60" s="27"/>
    </row>
    <row r="61" spans="2:10" ht="22.5" customHeight="1" x14ac:dyDescent="0.2">
      <c r="B61" s="477" t="s">
        <v>130</v>
      </c>
      <c r="C61" s="478"/>
      <c r="D61" s="478"/>
      <c r="E61" s="478"/>
      <c r="F61" s="478"/>
      <c r="G61" s="478"/>
      <c r="H61" s="478"/>
      <c r="I61" s="478"/>
      <c r="J61" s="478"/>
    </row>
    <row r="62" spans="2:10" ht="13.5" customHeight="1" x14ac:dyDescent="0.2">
      <c r="B62" s="477" t="s">
        <v>118</v>
      </c>
      <c r="C62" s="478"/>
      <c r="D62" s="478"/>
      <c r="E62" s="478"/>
      <c r="F62" s="478"/>
      <c r="G62" s="478"/>
      <c r="H62" s="478"/>
      <c r="I62" s="478"/>
      <c r="J62" s="478"/>
    </row>
    <row r="63" spans="2:10" ht="95.25" customHeight="1" x14ac:dyDescent="0.2">
      <c r="B63" s="476" t="s">
        <v>153</v>
      </c>
      <c r="C63" s="476"/>
      <c r="D63" s="476"/>
      <c r="E63" s="476"/>
      <c r="F63" s="476"/>
      <c r="G63" s="476"/>
      <c r="H63" s="476"/>
      <c r="I63" s="12"/>
    </row>
    <row r="64" spans="2:10" x14ac:dyDescent="0.2">
      <c r="C64" s="12"/>
      <c r="D64" s="12"/>
      <c r="E64" s="12"/>
      <c r="F64" s="12"/>
      <c r="G64" s="12"/>
      <c r="H64" s="12"/>
      <c r="I64" s="12"/>
    </row>
  </sheetData>
  <mergeCells count="19">
    <mergeCell ref="B63:H63"/>
    <mergeCell ref="B61:J61"/>
    <mergeCell ref="B62:J62"/>
    <mergeCell ref="C36:C38"/>
    <mergeCell ref="H36:H38"/>
    <mergeCell ref="D36:D38"/>
    <mergeCell ref="E36:E38"/>
    <mergeCell ref="F36:F38"/>
    <mergeCell ref="G36:G38"/>
    <mergeCell ref="B2:I2"/>
    <mergeCell ref="B3:I3"/>
    <mergeCell ref="B35:I35"/>
    <mergeCell ref="C5:C7"/>
    <mergeCell ref="D5:D7"/>
    <mergeCell ref="E5:E7"/>
    <mergeCell ref="F5:F7"/>
    <mergeCell ref="B4:I4"/>
    <mergeCell ref="I5:I7"/>
    <mergeCell ref="B34:I34"/>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B1:G47"/>
  <sheetViews>
    <sheetView topLeftCell="A25" workbookViewId="0">
      <selection activeCell="I1" sqref="I1:R1048576"/>
    </sheetView>
  </sheetViews>
  <sheetFormatPr defaultRowHeight="12.75" x14ac:dyDescent="0.2"/>
  <cols>
    <col min="2" max="2" width="8.5703125" customWidth="1"/>
    <col min="3" max="4" width="7.7109375" customWidth="1"/>
    <col min="5" max="5" width="8.28515625" customWidth="1"/>
    <col min="6" max="7" width="7.7109375" customWidth="1"/>
  </cols>
  <sheetData>
    <row r="1" spans="2:7" ht="14.25" customHeight="1" x14ac:dyDescent="0.2">
      <c r="B1" s="441"/>
      <c r="C1" s="31"/>
      <c r="D1" s="31"/>
      <c r="E1" s="31"/>
      <c r="F1" s="419"/>
      <c r="G1" s="19" t="s">
        <v>93</v>
      </c>
    </row>
    <row r="2" spans="2:7" x14ac:dyDescent="0.2">
      <c r="B2" s="481" t="s">
        <v>154</v>
      </c>
      <c r="C2" s="481"/>
      <c r="D2" s="481"/>
      <c r="E2" s="481"/>
      <c r="F2" s="481"/>
      <c r="G2" s="481"/>
    </row>
    <row r="3" spans="2:7" ht="20.25" customHeight="1" x14ac:dyDescent="0.2">
      <c r="B3" s="481"/>
      <c r="C3" s="481"/>
      <c r="D3" s="481"/>
      <c r="E3" s="481"/>
      <c r="F3" s="481"/>
      <c r="G3" s="481"/>
    </row>
    <row r="4" spans="2:7" ht="12.75" customHeight="1" x14ac:dyDescent="0.2">
      <c r="B4" s="482">
        <v>2014</v>
      </c>
      <c r="C4" s="482"/>
      <c r="D4" s="482"/>
      <c r="E4" s="482"/>
      <c r="F4" s="482"/>
      <c r="G4" s="482"/>
    </row>
    <row r="5" spans="2:7" ht="12.75" customHeight="1" x14ac:dyDescent="0.2">
      <c r="B5" s="480" t="s">
        <v>156</v>
      </c>
      <c r="C5" s="480"/>
      <c r="D5" s="480"/>
      <c r="E5" s="480"/>
      <c r="F5" s="480"/>
      <c r="G5" s="480"/>
    </row>
    <row r="6" spans="2:7" ht="33.75" x14ac:dyDescent="0.2">
      <c r="B6" s="61"/>
      <c r="C6" s="442" t="s">
        <v>43</v>
      </c>
      <c r="D6" s="443" t="s">
        <v>44</v>
      </c>
      <c r="E6" s="443" t="s">
        <v>50</v>
      </c>
      <c r="F6" s="444" t="s">
        <v>83</v>
      </c>
      <c r="G6" s="445"/>
    </row>
    <row r="7" spans="2:7" x14ac:dyDescent="0.2">
      <c r="B7" s="90" t="s">
        <v>120</v>
      </c>
      <c r="C7" s="446">
        <v>71.286020558512789</v>
      </c>
      <c r="D7" s="446">
        <v>17.486317644584268</v>
      </c>
      <c r="E7" s="446">
        <v>6.4223568526908759</v>
      </c>
      <c r="F7" s="446">
        <v>4.8053049442120832</v>
      </c>
      <c r="G7" s="90" t="s">
        <v>120</v>
      </c>
    </row>
    <row r="8" spans="2:7" x14ac:dyDescent="0.2">
      <c r="B8" s="91" t="s">
        <v>121</v>
      </c>
      <c r="C8" s="447">
        <v>74.809385327941314</v>
      </c>
      <c r="D8" s="93">
        <v>14.238771776785297</v>
      </c>
      <c r="E8" s="93">
        <v>6.9262082066948087</v>
      </c>
      <c r="F8" s="93">
        <v>4.0256346885785774</v>
      </c>
      <c r="G8" s="91" t="s">
        <v>121</v>
      </c>
    </row>
    <row r="9" spans="2:7" x14ac:dyDescent="0.2">
      <c r="B9" s="94" t="s">
        <v>122</v>
      </c>
      <c r="C9" s="448">
        <v>57.027049904969672</v>
      </c>
      <c r="D9" s="95">
        <v>30.629055980045116</v>
      </c>
      <c r="E9" s="95">
        <v>4.3832828025591599</v>
      </c>
      <c r="F9" s="95">
        <v>7.9606113124260469</v>
      </c>
      <c r="G9" s="94" t="s">
        <v>122</v>
      </c>
    </row>
    <row r="10" spans="2:7" x14ac:dyDescent="0.2">
      <c r="B10" s="16" t="s">
        <v>23</v>
      </c>
      <c r="C10" s="456">
        <v>71.22767245640388</v>
      </c>
      <c r="D10" s="455">
        <v>10.850348744623563</v>
      </c>
      <c r="E10" s="456">
        <v>15.576510265118248</v>
      </c>
      <c r="F10" s="456">
        <v>2.3454685338543264</v>
      </c>
      <c r="G10" s="16" t="s">
        <v>23</v>
      </c>
    </row>
    <row r="11" spans="2:7" x14ac:dyDescent="0.2">
      <c r="B11" s="91" t="s">
        <v>6</v>
      </c>
      <c r="C11" s="457">
        <v>53.212267766512909</v>
      </c>
      <c r="D11" s="457">
        <v>17.689425148522666</v>
      </c>
      <c r="E11" s="457">
        <v>26.099489154871769</v>
      </c>
      <c r="F11" s="457">
        <v>2.9988179300926765</v>
      </c>
      <c r="G11" s="91" t="s">
        <v>6</v>
      </c>
    </row>
    <row r="12" spans="2:7" x14ac:dyDescent="0.2">
      <c r="B12" s="17" t="s">
        <v>8</v>
      </c>
      <c r="C12" s="458">
        <v>68.952480386434161</v>
      </c>
      <c r="D12" s="455">
        <v>27.153537616905204</v>
      </c>
      <c r="E12" s="455">
        <v>5.0305030578869252E-2</v>
      </c>
      <c r="F12" s="455">
        <v>3.8436769660817514</v>
      </c>
      <c r="G12" s="17" t="s">
        <v>8</v>
      </c>
    </row>
    <row r="13" spans="2:7" x14ac:dyDescent="0.2">
      <c r="B13" s="91" t="s">
        <v>19</v>
      </c>
      <c r="C13" s="459">
        <v>80.039353536425736</v>
      </c>
      <c r="D13" s="457">
        <v>10.070642899043126</v>
      </c>
      <c r="E13" s="457">
        <v>0</v>
      </c>
      <c r="F13" s="457">
        <v>9.8900035645311419</v>
      </c>
      <c r="G13" s="91" t="s">
        <v>19</v>
      </c>
    </row>
    <row r="14" spans="2:7" x14ac:dyDescent="0.2">
      <c r="B14" s="17" t="s">
        <v>24</v>
      </c>
      <c r="C14" s="455">
        <v>69.273775320813513</v>
      </c>
      <c r="D14" s="455">
        <v>18.284947186677243</v>
      </c>
      <c r="E14" s="455">
        <v>9.5935539168626054</v>
      </c>
      <c r="F14" s="455">
        <v>2.8477235756466412</v>
      </c>
      <c r="G14" s="17" t="s">
        <v>24</v>
      </c>
    </row>
    <row r="15" spans="2:7" x14ac:dyDescent="0.2">
      <c r="B15" s="91" t="s">
        <v>9</v>
      </c>
      <c r="C15" s="457">
        <v>44.79616624211026</v>
      </c>
      <c r="D15" s="457">
        <v>55.20383375788974</v>
      </c>
      <c r="E15" s="457">
        <v>0</v>
      </c>
      <c r="F15" s="457">
        <v>0</v>
      </c>
      <c r="G15" s="91" t="s">
        <v>9</v>
      </c>
    </row>
    <row r="16" spans="2:7" x14ac:dyDescent="0.2">
      <c r="B16" s="17" t="s">
        <v>27</v>
      </c>
      <c r="C16" s="455">
        <v>98.903255953526809</v>
      </c>
      <c r="D16" s="456">
        <v>1.0967440464732043</v>
      </c>
      <c r="E16" s="456">
        <v>0</v>
      </c>
      <c r="F16" s="456">
        <v>0</v>
      </c>
      <c r="G16" s="17" t="s">
        <v>27</v>
      </c>
    </row>
    <row r="17" spans="2:7" x14ac:dyDescent="0.2">
      <c r="B17" s="91" t="s">
        <v>20</v>
      </c>
      <c r="C17" s="457">
        <v>97.093573755315049</v>
      </c>
      <c r="D17" s="457">
        <v>1.7226227397184248</v>
      </c>
      <c r="E17" s="457">
        <v>0</v>
      </c>
      <c r="F17" s="457">
        <v>1.1838035049665323</v>
      </c>
      <c r="G17" s="91" t="s">
        <v>20</v>
      </c>
    </row>
    <row r="18" spans="2:7" x14ac:dyDescent="0.2">
      <c r="B18" s="17" t="s">
        <v>25</v>
      </c>
      <c r="C18" s="456">
        <v>89.412561253583874</v>
      </c>
      <c r="D18" s="456">
        <v>5.7897046025353127</v>
      </c>
      <c r="E18" s="456">
        <v>0</v>
      </c>
      <c r="F18" s="456">
        <v>4.7977341438808017</v>
      </c>
      <c r="G18" s="17" t="s">
        <v>25</v>
      </c>
    </row>
    <row r="19" spans="2:7" x14ac:dyDescent="0.2">
      <c r="B19" s="91" t="s">
        <v>26</v>
      </c>
      <c r="C19" s="457">
        <v>83.286103415967489</v>
      </c>
      <c r="D19" s="457">
        <v>10.328409058171587</v>
      </c>
      <c r="E19" s="457">
        <v>2.8221431213050407</v>
      </c>
      <c r="F19" s="457">
        <v>3.5633444045558931</v>
      </c>
      <c r="G19" s="91" t="s">
        <v>26</v>
      </c>
    </row>
    <row r="20" spans="2:7" x14ac:dyDescent="0.2">
      <c r="B20" s="17" t="s">
        <v>37</v>
      </c>
      <c r="C20" s="455">
        <v>65.71393684704978</v>
      </c>
      <c r="D20" s="455">
        <v>18.397611501924924</v>
      </c>
      <c r="E20" s="455">
        <v>6.216465236138859</v>
      </c>
      <c r="F20" s="455">
        <v>9.6719864148864385</v>
      </c>
      <c r="G20" s="17" t="s">
        <v>37</v>
      </c>
    </row>
    <row r="21" spans="2:7" x14ac:dyDescent="0.2">
      <c r="B21" s="279" t="s">
        <v>28</v>
      </c>
      <c r="C21" s="454">
        <v>81.753101707065753</v>
      </c>
      <c r="D21" s="454">
        <v>12.335446516984142</v>
      </c>
      <c r="E21" s="454">
        <v>3.9331834251045493E-2</v>
      </c>
      <c r="F21" s="454">
        <v>5.872119941699057</v>
      </c>
      <c r="G21" s="279" t="s">
        <v>28</v>
      </c>
    </row>
    <row r="22" spans="2:7" x14ac:dyDescent="0.2">
      <c r="B22" s="17" t="s">
        <v>7</v>
      </c>
      <c r="C22" s="455">
        <v>100</v>
      </c>
      <c r="D22" s="455">
        <v>0</v>
      </c>
      <c r="E22" s="455">
        <v>0</v>
      </c>
      <c r="F22" s="455">
        <v>0</v>
      </c>
      <c r="G22" s="17" t="s">
        <v>7</v>
      </c>
    </row>
    <row r="23" spans="2:7" x14ac:dyDescent="0.2">
      <c r="B23" s="279" t="s">
        <v>11</v>
      </c>
      <c r="C23" s="454">
        <v>17.086727529186444</v>
      </c>
      <c r="D23" s="454">
        <v>73.883527987582454</v>
      </c>
      <c r="E23" s="454">
        <v>0</v>
      </c>
      <c r="F23" s="454">
        <v>9.029744483231104</v>
      </c>
      <c r="G23" s="279" t="s">
        <v>11</v>
      </c>
    </row>
    <row r="24" spans="2:7" x14ac:dyDescent="0.2">
      <c r="B24" s="17" t="s">
        <v>12</v>
      </c>
      <c r="C24" s="455">
        <v>31.098310322760668</v>
      </c>
      <c r="D24" s="455">
        <v>66.275142813786687</v>
      </c>
      <c r="E24" s="455">
        <v>0</v>
      </c>
      <c r="F24" s="455">
        <v>2.6265468634526492</v>
      </c>
      <c r="G24" s="17" t="s">
        <v>12</v>
      </c>
    </row>
    <row r="25" spans="2:7" x14ac:dyDescent="0.2">
      <c r="B25" s="279" t="s">
        <v>29</v>
      </c>
      <c r="C25" s="454">
        <v>85.513677230020974</v>
      </c>
      <c r="D25" s="454">
        <v>6.1118765439262379</v>
      </c>
      <c r="E25" s="454">
        <v>8.374446226052779</v>
      </c>
      <c r="F25" s="454">
        <v>0</v>
      </c>
      <c r="G25" s="279" t="s">
        <v>29</v>
      </c>
    </row>
    <row r="26" spans="2:7" x14ac:dyDescent="0.2">
      <c r="B26" s="17" t="s">
        <v>10</v>
      </c>
      <c r="C26" s="455">
        <v>58.421845249969586</v>
      </c>
      <c r="D26" s="455">
        <v>28.602932138074564</v>
      </c>
      <c r="E26" s="455">
        <v>5.0994201714956722</v>
      </c>
      <c r="F26" s="455">
        <v>7.875802440460185</v>
      </c>
      <c r="G26" s="17" t="s">
        <v>10</v>
      </c>
    </row>
    <row r="27" spans="2:7" x14ac:dyDescent="0.2">
      <c r="B27" s="279" t="s">
        <v>13</v>
      </c>
      <c r="C27" s="454">
        <v>100</v>
      </c>
      <c r="D27" s="454">
        <v>0</v>
      </c>
      <c r="E27" s="454">
        <v>0</v>
      </c>
      <c r="F27" s="454">
        <v>0</v>
      </c>
      <c r="G27" s="279" t="s">
        <v>13</v>
      </c>
    </row>
    <row r="28" spans="2:7" x14ac:dyDescent="0.2">
      <c r="B28" s="17" t="s">
        <v>21</v>
      </c>
      <c r="C28" s="455">
        <v>45.087122774458898</v>
      </c>
      <c r="D28" s="455">
        <v>5.5261339880974703</v>
      </c>
      <c r="E28" s="455">
        <v>44.15801182416353</v>
      </c>
      <c r="F28" s="455">
        <v>5.2287314132800997</v>
      </c>
      <c r="G28" s="17" t="s">
        <v>21</v>
      </c>
    </row>
    <row r="29" spans="2:7" x14ac:dyDescent="0.2">
      <c r="B29" s="279" t="s">
        <v>30</v>
      </c>
      <c r="C29" s="454">
        <v>55.732591512332483</v>
      </c>
      <c r="D29" s="454">
        <v>29.331272859562183</v>
      </c>
      <c r="E29" s="454">
        <v>3.1157500251423285</v>
      </c>
      <c r="F29" s="454">
        <v>11.820385602963018</v>
      </c>
      <c r="G29" s="279" t="s">
        <v>30</v>
      </c>
    </row>
    <row r="30" spans="2:7" x14ac:dyDescent="0.2">
      <c r="B30" s="17" t="s">
        <v>14</v>
      </c>
      <c r="C30" s="455">
        <v>65.716302367856116</v>
      </c>
      <c r="D30" s="455">
        <v>23.750191496165517</v>
      </c>
      <c r="E30" s="455">
        <v>5.2174246891103129E-2</v>
      </c>
      <c r="F30" s="455">
        <v>10.481331889087246</v>
      </c>
      <c r="G30" s="17" t="s">
        <v>14</v>
      </c>
    </row>
    <row r="31" spans="2:7" x14ac:dyDescent="0.2">
      <c r="B31" s="279" t="s">
        <v>31</v>
      </c>
      <c r="C31" s="454">
        <v>85.582005748418794</v>
      </c>
      <c r="D31" s="454">
        <v>12.510989463318992</v>
      </c>
      <c r="E31" s="454">
        <v>0</v>
      </c>
      <c r="F31" s="454">
        <v>1.9070047882622156</v>
      </c>
      <c r="G31" s="279" t="s">
        <v>31</v>
      </c>
    </row>
    <row r="32" spans="2:7" x14ac:dyDescent="0.2">
      <c r="B32" s="17" t="s">
        <v>15</v>
      </c>
      <c r="C32" s="455">
        <v>39.817785806568843</v>
      </c>
      <c r="D32" s="455">
        <v>29.513542661078045</v>
      </c>
      <c r="E32" s="455">
        <v>28.300657346239223</v>
      </c>
      <c r="F32" s="455">
        <v>2.3680141861138941</v>
      </c>
      <c r="G32" s="17" t="s">
        <v>15</v>
      </c>
    </row>
    <row r="33" spans="2:7" x14ac:dyDescent="0.2">
      <c r="B33" s="279" t="s">
        <v>17</v>
      </c>
      <c r="C33" s="454">
        <v>64.039641195424664</v>
      </c>
      <c r="D33" s="454">
        <v>35.960358804575336</v>
      </c>
      <c r="E33" s="454">
        <v>0</v>
      </c>
      <c r="F33" s="454">
        <v>0</v>
      </c>
      <c r="G33" s="279" t="s">
        <v>17</v>
      </c>
    </row>
    <row r="34" spans="2:7" x14ac:dyDescent="0.2">
      <c r="B34" s="17" t="s">
        <v>16</v>
      </c>
      <c r="C34" s="455">
        <v>47.747838825938686</v>
      </c>
      <c r="D34" s="455">
        <v>32.47346855353446</v>
      </c>
      <c r="E34" s="455">
        <v>3.3286316730035881</v>
      </c>
      <c r="F34" s="455">
        <v>16.450060947523259</v>
      </c>
      <c r="G34" s="17" t="s">
        <v>16</v>
      </c>
    </row>
    <row r="35" spans="2:7" x14ac:dyDescent="0.2">
      <c r="B35" s="279" t="s">
        <v>32</v>
      </c>
      <c r="C35" s="454">
        <v>68.823122822662086</v>
      </c>
      <c r="D35" s="454">
        <v>30.741240138797082</v>
      </c>
      <c r="E35" s="454">
        <v>0.43563703854083607</v>
      </c>
      <c r="F35" s="454">
        <v>0</v>
      </c>
      <c r="G35" s="279" t="s">
        <v>32</v>
      </c>
    </row>
    <row r="36" spans="2:7" x14ac:dyDescent="0.2">
      <c r="B36" s="17" t="s">
        <v>33</v>
      </c>
      <c r="C36" s="455">
        <v>69.631394047021558</v>
      </c>
      <c r="D36" s="455">
        <v>30.368605952978438</v>
      </c>
      <c r="E36" s="455">
        <v>0</v>
      </c>
      <c r="F36" s="455">
        <v>0</v>
      </c>
      <c r="G36" s="17" t="s">
        <v>33</v>
      </c>
    </row>
    <row r="37" spans="2:7" x14ac:dyDescent="0.2">
      <c r="B37" s="279" t="s">
        <v>22</v>
      </c>
      <c r="C37" s="454">
        <v>82.242589659289493</v>
      </c>
      <c r="D37" s="454">
        <v>12.172013626937707</v>
      </c>
      <c r="E37" s="454">
        <v>9.2899349814951571E-2</v>
      </c>
      <c r="F37" s="454">
        <v>5.4924973639578472</v>
      </c>
      <c r="G37" s="279" t="s">
        <v>22</v>
      </c>
    </row>
    <row r="38" spans="2:7" x14ac:dyDescent="0.2">
      <c r="B38" s="16" t="s">
        <v>123</v>
      </c>
      <c r="C38" s="194"/>
      <c r="D38" s="194"/>
      <c r="E38" s="194"/>
      <c r="F38" s="451"/>
      <c r="G38" s="16" t="s">
        <v>123</v>
      </c>
    </row>
    <row r="39" spans="2:7" x14ac:dyDescent="0.2">
      <c r="B39" s="279" t="s">
        <v>113</v>
      </c>
      <c r="C39" s="299"/>
      <c r="D39" s="299"/>
      <c r="E39" s="299"/>
      <c r="F39" s="450"/>
      <c r="G39" s="279" t="s">
        <v>113</v>
      </c>
    </row>
    <row r="40" spans="2:7" x14ac:dyDescent="0.2">
      <c r="B40" s="17" t="s">
        <v>3</v>
      </c>
      <c r="C40" s="190"/>
      <c r="D40" s="190"/>
      <c r="E40" s="190"/>
      <c r="F40" s="449"/>
      <c r="G40" s="17" t="s">
        <v>3</v>
      </c>
    </row>
    <row r="41" spans="2:7" x14ac:dyDescent="0.2">
      <c r="B41" s="279" t="s">
        <v>114</v>
      </c>
      <c r="C41" s="299"/>
      <c r="D41" s="299"/>
      <c r="E41" s="299"/>
      <c r="F41" s="299"/>
      <c r="G41" s="279" t="s">
        <v>114</v>
      </c>
    </row>
    <row r="42" spans="2:7" x14ac:dyDescent="0.2">
      <c r="B42" s="18" t="s">
        <v>18</v>
      </c>
      <c r="C42" s="196"/>
      <c r="D42" s="196"/>
      <c r="E42" s="196"/>
      <c r="F42" s="196"/>
      <c r="G42" s="18" t="s">
        <v>18</v>
      </c>
    </row>
    <row r="43" spans="2:7" x14ac:dyDescent="0.2">
      <c r="B43" s="297" t="s">
        <v>4</v>
      </c>
      <c r="C43" s="306"/>
      <c r="D43" s="306"/>
      <c r="E43" s="450"/>
      <c r="F43" s="450"/>
      <c r="G43" s="297" t="s">
        <v>4</v>
      </c>
    </row>
    <row r="44" spans="2:7" x14ac:dyDescent="0.2">
      <c r="B44" s="17" t="s">
        <v>34</v>
      </c>
      <c r="C44" s="190">
        <v>78.894145442029213</v>
      </c>
      <c r="D44" s="190">
        <v>12.564107532490931</v>
      </c>
      <c r="E44" s="190">
        <v>0</v>
      </c>
      <c r="F44" s="190">
        <v>8.5417470254798467</v>
      </c>
      <c r="G44" s="17" t="s">
        <v>34</v>
      </c>
    </row>
    <row r="45" spans="2:7" x14ac:dyDescent="0.2">
      <c r="B45" s="325" t="s">
        <v>5</v>
      </c>
      <c r="C45" s="452">
        <v>63.305055304194454</v>
      </c>
      <c r="D45" s="452">
        <v>35.879462915477738</v>
      </c>
      <c r="E45" s="452">
        <v>0.12487569643529972</v>
      </c>
      <c r="F45" s="452">
        <v>0.69060608389248956</v>
      </c>
      <c r="G45" s="325" t="s">
        <v>5</v>
      </c>
    </row>
    <row r="47" spans="2:7" x14ac:dyDescent="0.2">
      <c r="B47" s="453" t="s">
        <v>155</v>
      </c>
    </row>
  </sheetData>
  <mergeCells count="3">
    <mergeCell ref="B5:G5"/>
    <mergeCell ref="B2:G3"/>
    <mergeCell ref="B4:G4"/>
  </mergeCells>
  <phoneticPr fontId="7" type="noConversion"/>
  <printOptions horizontalCentered="1"/>
  <pageMargins left="0.6692913385826772" right="0.27559055118110237" top="0.51181102362204722" bottom="0.27559055118110237" header="0"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Y87"/>
  <sheetViews>
    <sheetView topLeftCell="U1" workbookViewId="0">
      <selection activeCell="Z1" sqref="Z1:Z1048576"/>
    </sheetView>
  </sheetViews>
  <sheetFormatPr defaultRowHeight="12.75" x14ac:dyDescent="0.2"/>
  <cols>
    <col min="1" max="1" width="3.7109375" customWidth="1"/>
    <col min="2" max="2" width="5.5703125" customWidth="1"/>
    <col min="3" max="3" width="7.7109375" customWidth="1"/>
    <col min="4" max="7" width="6.7109375" customWidth="1"/>
    <col min="8" max="13" width="7.7109375" customWidth="1"/>
    <col min="14" max="22" width="8.28515625" customWidth="1"/>
    <col min="23" max="23" width="6.42578125" customWidth="1"/>
    <col min="24" max="24" width="5.7109375" customWidth="1"/>
    <col min="25" max="25" width="6" customWidth="1"/>
  </cols>
  <sheetData>
    <row r="1" spans="1:25" ht="14.25" customHeight="1" x14ac:dyDescent="0.2">
      <c r="B1" s="37"/>
      <c r="C1" s="38"/>
      <c r="D1" s="38"/>
      <c r="E1" s="38"/>
      <c r="F1" s="38"/>
      <c r="G1" s="38"/>
      <c r="H1" s="38"/>
      <c r="I1" s="38"/>
      <c r="J1" s="38"/>
      <c r="W1" s="39" t="s">
        <v>94</v>
      </c>
    </row>
    <row r="2" spans="1:25" s="82" customFormat="1" ht="33" customHeight="1" x14ac:dyDescent="0.2">
      <c r="B2" s="483" t="s">
        <v>41</v>
      </c>
      <c r="C2" s="483"/>
      <c r="D2" s="483"/>
      <c r="E2" s="483"/>
      <c r="F2" s="483"/>
      <c r="G2" s="483"/>
      <c r="H2" s="483"/>
      <c r="I2" s="483"/>
      <c r="J2" s="483"/>
      <c r="K2" s="483"/>
      <c r="L2" s="483"/>
      <c r="M2" s="483"/>
      <c r="N2" s="483"/>
      <c r="O2" s="483"/>
      <c r="P2" s="483"/>
      <c r="Q2" s="483"/>
      <c r="R2" s="483"/>
      <c r="S2" s="483"/>
      <c r="T2" s="483"/>
      <c r="U2" s="483"/>
      <c r="V2" s="483"/>
      <c r="W2" s="483"/>
      <c r="X2" s="485" t="s">
        <v>106</v>
      </c>
      <c r="Y2" s="184"/>
    </row>
    <row r="3" spans="1:25" ht="27.75" customHeight="1" x14ac:dyDescent="0.2">
      <c r="B3" s="484" t="s">
        <v>38</v>
      </c>
      <c r="C3" s="484"/>
      <c r="D3" s="484"/>
      <c r="E3" s="484"/>
      <c r="F3" s="484"/>
      <c r="G3" s="484"/>
      <c r="H3" s="484"/>
      <c r="I3" s="484"/>
      <c r="J3" s="484"/>
      <c r="K3" s="484"/>
      <c r="L3" s="484"/>
      <c r="M3" s="484"/>
      <c r="N3" s="484"/>
      <c r="O3" s="484"/>
      <c r="P3" s="484"/>
      <c r="Q3" s="484"/>
      <c r="R3" s="484"/>
      <c r="S3" s="484"/>
      <c r="T3" s="484"/>
      <c r="U3" s="484"/>
      <c r="V3" s="484"/>
      <c r="W3" s="484"/>
      <c r="X3" s="486"/>
      <c r="Y3" s="185"/>
    </row>
    <row r="4" spans="1:25" ht="10.5" customHeight="1" x14ac:dyDescent="0.2">
      <c r="B4" s="4"/>
      <c r="D4" s="56"/>
      <c r="E4" s="56"/>
      <c r="F4" s="56"/>
      <c r="G4" s="56"/>
      <c r="H4" s="56"/>
      <c r="Q4" s="251" t="s">
        <v>112</v>
      </c>
      <c r="R4" s="21"/>
      <c r="S4" s="21"/>
      <c r="T4" s="21"/>
      <c r="U4" s="21"/>
      <c r="V4" s="21"/>
      <c r="X4" s="486"/>
      <c r="Y4" s="6"/>
    </row>
    <row r="5" spans="1:25" ht="20.100000000000001" customHeight="1" x14ac:dyDescent="0.2">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188">
        <v>2014</v>
      </c>
      <c r="W5" s="64"/>
      <c r="X5" s="487"/>
      <c r="Y5" s="114" t="s">
        <v>131</v>
      </c>
    </row>
    <row r="6" spans="1:25" ht="9.75" customHeight="1" x14ac:dyDescent="0.2">
      <c r="B6" s="4"/>
      <c r="C6" s="89"/>
      <c r="D6" s="85"/>
      <c r="E6" s="85"/>
      <c r="F6" s="85"/>
      <c r="G6" s="85"/>
      <c r="H6" s="85"/>
      <c r="I6" s="85"/>
      <c r="J6" s="85"/>
      <c r="K6" s="85"/>
      <c r="L6" s="85"/>
      <c r="M6" s="85"/>
      <c r="N6" s="85"/>
      <c r="O6" s="85"/>
      <c r="P6" s="85"/>
      <c r="Q6" s="85"/>
      <c r="R6" s="85"/>
      <c r="S6" s="85"/>
      <c r="T6" s="85"/>
      <c r="U6" s="86"/>
      <c r="V6" s="401"/>
      <c r="W6" s="64"/>
      <c r="X6" s="186">
        <v>2014</v>
      </c>
      <c r="Y6" s="115" t="s">
        <v>73</v>
      </c>
    </row>
    <row r="7" spans="1:25" ht="12.75" customHeight="1" x14ac:dyDescent="0.2">
      <c r="B7" s="90" t="s">
        <v>120</v>
      </c>
      <c r="C7" s="313"/>
      <c r="D7" s="314"/>
      <c r="E7" s="314"/>
      <c r="F7" s="314"/>
      <c r="G7" s="314"/>
      <c r="H7" s="314">
        <f t="shared" ref="H7:R7" si="0">SUM(H10:H37)</f>
        <v>1086.4110000000001</v>
      </c>
      <c r="I7" s="314">
        <f t="shared" si="0"/>
        <v>1103.5679999999998</v>
      </c>
      <c r="J7" s="314">
        <f t="shared" si="0"/>
        <v>1129.4900000000002</v>
      </c>
      <c r="K7" s="314">
        <f t="shared" si="0"/>
        <v>1127.4249999999997</v>
      </c>
      <c r="L7" s="314">
        <f t="shared" si="0"/>
        <v>1199.6320000000001</v>
      </c>
      <c r="M7" s="314">
        <f t="shared" si="0"/>
        <v>1225.8260000000002</v>
      </c>
      <c r="N7" s="314">
        <f t="shared" si="0"/>
        <v>1251.9659999999997</v>
      </c>
      <c r="O7" s="314">
        <f t="shared" si="0"/>
        <v>1297.7719999999999</v>
      </c>
      <c r="P7" s="314">
        <f t="shared" si="0"/>
        <v>1275.7819999999999</v>
      </c>
      <c r="Q7" s="314">
        <f t="shared" si="0"/>
        <v>1158.691</v>
      </c>
      <c r="R7" s="314">
        <f t="shared" si="0"/>
        <v>1176.8909999999998</v>
      </c>
      <c r="S7" s="314">
        <f>SUM(S10:S37)</f>
        <v>1173.4490000000001</v>
      </c>
      <c r="T7" s="314">
        <f>SUM(T10:T37)</f>
        <v>1120.8699999999999</v>
      </c>
      <c r="U7" s="314">
        <f>SUM(U10:U37)</f>
        <v>1112.4470000000001</v>
      </c>
      <c r="V7" s="315">
        <f>SUM(V10:V37)</f>
        <v>1112.0700000000002</v>
      </c>
      <c r="W7" s="225" t="s">
        <v>120</v>
      </c>
      <c r="X7" s="148">
        <f>V7/road_by_tot!V7*100</f>
        <v>64.449518687445334</v>
      </c>
      <c r="Y7" s="148">
        <f t="shared" ref="Y7:Y9" si="1">V7/U7*100-100</f>
        <v>-3.388925494877526E-2</v>
      </c>
    </row>
    <row r="8" spans="1:25" ht="12.75" customHeight="1" x14ac:dyDescent="0.2">
      <c r="A8" s="15"/>
      <c r="B8" s="91" t="s">
        <v>121</v>
      </c>
      <c r="C8" s="316">
        <f t="shared" ref="C8:F8" si="2">C10+C13+C14+SUM(C16:C21)+C25+C28+C29+C31+SUM(C35:C37)</f>
        <v>869.94499999999994</v>
      </c>
      <c r="D8" s="317">
        <f t="shared" si="2"/>
        <v>873.32299999999998</v>
      </c>
      <c r="E8" s="317">
        <f t="shared" si="2"/>
        <v>895.50400000000013</v>
      </c>
      <c r="F8" s="317">
        <f t="shared" si="2"/>
        <v>924.23299999999995</v>
      </c>
      <c r="G8" s="317">
        <f>G10+G13+G14+SUM(G16:G19)+G21+G25+G28+G29+G31+SUM(G35:G37)</f>
        <v>957.32500000000005</v>
      </c>
      <c r="H8" s="317">
        <f t="shared" ref="H8:R8" si="3">H7-H9</f>
        <v>985.03600000000006</v>
      </c>
      <c r="I8" s="317">
        <f t="shared" si="3"/>
        <v>998.11199999999974</v>
      </c>
      <c r="J8" s="317">
        <f t="shared" si="3"/>
        <v>1020.2340000000003</v>
      </c>
      <c r="K8" s="318">
        <f t="shared" si="3"/>
        <v>1009.3859999999997</v>
      </c>
      <c r="L8" s="318">
        <f t="shared" si="3"/>
        <v>1075.086</v>
      </c>
      <c r="M8" s="318">
        <f t="shared" si="3"/>
        <v>1092.8690000000001</v>
      </c>
      <c r="N8" s="319">
        <f t="shared" si="3"/>
        <v>1114.4629999999997</v>
      </c>
      <c r="O8" s="319">
        <f t="shared" si="3"/>
        <v>1150.816</v>
      </c>
      <c r="P8" s="319">
        <f t="shared" si="3"/>
        <v>1120.9379999999999</v>
      </c>
      <c r="Q8" s="319">
        <f t="shared" si="3"/>
        <v>1006.476</v>
      </c>
      <c r="R8" s="319">
        <f t="shared" si="3"/>
        <v>1030.8259999999998</v>
      </c>
      <c r="S8" s="318">
        <f>S7-S9</f>
        <v>1020.7120000000001</v>
      </c>
      <c r="T8" s="318">
        <f>T7-T9</f>
        <v>970.5139999999999</v>
      </c>
      <c r="U8" s="318">
        <f>U7-U9</f>
        <v>949.29900000000009</v>
      </c>
      <c r="V8" s="320">
        <f>V7-V9</f>
        <v>951.17600000000016</v>
      </c>
      <c r="W8" s="226" t="s">
        <v>121</v>
      </c>
      <c r="X8" s="241">
        <f>V8/road_by_tot!V8*100</f>
        <v>78.343284356563188</v>
      </c>
      <c r="Y8" s="241">
        <f t="shared" si="1"/>
        <v>0.19772484749273644</v>
      </c>
    </row>
    <row r="9" spans="1:25" ht="12.75" customHeight="1" x14ac:dyDescent="0.2">
      <c r="A9" s="15"/>
      <c r="B9" s="94" t="s">
        <v>122</v>
      </c>
      <c r="C9" s="321"/>
      <c r="D9" s="322"/>
      <c r="E9" s="322"/>
      <c r="F9" s="322"/>
      <c r="G9" s="322"/>
      <c r="H9" s="322">
        <f t="shared" ref="H9:R9" si="4">H11+H12+H15+H20+H22+H23+H24+H26+H27+H30+H32+H33+H34</f>
        <v>101.375</v>
      </c>
      <c r="I9" s="322">
        <f t="shared" si="4"/>
        <v>105.456</v>
      </c>
      <c r="J9" s="322">
        <f t="shared" si="4"/>
        <v>109.256</v>
      </c>
      <c r="K9" s="322">
        <f t="shared" si="4"/>
        <v>118.039</v>
      </c>
      <c r="L9" s="322">
        <f t="shared" si="4"/>
        <v>124.54599999999999</v>
      </c>
      <c r="M9" s="322">
        <f t="shared" si="4"/>
        <v>132.95699999999999</v>
      </c>
      <c r="N9" s="322">
        <f t="shared" si="4"/>
        <v>137.50300000000001</v>
      </c>
      <c r="O9" s="322">
        <f t="shared" si="4"/>
        <v>146.95599999999999</v>
      </c>
      <c r="P9" s="322">
        <f t="shared" si="4"/>
        <v>154.84399999999999</v>
      </c>
      <c r="Q9" s="322">
        <f t="shared" si="4"/>
        <v>152.215</v>
      </c>
      <c r="R9" s="322">
        <f t="shared" si="4"/>
        <v>146.06500000000003</v>
      </c>
      <c r="S9" s="322">
        <f>S11+S12+S15+S20+S22+S23+S24+S26+S27+S30+S32+S33+S34</f>
        <v>152.73699999999999</v>
      </c>
      <c r="T9" s="322">
        <f>T11+T12+T15+T20+T22+T23+T24+T26+T27+T30+T32+T33+T34</f>
        <v>150.35599999999999</v>
      </c>
      <c r="U9" s="322">
        <f>U11+U12+U15+U20+U22+U23+U24+U26+U27+U30+U32+U33+U34</f>
        <v>163.148</v>
      </c>
      <c r="V9" s="323">
        <f>V11+V12+V15+V20+V22+V23+V24+V26+V27+V30+V32+V33+V34</f>
        <v>160.89400000000001</v>
      </c>
      <c r="W9" s="227" t="s">
        <v>122</v>
      </c>
      <c r="X9" s="150">
        <f>V9/road_by_tot!V9*100</f>
        <v>31.462893325276674</v>
      </c>
      <c r="Y9" s="150">
        <f t="shared" si="1"/>
        <v>-1.3815676563610992</v>
      </c>
    </row>
    <row r="10" spans="1:25" ht="12.75" customHeight="1" x14ac:dyDescent="0.2">
      <c r="A10" s="15"/>
      <c r="B10" s="17" t="s">
        <v>23</v>
      </c>
      <c r="C10" s="228">
        <v>18.616</v>
      </c>
      <c r="D10" s="229">
        <v>16.614999999999998</v>
      </c>
      <c r="E10" s="229">
        <v>18.425999999999998</v>
      </c>
      <c r="F10" s="229">
        <v>16.693000000000001</v>
      </c>
      <c r="G10" s="229">
        <v>15.757999999999999</v>
      </c>
      <c r="H10" s="229">
        <v>19.754000000000001</v>
      </c>
      <c r="I10" s="229">
        <v>20.565000000000001</v>
      </c>
      <c r="J10" s="229">
        <v>20.391999999999999</v>
      </c>
      <c r="K10" s="229">
        <v>19.584</v>
      </c>
      <c r="L10" s="229">
        <v>19.416</v>
      </c>
      <c r="M10" s="229">
        <v>19.283000000000001</v>
      </c>
      <c r="N10" s="229">
        <v>19.614999999999998</v>
      </c>
      <c r="O10" s="229">
        <v>19.649999999999999</v>
      </c>
      <c r="P10" s="229">
        <v>18.207000000000001</v>
      </c>
      <c r="Q10" s="229">
        <v>17.603000000000002</v>
      </c>
      <c r="R10" s="215">
        <v>17.754999999999999</v>
      </c>
      <c r="S10" s="215">
        <v>17.75</v>
      </c>
      <c r="T10" s="215">
        <v>18.186</v>
      </c>
      <c r="U10" s="215">
        <v>18.98</v>
      </c>
      <c r="V10" s="216">
        <v>19.167000000000002</v>
      </c>
      <c r="W10" s="230" t="s">
        <v>23</v>
      </c>
      <c r="X10" s="151">
        <f>V10/road_by_tot!V10*100</f>
        <v>60.258425553319924</v>
      </c>
      <c r="Y10" s="151">
        <f>V10/U10*100-100</f>
        <v>0.98524762908324703</v>
      </c>
    </row>
    <row r="11" spans="1:25" ht="12.75" customHeight="1" x14ac:dyDescent="0.2">
      <c r="A11" s="15"/>
      <c r="B11" s="91" t="s">
        <v>6</v>
      </c>
      <c r="C11" s="204"/>
      <c r="D11" s="205"/>
      <c r="E11" s="205"/>
      <c r="F11" s="205"/>
      <c r="G11" s="205"/>
      <c r="H11" s="205">
        <v>3.0609999999999999</v>
      </c>
      <c r="I11" s="205">
        <v>3.31</v>
      </c>
      <c r="J11" s="205">
        <v>3.931</v>
      </c>
      <c r="K11" s="205">
        <v>4.5860000000000003</v>
      </c>
      <c r="L11" s="205">
        <v>4.6120000000000001</v>
      </c>
      <c r="M11" s="205">
        <v>5.0449999999999999</v>
      </c>
      <c r="N11" s="205">
        <v>5.806</v>
      </c>
      <c r="O11" s="205">
        <v>5.89</v>
      </c>
      <c r="P11" s="205">
        <v>7.1219999999999999</v>
      </c>
      <c r="Q11" s="205">
        <v>6.306</v>
      </c>
      <c r="R11" s="205">
        <v>6.12</v>
      </c>
      <c r="S11" s="205">
        <v>6.5179999999999998</v>
      </c>
      <c r="T11" s="205">
        <v>6.2859999999999996</v>
      </c>
      <c r="U11" s="205">
        <v>7.1920000000000002</v>
      </c>
      <c r="V11" s="206">
        <v>6.8259999999999996</v>
      </c>
      <c r="W11" s="226" t="s">
        <v>6</v>
      </c>
      <c r="X11" s="120">
        <f>V11/road_by_tot!V11*100</f>
        <v>24.506354563078911</v>
      </c>
      <c r="Y11" s="120">
        <f t="shared" ref="Y11:Y37" si="5">V11/U11*100-100</f>
        <v>-5.0889877641824341</v>
      </c>
    </row>
    <row r="12" spans="1:25" ht="12.75" customHeight="1" x14ac:dyDescent="0.2">
      <c r="A12" s="15"/>
      <c r="B12" s="17" t="s">
        <v>8</v>
      </c>
      <c r="C12" s="144" t="s">
        <v>35</v>
      </c>
      <c r="D12" s="59" t="s">
        <v>35</v>
      </c>
      <c r="E12" s="59" t="s">
        <v>35</v>
      </c>
      <c r="F12" s="59" t="s">
        <v>35</v>
      </c>
      <c r="G12" s="59"/>
      <c r="H12" s="59">
        <v>14.214</v>
      </c>
      <c r="I12" s="59">
        <v>15.007</v>
      </c>
      <c r="J12" s="59">
        <v>16.318000000000001</v>
      </c>
      <c r="K12" s="59">
        <v>17.361999999999998</v>
      </c>
      <c r="L12" s="59">
        <v>16.045999999999999</v>
      </c>
      <c r="M12" s="59">
        <v>15.518000000000001</v>
      </c>
      <c r="N12" s="59">
        <v>16.082000000000001</v>
      </c>
      <c r="O12" s="59">
        <v>15.831</v>
      </c>
      <c r="P12" s="59">
        <v>15.747999999999999</v>
      </c>
      <c r="Q12" s="59">
        <v>13.48</v>
      </c>
      <c r="R12" s="59">
        <v>14.762</v>
      </c>
      <c r="S12" s="59">
        <v>14.984999999999999</v>
      </c>
      <c r="T12" s="59">
        <v>14.403</v>
      </c>
      <c r="U12" s="59">
        <v>15.391999999999999</v>
      </c>
      <c r="V12" s="217">
        <v>16.812999999999999</v>
      </c>
      <c r="W12" s="230" t="s">
        <v>8</v>
      </c>
      <c r="X12" s="152">
        <f>V12/road_by_tot!V12*100</f>
        <v>31.082230274347406</v>
      </c>
      <c r="Y12" s="152">
        <f t="shared" si="5"/>
        <v>9.232068607068598</v>
      </c>
    </row>
    <row r="13" spans="1:25" ht="12.75" customHeight="1" x14ac:dyDescent="0.2">
      <c r="A13" s="15"/>
      <c r="B13" s="91" t="s">
        <v>19</v>
      </c>
      <c r="C13" s="204">
        <v>9.327</v>
      </c>
      <c r="D13" s="205">
        <v>9.4320000000000004</v>
      </c>
      <c r="E13" s="205">
        <v>9.7119999999999997</v>
      </c>
      <c r="F13" s="205">
        <v>10.108000000000001</v>
      </c>
      <c r="G13" s="205">
        <v>10.420999999999999</v>
      </c>
      <c r="H13" s="205">
        <v>11</v>
      </c>
      <c r="I13" s="205">
        <v>10.887</v>
      </c>
      <c r="J13" s="205">
        <v>11.057</v>
      </c>
      <c r="K13" s="205">
        <v>11.012</v>
      </c>
      <c r="L13" s="205">
        <v>10.538</v>
      </c>
      <c r="M13" s="205">
        <v>11.058</v>
      </c>
      <c r="N13" s="205">
        <v>11.494999999999999</v>
      </c>
      <c r="O13" s="205">
        <v>11.8</v>
      </c>
      <c r="P13" s="205">
        <v>10.718</v>
      </c>
      <c r="Q13" s="205">
        <v>10.002000000000001</v>
      </c>
      <c r="R13" s="205">
        <v>10.573</v>
      </c>
      <c r="S13" s="205">
        <v>12.025</v>
      </c>
      <c r="T13" s="205">
        <v>12.292</v>
      </c>
      <c r="U13" s="205">
        <v>12.217000000000001</v>
      </c>
      <c r="V13" s="206">
        <v>12.943</v>
      </c>
      <c r="W13" s="226" t="s">
        <v>19</v>
      </c>
      <c r="X13" s="120">
        <f>V13/road_by_tot!V13*100</f>
        <v>79.974048442906565</v>
      </c>
      <c r="Y13" s="120">
        <f t="shared" si="5"/>
        <v>5.9425390848817159</v>
      </c>
    </row>
    <row r="14" spans="1:25" ht="12.75" customHeight="1" x14ac:dyDescent="0.2">
      <c r="A14" s="15"/>
      <c r="B14" s="17" t="s">
        <v>24</v>
      </c>
      <c r="C14" s="144">
        <v>201.29900000000001</v>
      </c>
      <c r="D14" s="59">
        <v>199.19499999999999</v>
      </c>
      <c r="E14" s="59">
        <v>203.119</v>
      </c>
      <c r="F14" s="59">
        <v>210.40199999999999</v>
      </c>
      <c r="G14" s="59">
        <v>226.887</v>
      </c>
      <c r="H14" s="59">
        <v>226.529</v>
      </c>
      <c r="I14" s="59">
        <v>230.01599999999999</v>
      </c>
      <c r="J14" s="59">
        <v>225.47399999999999</v>
      </c>
      <c r="K14" s="59">
        <v>227.20500000000001</v>
      </c>
      <c r="L14" s="59">
        <v>232.303</v>
      </c>
      <c r="M14" s="59">
        <v>237.61699999999999</v>
      </c>
      <c r="N14" s="59">
        <v>251.37899999999999</v>
      </c>
      <c r="O14" s="59">
        <v>261.44</v>
      </c>
      <c r="P14" s="59">
        <v>264.54500000000002</v>
      </c>
      <c r="Q14" s="59">
        <v>245.56800000000001</v>
      </c>
      <c r="R14" s="59">
        <v>252.46199999999999</v>
      </c>
      <c r="S14" s="59">
        <v>265.02499999999998</v>
      </c>
      <c r="T14" s="59">
        <v>254.499</v>
      </c>
      <c r="U14" s="59">
        <v>256.721</v>
      </c>
      <c r="V14" s="217">
        <v>263.03199999999998</v>
      </c>
      <c r="W14" s="230" t="s">
        <v>24</v>
      </c>
      <c r="X14" s="152">
        <f>V14/road_by_tot!V14*100</f>
        <v>84.810183722294937</v>
      </c>
      <c r="Y14" s="152">
        <f t="shared" si="5"/>
        <v>2.4583107731739773</v>
      </c>
    </row>
    <row r="15" spans="1:25" ht="12.75" customHeight="1" x14ac:dyDescent="0.2">
      <c r="A15" s="15"/>
      <c r="B15" s="91" t="s">
        <v>9</v>
      </c>
      <c r="C15" s="204">
        <v>0.44900000000000001</v>
      </c>
      <c r="D15" s="205">
        <v>0.442</v>
      </c>
      <c r="E15" s="205">
        <v>0.51</v>
      </c>
      <c r="F15" s="205">
        <v>0.53800000000000003</v>
      </c>
      <c r="G15" s="205">
        <v>0.73399999999999999</v>
      </c>
      <c r="H15" s="205">
        <v>0.71499999999999997</v>
      </c>
      <c r="I15" s="205">
        <v>0.54800000000000004</v>
      </c>
      <c r="J15" s="211">
        <v>0.76200000000000001</v>
      </c>
      <c r="K15" s="205">
        <v>1.5680000000000001</v>
      </c>
      <c r="L15" s="205">
        <v>1.478</v>
      </c>
      <c r="M15" s="205">
        <v>1.847</v>
      </c>
      <c r="N15" s="205">
        <v>1.9790000000000001</v>
      </c>
      <c r="O15" s="205">
        <v>1.9419999999999999</v>
      </c>
      <c r="P15" s="205">
        <v>1.8320000000000001</v>
      </c>
      <c r="Q15" s="205">
        <v>1.3260000000000001</v>
      </c>
      <c r="R15" s="205">
        <v>1.3879999999999999</v>
      </c>
      <c r="S15" s="205">
        <v>1.5609999999999999</v>
      </c>
      <c r="T15" s="205">
        <v>1.599</v>
      </c>
      <c r="U15" s="205">
        <v>1.593</v>
      </c>
      <c r="V15" s="206">
        <v>1.5409999999999999</v>
      </c>
      <c r="W15" s="226" t="s">
        <v>9</v>
      </c>
      <c r="X15" s="153">
        <f>V15/road_by_tot!V15*100</f>
        <v>24.421553090332807</v>
      </c>
      <c r="Y15" s="153">
        <f t="shared" si="5"/>
        <v>-3.2642812303829203</v>
      </c>
    </row>
    <row r="16" spans="1:25" ht="12.75" customHeight="1" x14ac:dyDescent="0.2">
      <c r="A16" s="15"/>
      <c r="B16" s="17" t="s">
        <v>27</v>
      </c>
      <c r="C16" s="214">
        <v>4.7</v>
      </c>
      <c r="D16" s="215">
        <v>4.7</v>
      </c>
      <c r="E16" s="215">
        <v>4.7</v>
      </c>
      <c r="F16" s="215">
        <v>4.7</v>
      </c>
      <c r="G16" s="215">
        <v>7.7370000000000001</v>
      </c>
      <c r="H16" s="215">
        <v>8.3369999999999997</v>
      </c>
      <c r="I16" s="215">
        <v>9.1219999999999999</v>
      </c>
      <c r="J16" s="215">
        <v>10.731</v>
      </c>
      <c r="K16" s="215">
        <v>11.935</v>
      </c>
      <c r="L16" s="215">
        <v>13.215999999999999</v>
      </c>
      <c r="M16" s="215">
        <v>13.983000000000001</v>
      </c>
      <c r="N16" s="215">
        <v>13.832000000000001</v>
      </c>
      <c r="O16" s="215">
        <v>14.428000000000001</v>
      </c>
      <c r="P16" s="215">
        <v>13.265000000000001</v>
      </c>
      <c r="Q16" s="215">
        <v>8.4689999999999994</v>
      </c>
      <c r="R16" s="215">
        <v>8.2210000000000001</v>
      </c>
      <c r="S16" s="215">
        <v>7.47</v>
      </c>
      <c r="T16" s="215">
        <v>7.4189999999999996</v>
      </c>
      <c r="U16" s="215">
        <v>7.2160000000000002</v>
      </c>
      <c r="V16" s="216">
        <v>7.7039999999999997</v>
      </c>
      <c r="W16" s="230" t="s">
        <v>27</v>
      </c>
      <c r="X16" s="151">
        <f>V16/road_by_tot!V16*100</f>
        <v>79.007281304481594</v>
      </c>
      <c r="Y16" s="151">
        <f t="shared" si="5"/>
        <v>6.7627494456762776</v>
      </c>
    </row>
    <row r="17" spans="1:25" ht="12.75" customHeight="1" x14ac:dyDescent="0.2">
      <c r="A17" s="15"/>
      <c r="B17" s="91" t="s">
        <v>20</v>
      </c>
      <c r="C17" s="212">
        <v>20</v>
      </c>
      <c r="D17" s="213">
        <v>21</v>
      </c>
      <c r="E17" s="213">
        <v>21.5</v>
      </c>
      <c r="F17" s="213">
        <v>22</v>
      </c>
      <c r="G17" s="213">
        <v>22.5</v>
      </c>
      <c r="H17" s="213">
        <v>23</v>
      </c>
      <c r="I17" s="213">
        <v>23.5</v>
      </c>
      <c r="J17" s="213">
        <v>24</v>
      </c>
      <c r="K17" s="293">
        <v>15.276</v>
      </c>
      <c r="L17" s="205">
        <v>31.745000000000001</v>
      </c>
      <c r="M17" s="210">
        <v>19.61</v>
      </c>
      <c r="N17" s="205">
        <v>26.137</v>
      </c>
      <c r="O17" s="205">
        <v>21.728999999999999</v>
      </c>
      <c r="P17" s="205">
        <v>24.346</v>
      </c>
      <c r="Q17" s="205">
        <v>24.228000000000002</v>
      </c>
      <c r="R17" s="205">
        <v>25.256</v>
      </c>
      <c r="S17" s="205">
        <v>16.809000000000001</v>
      </c>
      <c r="T17" s="205">
        <v>16.486000000000001</v>
      </c>
      <c r="U17" s="205">
        <v>14.554</v>
      </c>
      <c r="V17" s="206">
        <v>15.119</v>
      </c>
      <c r="W17" s="226" t="s">
        <v>20</v>
      </c>
      <c r="X17" s="120">
        <f>V17/road_by_tot!V17*100</f>
        <v>78.650574832232223</v>
      </c>
      <c r="Y17" s="120">
        <f t="shared" si="5"/>
        <v>3.8820942696165872</v>
      </c>
    </row>
    <row r="18" spans="1:25" ht="12.75" customHeight="1" x14ac:dyDescent="0.2">
      <c r="A18" s="15"/>
      <c r="B18" s="17" t="s">
        <v>25</v>
      </c>
      <c r="C18" s="214">
        <v>78.744</v>
      </c>
      <c r="D18" s="215">
        <v>76.257000000000005</v>
      </c>
      <c r="E18" s="215">
        <v>80.634</v>
      </c>
      <c r="F18" s="215">
        <v>91.328999999999994</v>
      </c>
      <c r="G18" s="215">
        <v>98.134</v>
      </c>
      <c r="H18" s="215">
        <v>106.93600000000001</v>
      </c>
      <c r="I18" s="215">
        <v>114.004</v>
      </c>
      <c r="J18" s="215">
        <v>129.51</v>
      </c>
      <c r="K18" s="215">
        <v>138.41300000000001</v>
      </c>
      <c r="L18" s="215">
        <v>155.01400000000001</v>
      </c>
      <c r="M18" s="215">
        <v>166.386</v>
      </c>
      <c r="N18" s="215">
        <v>174.58799999999999</v>
      </c>
      <c r="O18" s="215">
        <v>190.61099999999999</v>
      </c>
      <c r="P18" s="215">
        <v>175.184</v>
      </c>
      <c r="Q18" s="215">
        <v>151.06</v>
      </c>
      <c r="R18" s="215">
        <v>146.19399999999999</v>
      </c>
      <c r="S18" s="215">
        <v>142.32300000000001</v>
      </c>
      <c r="T18" s="215">
        <v>133.36799999999999</v>
      </c>
      <c r="U18" s="215">
        <v>126.997</v>
      </c>
      <c r="V18" s="216">
        <v>128.15700000000001</v>
      </c>
      <c r="W18" s="230" t="s">
        <v>25</v>
      </c>
      <c r="X18" s="110">
        <f>V18/road_by_tot!V18*100</f>
        <v>65.46404654512763</v>
      </c>
      <c r="Y18" s="110">
        <f t="shared" si="5"/>
        <v>0.91340740332451276</v>
      </c>
    </row>
    <row r="19" spans="1:25" ht="12.75" customHeight="1" x14ac:dyDescent="0.2">
      <c r="A19" s="15"/>
      <c r="B19" s="91" t="s">
        <v>26</v>
      </c>
      <c r="C19" s="204">
        <v>135.30000000000001</v>
      </c>
      <c r="D19" s="205">
        <v>136.50200000000001</v>
      </c>
      <c r="E19" s="205">
        <v>138.96</v>
      </c>
      <c r="F19" s="205">
        <v>145.459</v>
      </c>
      <c r="G19" s="205">
        <v>159.02600000000001</v>
      </c>
      <c r="H19" s="205">
        <v>163.16300000000001</v>
      </c>
      <c r="I19" s="205">
        <v>168.572</v>
      </c>
      <c r="J19" s="205">
        <v>169.74199999999999</v>
      </c>
      <c r="K19" s="205">
        <v>170.89599999999999</v>
      </c>
      <c r="L19" s="205">
        <v>179.18299999999999</v>
      </c>
      <c r="M19" s="205">
        <v>177.33099999999999</v>
      </c>
      <c r="N19" s="205">
        <v>182.75299999999999</v>
      </c>
      <c r="O19" s="205">
        <v>191.38800000000001</v>
      </c>
      <c r="P19" s="205">
        <v>181.87899999999999</v>
      </c>
      <c r="Q19" s="205">
        <v>156.02099999999999</v>
      </c>
      <c r="R19" s="205">
        <v>164.32499999999999</v>
      </c>
      <c r="S19" s="205">
        <v>168.24199999999999</v>
      </c>
      <c r="T19" s="205">
        <v>156.44900000000001</v>
      </c>
      <c r="U19" s="205">
        <v>155.71199999999999</v>
      </c>
      <c r="V19" s="206">
        <v>151.11199999999999</v>
      </c>
      <c r="W19" s="226" t="s">
        <v>26</v>
      </c>
      <c r="X19" s="153">
        <f>V19/road_by_tot!V19*100</f>
        <v>91.458314419730669</v>
      </c>
      <c r="Y19" s="153">
        <f t="shared" si="5"/>
        <v>-2.9541718043567471</v>
      </c>
    </row>
    <row r="20" spans="1:25" ht="12.75" customHeight="1" x14ac:dyDescent="0.2">
      <c r="A20" s="15"/>
      <c r="B20" s="17" t="s">
        <v>37</v>
      </c>
      <c r="C20" s="144" t="s">
        <v>35</v>
      </c>
      <c r="D20" s="59"/>
      <c r="E20" s="59"/>
      <c r="F20" s="190"/>
      <c r="G20" s="59">
        <v>1.6060000000000001</v>
      </c>
      <c r="H20" s="59">
        <v>1.9059999999999999</v>
      </c>
      <c r="I20" s="59">
        <v>3.2130000000000001</v>
      </c>
      <c r="J20" s="59">
        <v>3.6629999999999998</v>
      </c>
      <c r="K20" s="59">
        <v>4.1239999999999997</v>
      </c>
      <c r="L20" s="59">
        <v>4.3730000000000002</v>
      </c>
      <c r="M20" s="59">
        <v>4.3869999999999996</v>
      </c>
      <c r="N20" s="59">
        <v>5.2910000000000004</v>
      </c>
      <c r="O20" s="59">
        <v>5.1219999999999999</v>
      </c>
      <c r="P20" s="59">
        <v>6.4450000000000003</v>
      </c>
      <c r="Q20" s="59">
        <v>5.125</v>
      </c>
      <c r="R20" s="59">
        <v>4.5469999999999997</v>
      </c>
      <c r="S20" s="59">
        <v>4.375</v>
      </c>
      <c r="T20" s="59">
        <v>4.1449999999999996</v>
      </c>
      <c r="U20" s="59">
        <v>4.2839999999999998</v>
      </c>
      <c r="V20" s="217">
        <v>3.931</v>
      </c>
      <c r="W20" s="230" t="s">
        <v>37</v>
      </c>
      <c r="X20" s="109">
        <f>V20/road_by_tot!V20*100</f>
        <v>41.903848203816224</v>
      </c>
      <c r="Y20" s="109">
        <f t="shared" si="5"/>
        <v>-8.2399626517273532</v>
      </c>
    </row>
    <row r="21" spans="1:25" ht="12.75" customHeight="1" x14ac:dyDescent="0.2">
      <c r="A21" s="15"/>
      <c r="B21" s="91" t="s">
        <v>28</v>
      </c>
      <c r="C21" s="212">
        <v>150.30099999999999</v>
      </c>
      <c r="D21" s="213">
        <v>151.02500000000001</v>
      </c>
      <c r="E21" s="213">
        <v>153.6</v>
      </c>
      <c r="F21" s="213">
        <v>154.15100000000001</v>
      </c>
      <c r="G21" s="210">
        <v>151.96700000000001</v>
      </c>
      <c r="H21" s="210">
        <v>158.25</v>
      </c>
      <c r="I21" s="210">
        <v>154.749</v>
      </c>
      <c r="J21" s="205">
        <v>160.08199999999999</v>
      </c>
      <c r="K21" s="205">
        <v>143.184</v>
      </c>
      <c r="L21" s="205">
        <v>158.172</v>
      </c>
      <c r="M21" s="205">
        <v>171.58699999999999</v>
      </c>
      <c r="N21" s="205">
        <v>155.42500000000001</v>
      </c>
      <c r="O21" s="205">
        <v>152.40600000000001</v>
      </c>
      <c r="P21" s="205">
        <v>151.82300000000001</v>
      </c>
      <c r="Q21" s="205">
        <v>145.61000000000001</v>
      </c>
      <c r="R21" s="205">
        <v>149.24799999999999</v>
      </c>
      <c r="S21" s="205">
        <v>127.681</v>
      </c>
      <c r="T21" s="205">
        <v>111.785</v>
      </c>
      <c r="U21" s="205">
        <v>111.97499999999999</v>
      </c>
      <c r="V21" s="206">
        <v>102.351</v>
      </c>
      <c r="W21" s="226" t="s">
        <v>28</v>
      </c>
      <c r="X21" s="153">
        <f>V21/road_by_tot!V21*100</f>
        <v>86.875811667642793</v>
      </c>
      <c r="Y21" s="153">
        <f t="shared" si="5"/>
        <v>-8.5947756195579359</v>
      </c>
    </row>
    <row r="22" spans="1:25" ht="12.75" customHeight="1" x14ac:dyDescent="0.2">
      <c r="A22" s="15"/>
      <c r="B22" s="17" t="s">
        <v>7</v>
      </c>
      <c r="C22" s="144"/>
      <c r="D22" s="59"/>
      <c r="E22" s="59"/>
      <c r="F22" s="59"/>
      <c r="G22" s="59"/>
      <c r="H22" s="59">
        <v>1.28</v>
      </c>
      <c r="I22" s="59">
        <v>1.29</v>
      </c>
      <c r="J22" s="59">
        <v>1.286</v>
      </c>
      <c r="K22" s="59">
        <v>1.37</v>
      </c>
      <c r="L22" s="59">
        <v>1.1020000000000001</v>
      </c>
      <c r="M22" s="59">
        <v>1.3740000000000001</v>
      </c>
      <c r="N22" s="59">
        <v>1.145</v>
      </c>
      <c r="O22" s="59">
        <v>1.1839999999999999</v>
      </c>
      <c r="P22" s="59">
        <v>1.296</v>
      </c>
      <c r="Q22" s="59">
        <v>0.94399999999999995</v>
      </c>
      <c r="R22" s="59">
        <v>1.0660000000000001</v>
      </c>
      <c r="S22" s="59">
        <v>0.92300000000000004</v>
      </c>
      <c r="T22" s="59">
        <v>0.88</v>
      </c>
      <c r="U22" s="59">
        <v>0.61799999999999999</v>
      </c>
      <c r="V22" s="217">
        <v>0.52600000000000002</v>
      </c>
      <c r="W22" s="230" t="s">
        <v>7</v>
      </c>
      <c r="X22" s="152">
        <f>V22/road_by_tot!V22*100</f>
        <v>97.769516728624524</v>
      </c>
      <c r="Y22" s="152">
        <f t="shared" si="5"/>
        <v>-14.886731391585755</v>
      </c>
    </row>
    <row r="23" spans="1:25" ht="12.75" customHeight="1" x14ac:dyDescent="0.2">
      <c r="A23" s="15"/>
      <c r="B23" s="91" t="s">
        <v>11</v>
      </c>
      <c r="C23" s="204" t="s">
        <v>35</v>
      </c>
      <c r="D23" s="205"/>
      <c r="E23" s="205"/>
      <c r="F23" s="205"/>
      <c r="G23" s="205"/>
      <c r="H23" s="205">
        <v>1.484</v>
      </c>
      <c r="I23" s="205">
        <v>1.645</v>
      </c>
      <c r="J23" s="205">
        <v>1.9670000000000001</v>
      </c>
      <c r="K23" s="205">
        <v>2.3650000000000002</v>
      </c>
      <c r="L23" s="205">
        <v>2.38</v>
      </c>
      <c r="M23" s="205">
        <v>2.734</v>
      </c>
      <c r="N23" s="205">
        <v>2.718</v>
      </c>
      <c r="O23" s="205">
        <v>3.0059999999999998</v>
      </c>
      <c r="P23" s="205">
        <v>2.536</v>
      </c>
      <c r="Q23" s="205">
        <v>2.149</v>
      </c>
      <c r="R23" s="205">
        <v>2.5609999999999999</v>
      </c>
      <c r="S23" s="205">
        <v>2.6459999999999999</v>
      </c>
      <c r="T23" s="205">
        <v>2.6160000000000001</v>
      </c>
      <c r="U23" s="205">
        <v>2.8029999999999999</v>
      </c>
      <c r="V23" s="206">
        <v>2.74</v>
      </c>
      <c r="W23" s="226" t="s">
        <v>11</v>
      </c>
      <c r="X23" s="153">
        <f>V23/road_by_tot!V23*100</f>
        <v>20.043891733723484</v>
      </c>
      <c r="Y23" s="153">
        <f t="shared" si="5"/>
        <v>-2.2475918658579985</v>
      </c>
    </row>
    <row r="24" spans="1:25" ht="12.75" customHeight="1" x14ac:dyDescent="0.2">
      <c r="A24" s="15"/>
      <c r="B24" s="17" t="s">
        <v>12</v>
      </c>
      <c r="C24" s="144" t="s">
        <v>35</v>
      </c>
      <c r="D24" s="59"/>
      <c r="E24" s="59"/>
      <c r="F24" s="59"/>
      <c r="G24" s="59"/>
      <c r="H24" s="59">
        <v>1.534</v>
      </c>
      <c r="I24" s="59">
        <v>1.518</v>
      </c>
      <c r="J24" s="59">
        <v>1.518</v>
      </c>
      <c r="K24" s="59">
        <v>1.958</v>
      </c>
      <c r="L24" s="59">
        <v>2.2130000000000001</v>
      </c>
      <c r="M24" s="59">
        <v>2.137</v>
      </c>
      <c r="N24" s="59">
        <v>2.2320000000000002</v>
      </c>
      <c r="O24" s="59">
        <v>2.7040000000000002</v>
      </c>
      <c r="P24" s="59">
        <v>2.56</v>
      </c>
      <c r="Q24" s="59">
        <v>2.633</v>
      </c>
      <c r="R24" s="59">
        <v>2.2919999999999998</v>
      </c>
      <c r="S24" s="59">
        <v>2.3199999999999998</v>
      </c>
      <c r="T24" s="59">
        <v>2.4380000000000002</v>
      </c>
      <c r="U24" s="59">
        <v>2.54</v>
      </c>
      <c r="V24" s="217">
        <v>2.7679999999999998</v>
      </c>
      <c r="W24" s="230" t="s">
        <v>12</v>
      </c>
      <c r="X24" s="109">
        <f>V24/road_by_tot!V24*100</f>
        <v>9.862115651833113</v>
      </c>
      <c r="Y24" s="109">
        <f t="shared" si="5"/>
        <v>8.9763779527558967</v>
      </c>
    </row>
    <row r="25" spans="1:25" ht="12.75" customHeight="1" x14ac:dyDescent="0.2">
      <c r="A25" s="15"/>
      <c r="B25" s="91" t="s">
        <v>29</v>
      </c>
      <c r="C25" s="204">
        <v>0.53100000000000003</v>
      </c>
      <c r="D25" s="205">
        <v>0.39200000000000002</v>
      </c>
      <c r="E25" s="205">
        <v>0.39400000000000002</v>
      </c>
      <c r="F25" s="205">
        <v>0.39500000000000002</v>
      </c>
      <c r="G25" s="205">
        <v>0.377</v>
      </c>
      <c r="H25" s="205">
        <v>0.41499999999999998</v>
      </c>
      <c r="I25" s="205">
        <v>0.48699999999999999</v>
      </c>
      <c r="J25" s="205">
        <v>0.58299999999999996</v>
      </c>
      <c r="K25" s="205">
        <v>0.56499999999999995</v>
      </c>
      <c r="L25" s="205">
        <v>0.54900000000000004</v>
      </c>
      <c r="M25" s="205">
        <v>0.49399999999999999</v>
      </c>
      <c r="N25" s="205">
        <v>0.54400000000000004</v>
      </c>
      <c r="O25" s="205">
        <v>0.54800000000000004</v>
      </c>
      <c r="P25" s="205">
        <v>0.55500000000000005</v>
      </c>
      <c r="Q25" s="205">
        <v>0.53</v>
      </c>
      <c r="R25" s="205">
        <v>0.57399999999999995</v>
      </c>
      <c r="S25" s="205">
        <v>0.65</v>
      </c>
      <c r="T25" s="205">
        <v>1.044</v>
      </c>
      <c r="U25" s="205">
        <v>0.77700000000000002</v>
      </c>
      <c r="V25" s="206">
        <v>1.1279999999999999</v>
      </c>
      <c r="W25" s="226" t="s">
        <v>29</v>
      </c>
      <c r="X25" s="153">
        <f>V25/road_by_tot!V25*100</f>
        <v>11.751224085842274</v>
      </c>
      <c r="Y25" s="153">
        <f t="shared" si="5"/>
        <v>45.173745173745147</v>
      </c>
    </row>
    <row r="26" spans="1:25" ht="12.75" customHeight="1" x14ac:dyDescent="0.2">
      <c r="A26" s="15"/>
      <c r="B26" s="17" t="s">
        <v>10</v>
      </c>
      <c r="C26" s="207" t="s">
        <v>35</v>
      </c>
      <c r="D26" s="208"/>
      <c r="E26" s="208"/>
      <c r="F26" s="208"/>
      <c r="G26" s="208"/>
      <c r="H26" s="208">
        <v>12.145</v>
      </c>
      <c r="I26" s="208">
        <v>11.835000000000001</v>
      </c>
      <c r="J26" s="208">
        <v>11.166</v>
      </c>
      <c r="K26" s="208">
        <v>10.67</v>
      </c>
      <c r="L26" s="208">
        <v>10.977</v>
      </c>
      <c r="M26" s="208">
        <v>11.394</v>
      </c>
      <c r="N26" s="208">
        <v>12.425000000000001</v>
      </c>
      <c r="O26" s="208">
        <v>13.186</v>
      </c>
      <c r="P26" s="208">
        <v>13.042999999999999</v>
      </c>
      <c r="Q26" s="208">
        <v>12.170999999999999</v>
      </c>
      <c r="R26" s="208">
        <v>11.329000000000001</v>
      </c>
      <c r="S26" s="208">
        <v>10.534000000000001</v>
      </c>
      <c r="T26" s="208">
        <v>9.1809999999999992</v>
      </c>
      <c r="U26" s="208">
        <v>9.2460000000000004</v>
      </c>
      <c r="V26" s="239">
        <v>9.6300000000000008</v>
      </c>
      <c r="W26" s="230" t="s">
        <v>10</v>
      </c>
      <c r="X26" s="152">
        <f>V26/road_by_tot!V26*100</f>
        <v>25.668363675133936</v>
      </c>
      <c r="Y26" s="109">
        <f t="shared" si="5"/>
        <v>4.1531473069435378</v>
      </c>
    </row>
    <row r="27" spans="1:25" ht="12.75" customHeight="1" x14ac:dyDescent="0.2">
      <c r="A27" s="15"/>
      <c r="B27" s="58" t="s">
        <v>13</v>
      </c>
      <c r="C27" s="212" t="s">
        <v>35</v>
      </c>
      <c r="D27" s="213"/>
      <c r="E27" s="213"/>
      <c r="F27" s="213"/>
      <c r="G27" s="213"/>
      <c r="H27" s="213">
        <v>0.2</v>
      </c>
      <c r="I27" s="213">
        <v>0.2</v>
      </c>
      <c r="J27" s="213">
        <v>0.2</v>
      </c>
      <c r="K27" s="213">
        <v>0.2</v>
      </c>
      <c r="L27" s="213">
        <v>0.2</v>
      </c>
      <c r="M27" s="213">
        <v>0.2</v>
      </c>
      <c r="N27" s="213">
        <v>0.2</v>
      </c>
      <c r="O27" s="213">
        <v>0.2</v>
      </c>
      <c r="P27" s="213">
        <v>0.2</v>
      </c>
      <c r="Q27" s="213">
        <v>0.2</v>
      </c>
      <c r="R27" s="213">
        <v>0.2</v>
      </c>
      <c r="S27" s="213">
        <v>0.2</v>
      </c>
      <c r="T27" s="213">
        <v>0.2</v>
      </c>
      <c r="U27" s="213">
        <v>0.2</v>
      </c>
      <c r="V27" s="213">
        <v>0.2</v>
      </c>
      <c r="W27" s="402" t="s">
        <v>13</v>
      </c>
      <c r="X27" s="247">
        <f>V27/road_by_tot!V27*100</f>
        <v>80</v>
      </c>
      <c r="Y27" s="247">
        <f t="shared" si="5"/>
        <v>0</v>
      </c>
    </row>
    <row r="28" spans="1:25" ht="12.75" customHeight="1" x14ac:dyDescent="0.2">
      <c r="A28" s="15"/>
      <c r="B28" s="17" t="s">
        <v>21</v>
      </c>
      <c r="C28" s="144">
        <v>26.683</v>
      </c>
      <c r="D28" s="59">
        <v>27.303000000000001</v>
      </c>
      <c r="E28" s="59">
        <v>27.384</v>
      </c>
      <c r="F28" s="59">
        <v>28.24</v>
      </c>
      <c r="G28" s="59">
        <v>32.682000000000002</v>
      </c>
      <c r="H28" s="59">
        <v>31.538</v>
      </c>
      <c r="I28" s="59">
        <v>31</v>
      </c>
      <c r="J28" s="59">
        <v>30.257000000000001</v>
      </c>
      <c r="K28" s="59">
        <v>31.785</v>
      </c>
      <c r="L28" s="59">
        <v>33.938000000000002</v>
      </c>
      <c r="M28" s="59">
        <v>31.827000000000002</v>
      </c>
      <c r="N28" s="59">
        <v>31.009</v>
      </c>
      <c r="O28" s="59">
        <v>30.686</v>
      </c>
      <c r="P28" s="59">
        <v>32.009</v>
      </c>
      <c r="Q28" s="59">
        <v>31.337</v>
      </c>
      <c r="R28" s="59">
        <v>33.781999999999996</v>
      </c>
      <c r="S28" s="59">
        <v>33.758000000000003</v>
      </c>
      <c r="T28" s="59">
        <v>31.385999999999999</v>
      </c>
      <c r="U28" s="59">
        <v>29.873000000000001</v>
      </c>
      <c r="V28" s="217">
        <v>31.263999999999999</v>
      </c>
      <c r="W28" s="230" t="s">
        <v>21</v>
      </c>
      <c r="X28" s="152">
        <f>V28/road_by_tot!V28*100</f>
        <v>44.097775646360212</v>
      </c>
      <c r="Y28" s="152">
        <f t="shared" si="5"/>
        <v>4.6563786697017235</v>
      </c>
    </row>
    <row r="29" spans="1:25" ht="12.75" customHeight="1" x14ac:dyDescent="0.2">
      <c r="A29" s="15"/>
      <c r="B29" s="91" t="s">
        <v>30</v>
      </c>
      <c r="C29" s="204">
        <v>11.069000000000001</v>
      </c>
      <c r="D29" s="205">
        <v>11.444000000000001</v>
      </c>
      <c r="E29" s="205">
        <v>11.558999999999999</v>
      </c>
      <c r="F29" s="205">
        <v>11.715</v>
      </c>
      <c r="G29" s="205">
        <v>12.28</v>
      </c>
      <c r="H29" s="210">
        <v>12.388999999999999</v>
      </c>
      <c r="I29" s="210">
        <v>12.454000000000001</v>
      </c>
      <c r="J29" s="210">
        <v>12.663</v>
      </c>
      <c r="K29" s="210">
        <v>13.036</v>
      </c>
      <c r="L29" s="205">
        <v>12.375999999999999</v>
      </c>
      <c r="M29" s="205">
        <v>12.513999999999999</v>
      </c>
      <c r="N29" s="205">
        <v>14.436999999999999</v>
      </c>
      <c r="O29" s="205">
        <v>14.744</v>
      </c>
      <c r="P29" s="205">
        <v>14.581</v>
      </c>
      <c r="Q29" s="205">
        <v>13.491</v>
      </c>
      <c r="R29" s="205">
        <v>13.914</v>
      </c>
      <c r="S29" s="205">
        <v>14.475</v>
      </c>
      <c r="T29" s="205">
        <v>14.118</v>
      </c>
      <c r="U29" s="205">
        <v>13.853</v>
      </c>
      <c r="V29" s="206">
        <v>13.976000000000001</v>
      </c>
      <c r="W29" s="226" t="s">
        <v>30</v>
      </c>
      <c r="X29" s="153">
        <f>V29/road_by_tot!V29*100</f>
        <v>57.516770237458338</v>
      </c>
      <c r="Y29" s="153">
        <f t="shared" si="5"/>
        <v>0.88789431892008963</v>
      </c>
    </row>
    <row r="30" spans="1:25" ht="12.75" customHeight="1" x14ac:dyDescent="0.2">
      <c r="A30" s="15"/>
      <c r="B30" s="17" t="s">
        <v>14</v>
      </c>
      <c r="C30" s="195" t="s">
        <v>35</v>
      </c>
      <c r="D30" s="190" t="s">
        <v>35</v>
      </c>
      <c r="E30" s="190" t="s">
        <v>35</v>
      </c>
      <c r="F30" s="190" t="s">
        <v>35</v>
      </c>
      <c r="G30" s="190"/>
      <c r="H30" s="190">
        <v>48</v>
      </c>
      <c r="I30" s="190">
        <v>49</v>
      </c>
      <c r="J30" s="190">
        <v>50.5</v>
      </c>
      <c r="K30" s="190">
        <v>53</v>
      </c>
      <c r="L30" s="59">
        <v>58.825000000000003</v>
      </c>
      <c r="M30" s="59">
        <v>60.94</v>
      </c>
      <c r="N30" s="59">
        <v>59.42</v>
      </c>
      <c r="O30" s="59">
        <v>65.769000000000005</v>
      </c>
      <c r="P30" s="59">
        <v>71.917000000000002</v>
      </c>
      <c r="Q30" s="59">
        <v>79.206999999999994</v>
      </c>
      <c r="R30" s="59">
        <v>82.218000000000004</v>
      </c>
      <c r="S30" s="59">
        <v>89.733999999999995</v>
      </c>
      <c r="T30" s="59">
        <v>89.013000000000005</v>
      </c>
      <c r="U30" s="59">
        <v>100.32</v>
      </c>
      <c r="V30" s="217">
        <v>96.626999999999995</v>
      </c>
      <c r="W30" s="230" t="s">
        <v>14</v>
      </c>
      <c r="X30" s="109">
        <f>V30/road_by_tot!V30*100</f>
        <v>38.507398448178975</v>
      </c>
      <c r="Y30" s="109">
        <f t="shared" si="5"/>
        <v>-3.6812200956937886</v>
      </c>
    </row>
    <row r="31" spans="1:25" ht="12.75" customHeight="1" x14ac:dyDescent="0.2">
      <c r="A31" s="15"/>
      <c r="B31" s="91" t="s">
        <v>31</v>
      </c>
      <c r="C31" s="204">
        <v>16.5</v>
      </c>
      <c r="D31" s="205">
        <v>16.79</v>
      </c>
      <c r="E31" s="205">
        <v>17.329999999999998</v>
      </c>
      <c r="F31" s="205">
        <v>17.63</v>
      </c>
      <c r="G31" s="285">
        <v>14.308999999999999</v>
      </c>
      <c r="H31" s="205">
        <v>14.22</v>
      </c>
      <c r="I31" s="205">
        <v>16.350999999999999</v>
      </c>
      <c r="J31" s="205">
        <v>14.916</v>
      </c>
      <c r="K31" s="211">
        <v>14.199</v>
      </c>
      <c r="L31" s="205">
        <v>17.434999999999999</v>
      </c>
      <c r="M31" s="205">
        <v>17.445</v>
      </c>
      <c r="N31" s="205">
        <v>17.54</v>
      </c>
      <c r="O31" s="205">
        <v>18.318999999999999</v>
      </c>
      <c r="P31" s="205">
        <v>17.114000000000001</v>
      </c>
      <c r="Q31" s="205">
        <v>14.423999999999999</v>
      </c>
      <c r="R31" s="205">
        <v>12.881</v>
      </c>
      <c r="S31" s="205">
        <v>12.673</v>
      </c>
      <c r="T31" s="205">
        <v>11.18</v>
      </c>
      <c r="U31" s="205">
        <v>9.7729999999999997</v>
      </c>
      <c r="V31" s="206">
        <v>10.468999999999999</v>
      </c>
      <c r="W31" s="226" t="s">
        <v>31</v>
      </c>
      <c r="X31" s="120">
        <f>V31/road_by_tot!V31*100</f>
        <v>30.028970541835182</v>
      </c>
      <c r="Y31" s="120">
        <f t="shared" si="5"/>
        <v>7.12166172106825</v>
      </c>
    </row>
    <row r="32" spans="1:25" ht="12.75" customHeight="1" x14ac:dyDescent="0.2">
      <c r="A32" s="15"/>
      <c r="B32" s="17" t="s">
        <v>15</v>
      </c>
      <c r="C32" s="214" t="s">
        <v>35</v>
      </c>
      <c r="D32" s="215"/>
      <c r="E32" s="215"/>
      <c r="F32" s="215"/>
      <c r="G32" s="215">
        <v>9.7270000000000003</v>
      </c>
      <c r="H32" s="222">
        <v>9.8800000000000008</v>
      </c>
      <c r="I32" s="215">
        <v>10.645</v>
      </c>
      <c r="J32" s="215">
        <v>10.98</v>
      </c>
      <c r="K32" s="215">
        <v>13.637</v>
      </c>
      <c r="L32" s="215">
        <v>14.651</v>
      </c>
      <c r="M32" s="215">
        <v>19.399000000000001</v>
      </c>
      <c r="N32" s="215">
        <v>22.722999999999999</v>
      </c>
      <c r="O32" s="215">
        <v>23.931999999999999</v>
      </c>
      <c r="P32" s="215">
        <v>23.19</v>
      </c>
      <c r="Q32" s="215">
        <v>20.879000000000001</v>
      </c>
      <c r="R32" s="215">
        <v>12.096</v>
      </c>
      <c r="S32" s="215">
        <v>11.858000000000001</v>
      </c>
      <c r="T32" s="215">
        <v>12.673</v>
      </c>
      <c r="U32" s="215">
        <v>12.505000000000001</v>
      </c>
      <c r="V32" s="216">
        <v>12.135999999999999</v>
      </c>
      <c r="W32" s="230" t="s">
        <v>15</v>
      </c>
      <c r="X32" s="151">
        <f>V32/road_by_tot!V32*100</f>
        <v>34.540072859744988</v>
      </c>
      <c r="Y32" s="151">
        <f t="shared" si="5"/>
        <v>-2.9508196721311606</v>
      </c>
    </row>
    <row r="33" spans="1:25" ht="12.75" customHeight="1" x14ac:dyDescent="0.2">
      <c r="A33" s="15"/>
      <c r="B33" s="91" t="s">
        <v>17</v>
      </c>
      <c r="C33" s="204" t="s">
        <v>35</v>
      </c>
      <c r="D33" s="205" t="s">
        <v>35</v>
      </c>
      <c r="E33" s="205" t="s">
        <v>35</v>
      </c>
      <c r="F33" s="205" t="s">
        <v>35</v>
      </c>
      <c r="G33" s="205"/>
      <c r="H33" s="205">
        <v>1.9</v>
      </c>
      <c r="I33" s="205">
        <v>1.927</v>
      </c>
      <c r="J33" s="205">
        <v>1.9450000000000001</v>
      </c>
      <c r="K33" s="205">
        <v>1.9950000000000001</v>
      </c>
      <c r="L33" s="205">
        <v>2.2669999999999999</v>
      </c>
      <c r="M33" s="205">
        <v>2.3610000000000002</v>
      </c>
      <c r="N33" s="205">
        <v>2.2789999999999999</v>
      </c>
      <c r="O33" s="205">
        <v>2.573</v>
      </c>
      <c r="P33" s="205">
        <v>2.6360000000000001</v>
      </c>
      <c r="Q33" s="205">
        <v>2.2759999999999998</v>
      </c>
      <c r="R33" s="205">
        <v>2.2879999999999998</v>
      </c>
      <c r="S33" s="205">
        <v>2.177</v>
      </c>
      <c r="T33" s="205">
        <v>1.849</v>
      </c>
      <c r="U33" s="205">
        <v>1.889</v>
      </c>
      <c r="V33" s="206">
        <v>2.0619999999999998</v>
      </c>
      <c r="W33" s="226" t="s">
        <v>17</v>
      </c>
      <c r="X33" s="153">
        <f>V33/road_by_tot!V33*100</f>
        <v>12.671296011798683</v>
      </c>
      <c r="Y33" s="153">
        <f t="shared" si="5"/>
        <v>9.1582848067760523</v>
      </c>
    </row>
    <row r="34" spans="1:25" ht="12.75" customHeight="1" x14ac:dyDescent="0.2">
      <c r="A34" s="15"/>
      <c r="B34" s="17" t="s">
        <v>16</v>
      </c>
      <c r="C34" s="214" t="s">
        <v>35</v>
      </c>
      <c r="D34" s="215"/>
      <c r="E34" s="215"/>
      <c r="F34" s="215"/>
      <c r="G34" s="215"/>
      <c r="H34" s="215">
        <v>5.056</v>
      </c>
      <c r="I34" s="215">
        <v>5.3179999999999996</v>
      </c>
      <c r="J34" s="215">
        <v>5.0199999999999996</v>
      </c>
      <c r="K34" s="215">
        <v>5.2039999999999997</v>
      </c>
      <c r="L34" s="215">
        <v>5.4219999999999997</v>
      </c>
      <c r="M34" s="215">
        <v>5.6210000000000004</v>
      </c>
      <c r="N34" s="215">
        <v>5.2030000000000003</v>
      </c>
      <c r="O34" s="215">
        <v>5.617</v>
      </c>
      <c r="P34" s="215">
        <v>6.319</v>
      </c>
      <c r="Q34" s="215">
        <v>5.5190000000000001</v>
      </c>
      <c r="R34" s="215">
        <v>5.1980000000000004</v>
      </c>
      <c r="S34" s="215">
        <v>4.9059999999999997</v>
      </c>
      <c r="T34" s="215">
        <v>5.0730000000000004</v>
      </c>
      <c r="U34" s="215">
        <v>4.5659999999999998</v>
      </c>
      <c r="V34" s="216">
        <v>5.0940000000000003</v>
      </c>
      <c r="W34" s="230" t="s">
        <v>16</v>
      </c>
      <c r="X34" s="151">
        <f>V34/road_by_tot!V34*100</f>
        <v>16.244658460360995</v>
      </c>
      <c r="Y34" s="151">
        <f t="shared" si="5"/>
        <v>11.563731931668869</v>
      </c>
    </row>
    <row r="35" spans="1:25" ht="12.75" customHeight="1" x14ac:dyDescent="0.2">
      <c r="A35" s="15"/>
      <c r="B35" s="91" t="s">
        <v>32</v>
      </c>
      <c r="C35" s="204">
        <v>21.803999999999998</v>
      </c>
      <c r="D35" s="205">
        <v>22.184999999999999</v>
      </c>
      <c r="E35" s="205">
        <v>23.507999999999999</v>
      </c>
      <c r="F35" s="205">
        <v>25.611000000000001</v>
      </c>
      <c r="G35" s="205">
        <v>25.806000000000001</v>
      </c>
      <c r="H35" s="205">
        <v>27.716999999999999</v>
      </c>
      <c r="I35" s="205">
        <v>26.678000000000001</v>
      </c>
      <c r="J35" s="205">
        <v>28.071000000000002</v>
      </c>
      <c r="K35" s="205">
        <v>26.896000000000001</v>
      </c>
      <c r="L35" s="205">
        <v>27.331</v>
      </c>
      <c r="M35" s="205">
        <v>27.815000000000001</v>
      </c>
      <c r="N35" s="205">
        <v>25.465</v>
      </c>
      <c r="O35" s="205">
        <v>25.963999999999999</v>
      </c>
      <c r="P35" s="205">
        <v>27.614999999999998</v>
      </c>
      <c r="Q35" s="205">
        <v>24.393999999999998</v>
      </c>
      <c r="R35" s="205">
        <v>25.155999999999999</v>
      </c>
      <c r="S35" s="205">
        <v>23.731999999999999</v>
      </c>
      <c r="T35" s="205">
        <v>21.928000000000001</v>
      </c>
      <c r="U35" s="205">
        <v>20.968</v>
      </c>
      <c r="V35" s="206">
        <v>20.297999999999998</v>
      </c>
      <c r="W35" s="226" t="s">
        <v>32</v>
      </c>
      <c r="X35" s="153">
        <f>V35/road_by_tot!V35*100</f>
        <v>86.739882910986694</v>
      </c>
      <c r="Y35" s="153">
        <f t="shared" si="5"/>
        <v>-3.1953452880580073</v>
      </c>
    </row>
    <row r="36" spans="1:25" ht="12.75" customHeight="1" x14ac:dyDescent="0.2">
      <c r="A36" s="15"/>
      <c r="B36" s="17" t="s">
        <v>33</v>
      </c>
      <c r="C36" s="214">
        <v>28.356999999999999</v>
      </c>
      <c r="D36" s="215">
        <v>30.288</v>
      </c>
      <c r="E36" s="215">
        <v>32.176000000000002</v>
      </c>
      <c r="F36" s="215">
        <v>30.369</v>
      </c>
      <c r="G36" s="215">
        <v>30.422000000000001</v>
      </c>
      <c r="H36" s="215">
        <v>31.451000000000001</v>
      </c>
      <c r="I36" s="215">
        <v>29.966999999999999</v>
      </c>
      <c r="J36" s="215">
        <v>31.835999999999999</v>
      </c>
      <c r="K36" s="215">
        <v>31.466999999999999</v>
      </c>
      <c r="L36" s="215">
        <v>32.691000000000003</v>
      </c>
      <c r="M36" s="215">
        <v>34.701000000000001</v>
      </c>
      <c r="N36" s="215">
        <v>35.473999999999997</v>
      </c>
      <c r="O36" s="215">
        <v>36.395000000000003</v>
      </c>
      <c r="P36" s="215">
        <v>37.951999999999998</v>
      </c>
      <c r="Q36" s="215">
        <v>32.122999999999998</v>
      </c>
      <c r="R36" s="215">
        <v>32.731999999999999</v>
      </c>
      <c r="S36" s="215">
        <v>33.402000000000001</v>
      </c>
      <c r="T36" s="215">
        <v>30.37</v>
      </c>
      <c r="U36" s="215">
        <v>30.715</v>
      </c>
      <c r="V36" s="403">
        <v>38.816000000000003</v>
      </c>
      <c r="W36" s="230" t="s">
        <v>33</v>
      </c>
      <c r="X36" s="151">
        <f>V36/road_by_tot!V36*100</f>
        <v>92.498331903536368</v>
      </c>
      <c r="Y36" s="151">
        <f t="shared" si="5"/>
        <v>26.374735471268124</v>
      </c>
    </row>
    <row r="37" spans="1:25" ht="12.75" customHeight="1" x14ac:dyDescent="0.2">
      <c r="A37" s="15"/>
      <c r="B37" s="94" t="s">
        <v>22</v>
      </c>
      <c r="C37" s="218">
        <v>146.714</v>
      </c>
      <c r="D37" s="219">
        <v>150.19499999999999</v>
      </c>
      <c r="E37" s="219">
        <v>152.50200000000001</v>
      </c>
      <c r="F37" s="219">
        <v>155.43100000000001</v>
      </c>
      <c r="G37" s="219">
        <v>149.01900000000001</v>
      </c>
      <c r="H37" s="219">
        <v>150.33699999999999</v>
      </c>
      <c r="I37" s="219">
        <v>149.76</v>
      </c>
      <c r="J37" s="219">
        <v>150.91999999999999</v>
      </c>
      <c r="K37" s="219">
        <v>153.93299999999999</v>
      </c>
      <c r="L37" s="219">
        <v>151.179</v>
      </c>
      <c r="M37" s="219">
        <v>151.21799999999999</v>
      </c>
      <c r="N37" s="219">
        <v>154.77000000000001</v>
      </c>
      <c r="O37" s="219">
        <v>160.708</v>
      </c>
      <c r="P37" s="219">
        <v>151.14500000000001</v>
      </c>
      <c r="Q37" s="219">
        <v>131.61600000000001</v>
      </c>
      <c r="R37" s="219">
        <v>137.75299999999999</v>
      </c>
      <c r="S37" s="263">
        <v>144.697</v>
      </c>
      <c r="T37" s="263">
        <v>150.00399999999999</v>
      </c>
      <c r="U37" s="263">
        <v>138.96799999999999</v>
      </c>
      <c r="V37" s="246">
        <v>135.63999999999999</v>
      </c>
      <c r="W37" s="227" t="s">
        <v>22</v>
      </c>
      <c r="X37" s="154">
        <f>V37/road_by_tot!V37*100</f>
        <v>94.735886350461314</v>
      </c>
      <c r="Y37" s="154">
        <f t="shared" si="5"/>
        <v>-2.3947959242415493</v>
      </c>
    </row>
    <row r="38" spans="1:25" ht="12.75" customHeight="1" x14ac:dyDescent="0.2">
      <c r="A38" s="15"/>
      <c r="B38" s="17" t="s">
        <v>123</v>
      </c>
      <c r="C38" s="144"/>
      <c r="D38" s="59"/>
      <c r="E38" s="59"/>
      <c r="F38" s="59"/>
      <c r="G38" s="59"/>
      <c r="H38" s="59"/>
      <c r="I38" s="59"/>
      <c r="J38" s="59"/>
      <c r="K38" s="59"/>
      <c r="L38" s="59"/>
      <c r="M38" s="59"/>
      <c r="N38" s="59"/>
      <c r="O38" s="59"/>
      <c r="P38" s="59"/>
      <c r="Q38" s="59"/>
      <c r="R38" s="59"/>
      <c r="S38" s="208"/>
      <c r="T38" s="208"/>
      <c r="U38" s="208"/>
      <c r="V38" s="239"/>
      <c r="W38" s="230" t="s">
        <v>123</v>
      </c>
      <c r="X38" s="152"/>
      <c r="Y38" s="152"/>
    </row>
    <row r="39" spans="1:25" ht="12.75" customHeight="1" x14ac:dyDescent="0.2">
      <c r="A39" s="15"/>
      <c r="B39" s="279" t="s">
        <v>113</v>
      </c>
      <c r="C39" s="294"/>
      <c r="D39" s="281"/>
      <c r="E39" s="281"/>
      <c r="F39" s="281"/>
      <c r="G39" s="281"/>
      <c r="H39" s="281"/>
      <c r="I39" s="281"/>
      <c r="J39" s="281"/>
      <c r="K39" s="281"/>
      <c r="L39" s="281"/>
      <c r="M39" s="281"/>
      <c r="N39" s="281"/>
      <c r="O39" s="281"/>
      <c r="P39" s="281"/>
      <c r="Q39" s="281"/>
      <c r="R39" s="281"/>
      <c r="S39" s="281"/>
      <c r="T39" s="281"/>
      <c r="U39" s="281"/>
      <c r="V39" s="295"/>
      <c r="W39" s="398" t="s">
        <v>113</v>
      </c>
      <c r="X39" s="296"/>
      <c r="Y39" s="296"/>
    </row>
    <row r="40" spans="1:25" ht="12.75" customHeight="1" x14ac:dyDescent="0.2">
      <c r="A40" s="15"/>
      <c r="B40" s="17" t="s">
        <v>3</v>
      </c>
      <c r="C40" s="144" t="s">
        <v>35</v>
      </c>
      <c r="D40" s="59"/>
      <c r="E40" s="59"/>
      <c r="F40" s="59"/>
      <c r="G40" s="59"/>
      <c r="H40" s="59"/>
      <c r="I40" s="59"/>
      <c r="J40" s="59"/>
      <c r="K40" s="59"/>
      <c r="L40" s="59"/>
      <c r="M40" s="59"/>
      <c r="N40" s="59"/>
      <c r="O40" s="59"/>
      <c r="P40" s="59"/>
      <c r="Q40" s="59"/>
      <c r="R40" s="59"/>
      <c r="S40" s="59"/>
      <c r="T40" s="59"/>
      <c r="U40" s="59"/>
      <c r="V40" s="217"/>
      <c r="W40" s="399" t="s">
        <v>3</v>
      </c>
      <c r="X40" s="109"/>
      <c r="Y40" s="109"/>
    </row>
    <row r="41" spans="1:25" ht="12.75" customHeight="1" x14ac:dyDescent="0.2">
      <c r="A41" s="15"/>
      <c r="B41" s="279" t="s">
        <v>114</v>
      </c>
      <c r="C41" s="294"/>
      <c r="D41" s="281"/>
      <c r="E41" s="281"/>
      <c r="F41" s="281"/>
      <c r="G41" s="281"/>
      <c r="H41" s="281"/>
      <c r="I41" s="281"/>
      <c r="J41" s="281"/>
      <c r="K41" s="281"/>
      <c r="L41" s="281"/>
      <c r="M41" s="281"/>
      <c r="N41" s="281"/>
      <c r="O41" s="281"/>
      <c r="P41" s="281"/>
      <c r="Q41" s="281"/>
      <c r="R41" s="281"/>
      <c r="S41" s="281"/>
      <c r="T41" s="281"/>
      <c r="U41" s="281"/>
      <c r="V41" s="295"/>
      <c r="W41" s="398" t="s">
        <v>114</v>
      </c>
      <c r="X41" s="296"/>
      <c r="Y41" s="296"/>
    </row>
    <row r="42" spans="1:25" ht="12.75" customHeight="1" x14ac:dyDescent="0.2">
      <c r="A42" s="15"/>
      <c r="B42" s="18" t="s">
        <v>18</v>
      </c>
      <c r="C42" s="145">
        <v>112.5</v>
      </c>
      <c r="D42" s="60">
        <v>135.80000000000001</v>
      </c>
      <c r="E42" s="60">
        <v>139.80000000000001</v>
      </c>
      <c r="F42" s="60">
        <v>152.21</v>
      </c>
      <c r="G42" s="60">
        <v>150.97399999999999</v>
      </c>
      <c r="H42" s="60">
        <v>161.55199999999999</v>
      </c>
      <c r="I42" s="60">
        <v>151.42099999999999</v>
      </c>
      <c r="J42" s="60">
        <v>150.91200000000001</v>
      </c>
      <c r="K42" s="60">
        <v>152.16300000000001</v>
      </c>
      <c r="L42" s="60">
        <v>156.85300000000001</v>
      </c>
      <c r="M42" s="60">
        <v>166.83099999999999</v>
      </c>
      <c r="N42" s="60">
        <v>177.399</v>
      </c>
      <c r="O42" s="60">
        <v>181.33</v>
      </c>
      <c r="P42" s="60">
        <v>181.935</v>
      </c>
      <c r="Q42" s="60">
        <v>176.45500000000001</v>
      </c>
      <c r="R42" s="60">
        <v>190.36500000000001</v>
      </c>
      <c r="S42" s="60">
        <v>203.072</v>
      </c>
      <c r="T42" s="60">
        <v>216.12299999999999</v>
      </c>
      <c r="U42" s="60">
        <v>224.048</v>
      </c>
      <c r="V42" s="221">
        <v>234.49199999999999</v>
      </c>
      <c r="W42" s="400" t="s">
        <v>18</v>
      </c>
      <c r="X42" s="111"/>
      <c r="Y42" s="111">
        <f t="shared" ref="Y42:Y45" si="6">V42/U42*100-100</f>
        <v>4.6615011069056607</v>
      </c>
    </row>
    <row r="43" spans="1:25" ht="12.75" customHeight="1" x14ac:dyDescent="0.2">
      <c r="A43" s="15"/>
      <c r="B43" s="297" t="s">
        <v>4</v>
      </c>
      <c r="C43" s="298">
        <v>0.5</v>
      </c>
      <c r="D43" s="299">
        <v>0.5</v>
      </c>
      <c r="E43" s="299">
        <v>0.5</v>
      </c>
      <c r="F43" s="299">
        <v>0.5</v>
      </c>
      <c r="G43" s="299">
        <v>0.6</v>
      </c>
      <c r="H43" s="299">
        <v>0.6</v>
      </c>
      <c r="I43" s="300">
        <v>0.64200000000000002</v>
      </c>
      <c r="J43" s="300">
        <v>0.66</v>
      </c>
      <c r="K43" s="300">
        <v>0.67900000000000005</v>
      </c>
      <c r="L43" s="300">
        <v>0.69899999999999995</v>
      </c>
      <c r="M43" s="300">
        <v>0.74099999999999999</v>
      </c>
      <c r="N43" s="300">
        <v>0.78600000000000003</v>
      </c>
      <c r="O43" s="300">
        <v>0.82499999999999996</v>
      </c>
      <c r="P43" s="300">
        <v>0.80500000000000005</v>
      </c>
      <c r="Q43" s="300">
        <v>0.81299999999999994</v>
      </c>
      <c r="R43" s="300">
        <v>0.80600000000000005</v>
      </c>
      <c r="S43" s="301">
        <v>0.77700000000000002</v>
      </c>
      <c r="T43" s="301">
        <v>0.78600000000000003</v>
      </c>
      <c r="U43" s="301">
        <v>0.80800000000000005</v>
      </c>
      <c r="V43" s="302">
        <f>0.849</f>
        <v>0.84899999999999998</v>
      </c>
      <c r="W43" s="303" t="s">
        <v>4</v>
      </c>
      <c r="X43" s="304"/>
      <c r="Y43" s="355">
        <f t="shared" si="6"/>
        <v>5.074257425742573</v>
      </c>
    </row>
    <row r="44" spans="1:25" ht="12.75" customHeight="1" x14ac:dyDescent="0.2">
      <c r="A44" s="15"/>
      <c r="B44" s="17" t="s">
        <v>34</v>
      </c>
      <c r="C44" s="144" t="s">
        <v>35</v>
      </c>
      <c r="D44" s="59"/>
      <c r="E44" s="59"/>
      <c r="F44" s="59"/>
      <c r="G44" s="59">
        <v>11.742000000000001</v>
      </c>
      <c r="H44" s="59">
        <v>12.114000000000001</v>
      </c>
      <c r="I44" s="59">
        <v>12.391999999999999</v>
      </c>
      <c r="J44" s="59">
        <v>12.721</v>
      </c>
      <c r="K44" s="59">
        <v>13.522</v>
      </c>
      <c r="L44" s="59">
        <v>14.452999999999999</v>
      </c>
      <c r="M44" s="59">
        <v>15.352</v>
      </c>
      <c r="N44" s="59">
        <v>15.31</v>
      </c>
      <c r="O44" s="59">
        <v>15.427</v>
      </c>
      <c r="P44" s="59">
        <v>16.658000000000001</v>
      </c>
      <c r="Q44" s="59">
        <v>15.276999999999999</v>
      </c>
      <c r="R44" s="59">
        <v>16.344000000000001</v>
      </c>
      <c r="S44" s="59">
        <v>16.131</v>
      </c>
      <c r="T44" s="59">
        <v>16.983000000000001</v>
      </c>
      <c r="U44" s="59">
        <v>18.334</v>
      </c>
      <c r="V44" s="217">
        <v>19.033999999999999</v>
      </c>
      <c r="W44" s="230" t="s">
        <v>34</v>
      </c>
      <c r="X44" s="109">
        <f>V44/road_by_tot!V44*100</f>
        <v>88.144855052329348</v>
      </c>
      <c r="Y44" s="109">
        <f t="shared" si="6"/>
        <v>3.8180429802552567</v>
      </c>
    </row>
    <row r="45" spans="1:25" ht="11.25" customHeight="1" x14ac:dyDescent="0.2">
      <c r="A45" s="15"/>
      <c r="B45" s="325" t="s">
        <v>5</v>
      </c>
      <c r="C45" s="350">
        <v>8.3645999999999994</v>
      </c>
      <c r="D45" s="284">
        <v>8.2977000000000007</v>
      </c>
      <c r="E45" s="284">
        <v>8.4506999999999994</v>
      </c>
      <c r="F45" s="284">
        <v>8.8454999999999995</v>
      </c>
      <c r="G45" s="284">
        <v>8.7812999999999999</v>
      </c>
      <c r="H45" s="284">
        <v>8.9329999999999998</v>
      </c>
      <c r="I45" s="284">
        <v>8.6975999999999996</v>
      </c>
      <c r="J45" s="284">
        <v>8.8774999999999995</v>
      </c>
      <c r="K45" s="284">
        <v>8.8863000000000003</v>
      </c>
      <c r="L45" s="284">
        <v>9.1085390263184873</v>
      </c>
      <c r="M45" s="284">
        <v>9.2063329043271853</v>
      </c>
      <c r="N45" s="284">
        <v>9.3537256701993439</v>
      </c>
      <c r="O45" s="284">
        <v>9.6461549614199349</v>
      </c>
      <c r="P45" s="284">
        <v>9.8130000000000006</v>
      </c>
      <c r="Q45" s="284">
        <v>9.6969999999999992</v>
      </c>
      <c r="R45" s="284">
        <v>9.5500000000000007</v>
      </c>
      <c r="S45" s="284">
        <v>9.9120000000000008</v>
      </c>
      <c r="T45" s="284">
        <v>9.9909999999999997</v>
      </c>
      <c r="U45" s="284">
        <v>10.157999999999999</v>
      </c>
      <c r="V45" s="327">
        <v>10.585000000000001</v>
      </c>
      <c r="W45" s="367" t="s">
        <v>5</v>
      </c>
      <c r="X45" s="368">
        <f>V45/road_by_tot!V45*100</f>
        <v>81.005586592178787</v>
      </c>
      <c r="Y45" s="368">
        <f t="shared" si="6"/>
        <v>4.2035833825556495</v>
      </c>
    </row>
    <row r="46" spans="1:25" ht="12.75" customHeight="1" x14ac:dyDescent="0.2">
      <c r="A46" s="15"/>
    </row>
    <row r="47" spans="1:25" ht="15" customHeight="1" x14ac:dyDescent="0.2">
      <c r="A47" s="15"/>
      <c r="B47" s="488" t="s">
        <v>159</v>
      </c>
      <c r="C47" s="489"/>
      <c r="D47" s="489"/>
      <c r="E47" s="489"/>
      <c r="F47" s="489"/>
      <c r="G47" s="489"/>
      <c r="H47" s="489"/>
      <c r="I47" s="489"/>
      <c r="J47" s="489"/>
      <c r="K47" s="489"/>
      <c r="L47" s="489"/>
      <c r="M47" s="489"/>
      <c r="N47" s="489"/>
      <c r="O47" s="489"/>
      <c r="P47" s="489"/>
      <c r="Q47" s="489"/>
      <c r="R47" s="489"/>
      <c r="S47" s="489"/>
      <c r="T47" s="489"/>
      <c r="U47" s="489"/>
      <c r="V47" s="489"/>
      <c r="W47" s="489"/>
      <c r="X47" s="1"/>
      <c r="Y47" s="179"/>
    </row>
    <row r="48" spans="1:25" ht="12.75" customHeight="1" x14ac:dyDescent="0.2">
      <c r="B48" s="11" t="s">
        <v>109</v>
      </c>
      <c r="F48" s="179"/>
    </row>
    <row r="49" spans="2:22" x14ac:dyDescent="0.2">
      <c r="B49" s="176" t="s">
        <v>160</v>
      </c>
    </row>
    <row r="50" spans="2:22" x14ac:dyDescent="0.2">
      <c r="C50" s="102"/>
      <c r="D50" s="102"/>
      <c r="E50" s="102"/>
      <c r="F50" s="102"/>
      <c r="G50" s="102"/>
      <c r="H50" s="102"/>
      <c r="I50" s="102"/>
      <c r="J50" s="102"/>
      <c r="K50" s="102"/>
      <c r="L50" s="102"/>
      <c r="M50" s="102"/>
      <c r="N50" s="102"/>
      <c r="O50" s="102"/>
      <c r="P50" s="102"/>
      <c r="Q50" s="102"/>
      <c r="R50" s="102"/>
      <c r="S50" s="102"/>
      <c r="T50" s="102"/>
      <c r="U50" s="102"/>
      <c r="V50" s="102"/>
    </row>
    <row r="86" spans="10:12" ht="14.25" x14ac:dyDescent="0.2">
      <c r="J86" s="254"/>
      <c r="K86" s="253"/>
      <c r="L86" s="253"/>
    </row>
    <row r="87" spans="10:12" x14ac:dyDescent="0.2">
      <c r="J87" s="254"/>
      <c r="K87" s="254"/>
    </row>
  </sheetData>
  <mergeCells count="4">
    <mergeCell ref="B2:W2"/>
    <mergeCell ref="B3:W3"/>
    <mergeCell ref="X2:X5"/>
    <mergeCell ref="B47:W47"/>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Y51"/>
  <sheetViews>
    <sheetView workbookViewId="0">
      <selection activeCell="AC28" sqref="A23:AC28"/>
    </sheetView>
  </sheetViews>
  <sheetFormatPr defaultRowHeight="12.75" x14ac:dyDescent="0.2"/>
  <cols>
    <col min="1" max="1" width="3.7109375" customWidth="1"/>
    <col min="2" max="2" width="5.28515625" customWidth="1"/>
    <col min="3" max="3" width="7.7109375" customWidth="1"/>
    <col min="4" max="7" width="6.7109375" customWidth="1"/>
    <col min="8" max="13" width="7.7109375" customWidth="1"/>
    <col min="14" max="22" width="8.28515625" customWidth="1"/>
    <col min="23" max="23" width="5.42578125" customWidth="1"/>
    <col min="24" max="24" width="5.7109375" customWidth="1"/>
    <col min="25" max="25" width="6.42578125" customWidth="1"/>
  </cols>
  <sheetData>
    <row r="1" spans="1:25" ht="14.25" customHeight="1" x14ac:dyDescent="0.2">
      <c r="B1" s="40"/>
      <c r="C1" s="38"/>
      <c r="D1" s="38"/>
      <c r="E1" s="38"/>
      <c r="F1" s="38"/>
      <c r="G1" s="38"/>
      <c r="H1" s="38"/>
      <c r="I1" s="38"/>
      <c r="J1" s="41"/>
      <c r="W1" s="39" t="s">
        <v>95</v>
      </c>
    </row>
    <row r="2" spans="1:25" s="82" customFormat="1" ht="21" customHeight="1" x14ac:dyDescent="0.2">
      <c r="B2" s="483" t="s">
        <v>86</v>
      </c>
      <c r="C2" s="483"/>
      <c r="D2" s="483"/>
      <c r="E2" s="483"/>
      <c r="F2" s="483"/>
      <c r="G2" s="483"/>
      <c r="H2" s="483"/>
      <c r="I2" s="483"/>
      <c r="J2" s="483"/>
      <c r="K2" s="483"/>
      <c r="L2" s="483"/>
      <c r="M2" s="483"/>
      <c r="N2" s="483"/>
      <c r="O2" s="483"/>
      <c r="P2" s="483"/>
      <c r="Q2" s="483"/>
      <c r="R2" s="63"/>
      <c r="S2" s="248"/>
      <c r="T2" s="233"/>
      <c r="U2" s="290"/>
      <c r="V2" s="394"/>
      <c r="W2" s="184"/>
      <c r="X2" s="485" t="s">
        <v>106</v>
      </c>
      <c r="Y2" s="184"/>
    </row>
    <row r="3" spans="1:25" ht="33.75" customHeight="1" x14ac:dyDescent="0.2">
      <c r="B3" s="484" t="s">
        <v>38</v>
      </c>
      <c r="C3" s="484"/>
      <c r="D3" s="484"/>
      <c r="E3" s="484"/>
      <c r="F3" s="484"/>
      <c r="G3" s="484"/>
      <c r="H3" s="484"/>
      <c r="I3" s="484"/>
      <c r="J3" s="484"/>
      <c r="K3" s="484"/>
      <c r="L3" s="484"/>
      <c r="M3" s="484"/>
      <c r="N3" s="484"/>
      <c r="O3" s="484"/>
      <c r="P3" s="484"/>
      <c r="Q3" s="484"/>
      <c r="R3" s="49"/>
      <c r="S3" s="249"/>
      <c r="T3" s="234"/>
      <c r="U3" s="291"/>
      <c r="V3" s="395"/>
      <c r="W3" s="185"/>
      <c r="X3" s="486"/>
      <c r="Y3" s="185"/>
    </row>
    <row r="4" spans="1:25" ht="11.25" customHeight="1" x14ac:dyDescent="0.2">
      <c r="B4" s="4"/>
      <c r="C4" s="56"/>
      <c r="D4" s="56"/>
      <c r="E4" s="56"/>
      <c r="F4" s="56"/>
      <c r="G4" s="56"/>
      <c r="H4" s="56"/>
      <c r="J4" s="21"/>
      <c r="K4" s="21"/>
      <c r="L4" s="21"/>
      <c r="Q4" s="251" t="s">
        <v>112</v>
      </c>
      <c r="R4" s="21"/>
      <c r="S4" s="21"/>
      <c r="T4" s="21"/>
      <c r="U4" s="21"/>
      <c r="V4" s="21"/>
      <c r="X4" s="486"/>
      <c r="Y4" s="6"/>
    </row>
    <row r="5" spans="1:25" ht="20.100000000000001" customHeight="1" x14ac:dyDescent="0.2">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188">
        <v>2014</v>
      </c>
      <c r="W5" s="96"/>
      <c r="X5" s="487"/>
      <c r="Y5" s="147" t="s">
        <v>131</v>
      </c>
    </row>
    <row r="6" spans="1:25" ht="9.9499999999999993" customHeight="1" x14ac:dyDescent="0.2">
      <c r="B6" s="4"/>
      <c r="C6" s="89"/>
      <c r="D6" s="86"/>
      <c r="E6" s="86"/>
      <c r="F6" s="86"/>
      <c r="G6" s="86"/>
      <c r="H6" s="86"/>
      <c r="I6" s="86"/>
      <c r="J6" s="86"/>
      <c r="K6" s="86"/>
      <c r="L6" s="86"/>
      <c r="M6" s="86"/>
      <c r="N6" s="86"/>
      <c r="O6" s="86"/>
      <c r="P6" s="86"/>
      <c r="Q6" s="86"/>
      <c r="R6" s="86"/>
      <c r="S6" s="86"/>
      <c r="T6" s="86"/>
      <c r="U6" s="86"/>
      <c r="V6" s="189"/>
      <c r="W6" s="97"/>
      <c r="X6" s="186">
        <v>2014</v>
      </c>
      <c r="Y6" s="76" t="s">
        <v>73</v>
      </c>
    </row>
    <row r="7" spans="1:25" ht="12.75" customHeight="1" x14ac:dyDescent="0.2">
      <c r="B7" s="90" t="s">
        <v>120</v>
      </c>
      <c r="C7" s="163"/>
      <c r="D7" s="146"/>
      <c r="E7" s="146"/>
      <c r="F7" s="146"/>
      <c r="G7" s="146"/>
      <c r="H7" s="146">
        <f t="shared" ref="H7:S7" si="0">SUM(H10:H37)</f>
        <v>421.57899999999995</v>
      </c>
      <c r="I7" s="146">
        <f t="shared" si="0"/>
        <v>447.048</v>
      </c>
      <c r="J7" s="146">
        <f t="shared" si="0"/>
        <v>471.04599999999988</v>
      </c>
      <c r="K7" s="146">
        <f t="shared" si="0"/>
        <v>480.25599999999991</v>
      </c>
      <c r="L7" s="146">
        <f t="shared" si="0"/>
        <v>551.28600000000017</v>
      </c>
      <c r="M7" s="146">
        <f t="shared" si="0"/>
        <v>568.77300000000014</v>
      </c>
      <c r="N7" s="146">
        <f t="shared" si="0"/>
        <v>605.78299999999967</v>
      </c>
      <c r="O7" s="146">
        <f t="shared" si="0"/>
        <v>627.18200000000002</v>
      </c>
      <c r="P7" s="146">
        <f t="shared" si="0"/>
        <v>615.34400000000005</v>
      </c>
      <c r="Q7" s="146">
        <f t="shared" si="0"/>
        <v>541.06799999999998</v>
      </c>
      <c r="R7" s="146">
        <f t="shared" si="0"/>
        <v>578.41899999999987</v>
      </c>
      <c r="S7" s="146">
        <f t="shared" si="0"/>
        <v>570.40600000000006</v>
      </c>
      <c r="T7" s="146">
        <f>SUM(T10:T37)</f>
        <v>571.71000000000015</v>
      </c>
      <c r="U7" s="146">
        <f>SUM(U10:U37)</f>
        <v>607.00300000000004</v>
      </c>
      <c r="V7" s="404">
        <f>SUM(V10:V37)</f>
        <v>613.41700000000003</v>
      </c>
      <c r="W7" s="90" t="s">
        <v>120</v>
      </c>
      <c r="X7" s="148">
        <f>100-road_by_nat!X7</f>
        <v>35.550481312554666</v>
      </c>
      <c r="Y7" s="148">
        <f>V7/U7*100-100</f>
        <v>1.0566669357482681</v>
      </c>
    </row>
    <row r="8" spans="1:25" ht="12.75" customHeight="1" x14ac:dyDescent="0.2">
      <c r="A8" s="15"/>
      <c r="B8" s="91" t="s">
        <v>121</v>
      </c>
      <c r="C8" s="92">
        <f t="shared" ref="C8:F8" si="1">C10+C13+C14+SUM(C16:C21)+C25+C28+C29+C31+SUM(C35:C37)</f>
        <v>268.286</v>
      </c>
      <c r="D8" s="93">
        <f t="shared" si="1"/>
        <v>274.017</v>
      </c>
      <c r="E8" s="93">
        <f t="shared" si="1"/>
        <v>287.029</v>
      </c>
      <c r="F8" s="93">
        <f t="shared" si="1"/>
        <v>308.52899999999994</v>
      </c>
      <c r="G8" s="93">
        <f>G10+G13+G14+SUM(G16:G21)+G25+G28+G29+G31+SUM(G35:G37)-G20</f>
        <v>313.95500000000004</v>
      </c>
      <c r="H8" s="93">
        <f t="shared" ref="H8:S8" si="2">H7-H9</f>
        <v>330.25899999999996</v>
      </c>
      <c r="I8" s="93">
        <f t="shared" si="2"/>
        <v>343.63300000000004</v>
      </c>
      <c r="J8" s="93">
        <f t="shared" si="2"/>
        <v>352.42299999999989</v>
      </c>
      <c r="K8" s="93">
        <f t="shared" si="2"/>
        <v>351.28999999999996</v>
      </c>
      <c r="L8" s="169">
        <f t="shared" si="2"/>
        <v>394.74500000000018</v>
      </c>
      <c r="M8" s="169">
        <f t="shared" si="2"/>
        <v>380.70700000000016</v>
      </c>
      <c r="N8" s="169">
        <f t="shared" si="2"/>
        <v>382.71299999999968</v>
      </c>
      <c r="O8" s="169">
        <f t="shared" si="2"/>
        <v>372.42100000000005</v>
      </c>
      <c r="P8" s="169">
        <f t="shared" si="2"/>
        <v>348.66</v>
      </c>
      <c r="Q8" s="169">
        <f t="shared" si="2"/>
        <v>295.88499999999999</v>
      </c>
      <c r="R8" s="169">
        <f t="shared" si="2"/>
        <v>302.07599999999991</v>
      </c>
      <c r="S8" s="93">
        <f t="shared" si="2"/>
        <v>283.27900000000005</v>
      </c>
      <c r="T8" s="268">
        <f>T7-T9</f>
        <v>263.9410000000002</v>
      </c>
      <c r="U8" s="268">
        <f>U7-U9</f>
        <v>269.51300000000003</v>
      </c>
      <c r="V8" s="405">
        <f>V7-V9</f>
        <v>262.93600000000004</v>
      </c>
      <c r="W8" s="91" t="s">
        <v>121</v>
      </c>
      <c r="X8" s="149">
        <f>100-road_by_nat!X8</f>
        <v>21.656715643436812</v>
      </c>
      <c r="Y8" s="241">
        <f t="shared" ref="Y8:Y45" si="3">V8/U8*100-100</f>
        <v>-2.4403275537729172</v>
      </c>
    </row>
    <row r="9" spans="1:25" ht="12.75" customHeight="1" x14ac:dyDescent="0.2">
      <c r="A9" s="15"/>
      <c r="B9" s="94" t="s">
        <v>122</v>
      </c>
      <c r="C9" s="98"/>
      <c r="D9" s="95"/>
      <c r="E9" s="95"/>
      <c r="F9" s="95"/>
      <c r="G9" s="95"/>
      <c r="H9" s="95">
        <f t="shared" ref="H9:S9" si="4">H11+H12+H15+H20+H22+H23+H24+H26+H27+H30+H32+H33+H34</f>
        <v>91.320000000000007</v>
      </c>
      <c r="I9" s="95">
        <f t="shared" si="4"/>
        <v>103.41499999999999</v>
      </c>
      <c r="J9" s="95">
        <f t="shared" si="4"/>
        <v>118.623</v>
      </c>
      <c r="K9" s="95">
        <f t="shared" si="4"/>
        <v>128.96599999999998</v>
      </c>
      <c r="L9" s="95">
        <f t="shared" si="4"/>
        <v>156.541</v>
      </c>
      <c r="M9" s="95">
        <f t="shared" si="4"/>
        <v>188.06599999999997</v>
      </c>
      <c r="N9" s="95">
        <f t="shared" si="4"/>
        <v>223.07</v>
      </c>
      <c r="O9" s="95">
        <f t="shared" si="4"/>
        <v>254.761</v>
      </c>
      <c r="P9" s="95">
        <f t="shared" si="4"/>
        <v>266.68400000000003</v>
      </c>
      <c r="Q9" s="95">
        <f t="shared" si="4"/>
        <v>245.18299999999999</v>
      </c>
      <c r="R9" s="95">
        <f t="shared" si="4"/>
        <v>276.34299999999996</v>
      </c>
      <c r="S9" s="95">
        <f t="shared" si="4"/>
        <v>287.12700000000001</v>
      </c>
      <c r="T9" s="95">
        <f>T11+T12+T15+T20+T22+T23+T24+T26+T27+T30+T32+T33+T34</f>
        <v>307.76899999999995</v>
      </c>
      <c r="U9" s="95">
        <f>U11+U12+U15+U20+U22+U23+U24+U26+U27+U30+U32+U33+U34</f>
        <v>337.49</v>
      </c>
      <c r="V9" s="406">
        <f>V11+V12+V15+V20+V22+V23+V24+V26+V27+V30+V32+V33+V34</f>
        <v>350.48099999999999</v>
      </c>
      <c r="W9" s="94" t="s">
        <v>122</v>
      </c>
      <c r="X9" s="150">
        <f>100-road_by_nat!X9</f>
        <v>68.537106674723333</v>
      </c>
      <c r="Y9" s="150">
        <f t="shared" si="3"/>
        <v>3.849299238495945</v>
      </c>
    </row>
    <row r="10" spans="1:25" ht="12.75" customHeight="1" x14ac:dyDescent="0.2">
      <c r="A10" s="15"/>
      <c r="B10" s="17" t="s">
        <v>23</v>
      </c>
      <c r="C10" s="201">
        <v>26.984000000000002</v>
      </c>
      <c r="D10" s="202">
        <v>25.184999999999999</v>
      </c>
      <c r="E10" s="202">
        <v>25.274000000000004</v>
      </c>
      <c r="F10" s="202">
        <v>24.407</v>
      </c>
      <c r="G10" s="203">
        <v>21.526</v>
      </c>
      <c r="H10" s="202">
        <v>31.292999999999999</v>
      </c>
      <c r="I10" s="202">
        <v>32.616999999999997</v>
      </c>
      <c r="J10" s="202">
        <v>32.496000000000002</v>
      </c>
      <c r="K10" s="202">
        <v>30.959</v>
      </c>
      <c r="L10" s="202">
        <v>28.462</v>
      </c>
      <c r="M10" s="202">
        <v>24.565000000000001</v>
      </c>
      <c r="N10" s="202">
        <v>23.402000000000001</v>
      </c>
      <c r="O10" s="202">
        <v>22.434999999999999</v>
      </c>
      <c r="P10" s="202">
        <v>20.149000000000001</v>
      </c>
      <c r="Q10" s="202">
        <v>18.571999999999999</v>
      </c>
      <c r="R10" s="238">
        <v>17.245999999999999</v>
      </c>
      <c r="S10" s="238">
        <v>15.358000000000001</v>
      </c>
      <c r="T10" s="238">
        <v>13.919</v>
      </c>
      <c r="U10" s="202">
        <v>13.816000000000001</v>
      </c>
      <c r="V10" s="265">
        <v>12.641</v>
      </c>
      <c r="W10" s="17" t="s">
        <v>23</v>
      </c>
      <c r="X10" s="151">
        <f>100-road_by_nat!X10</f>
        <v>39.741574446680076</v>
      </c>
      <c r="Y10" s="151">
        <f t="shared" si="3"/>
        <v>-8.5046323103647978</v>
      </c>
    </row>
    <row r="11" spans="1:25" ht="12.75" customHeight="1" x14ac:dyDescent="0.2">
      <c r="A11" s="15"/>
      <c r="B11" s="91" t="s">
        <v>6</v>
      </c>
      <c r="C11" s="204"/>
      <c r="D11" s="205"/>
      <c r="E11" s="205"/>
      <c r="F11" s="205"/>
      <c r="G11" s="205"/>
      <c r="H11" s="205">
        <v>3.343</v>
      </c>
      <c r="I11" s="205">
        <v>4.7370000000000001</v>
      </c>
      <c r="J11" s="205">
        <v>4.8730000000000002</v>
      </c>
      <c r="K11" s="205">
        <v>4.9109999999999996</v>
      </c>
      <c r="L11" s="205">
        <v>7.3490000000000002</v>
      </c>
      <c r="M11" s="205">
        <v>9.3260000000000005</v>
      </c>
      <c r="N11" s="205">
        <v>7.9589999999999996</v>
      </c>
      <c r="O11" s="205">
        <v>8.734</v>
      </c>
      <c r="P11" s="205">
        <v>8.1999999999999993</v>
      </c>
      <c r="Q11" s="205">
        <v>11.436</v>
      </c>
      <c r="R11" s="205">
        <v>13.313000000000001</v>
      </c>
      <c r="S11" s="205">
        <v>14.696</v>
      </c>
      <c r="T11" s="205">
        <v>18.085999999999999</v>
      </c>
      <c r="U11" s="205">
        <v>19.905000000000001</v>
      </c>
      <c r="V11" s="206">
        <v>21.027000000000001</v>
      </c>
      <c r="W11" s="91" t="s">
        <v>6</v>
      </c>
      <c r="X11" s="120">
        <f>100-road_by_nat!X11</f>
        <v>75.493645436921085</v>
      </c>
      <c r="Y11" s="120">
        <f t="shared" si="3"/>
        <v>5.6367746797287168</v>
      </c>
    </row>
    <row r="12" spans="1:25" ht="12.75" customHeight="1" x14ac:dyDescent="0.2">
      <c r="A12" s="15"/>
      <c r="B12" s="17" t="s">
        <v>8</v>
      </c>
      <c r="C12" s="207"/>
      <c r="D12" s="208"/>
      <c r="E12" s="208"/>
      <c r="F12" s="208"/>
      <c r="G12" s="208"/>
      <c r="H12" s="208">
        <v>23.096</v>
      </c>
      <c r="I12" s="208">
        <v>24.06</v>
      </c>
      <c r="J12" s="208">
        <v>27.356000000000002</v>
      </c>
      <c r="K12" s="208">
        <v>29.172000000000001</v>
      </c>
      <c r="L12" s="208">
        <v>29.965</v>
      </c>
      <c r="M12" s="208">
        <v>27.928999999999998</v>
      </c>
      <c r="N12" s="208">
        <v>34.293999999999997</v>
      </c>
      <c r="O12" s="208">
        <v>32.31</v>
      </c>
      <c r="P12" s="208">
        <v>35.128999999999998</v>
      </c>
      <c r="Q12" s="208">
        <v>31.474</v>
      </c>
      <c r="R12" s="208">
        <v>37.07</v>
      </c>
      <c r="S12" s="208">
        <v>39.844999999999999</v>
      </c>
      <c r="T12" s="208">
        <v>36.825000000000003</v>
      </c>
      <c r="U12" s="208">
        <v>39.5</v>
      </c>
      <c r="V12" s="239">
        <v>37.279000000000003</v>
      </c>
      <c r="W12" s="17" t="s">
        <v>8</v>
      </c>
      <c r="X12" s="152">
        <f>100-road_by_nat!X12</f>
        <v>68.91776972565259</v>
      </c>
      <c r="Y12" s="152">
        <f t="shared" si="3"/>
        <v>-5.6227848101265749</v>
      </c>
    </row>
    <row r="13" spans="1:25" ht="12.75" customHeight="1" x14ac:dyDescent="0.2">
      <c r="A13" s="15"/>
      <c r="B13" s="91" t="s">
        <v>19</v>
      </c>
      <c r="C13" s="204">
        <v>13.072999999999999</v>
      </c>
      <c r="D13" s="205">
        <v>11.868</v>
      </c>
      <c r="E13" s="205">
        <v>11.788</v>
      </c>
      <c r="F13" s="205">
        <v>11.291999999999998</v>
      </c>
      <c r="G13" s="205">
        <v>12.814</v>
      </c>
      <c r="H13" s="205">
        <v>13.021000000000001</v>
      </c>
      <c r="I13" s="205">
        <v>11.269</v>
      </c>
      <c r="J13" s="205">
        <v>11.459</v>
      </c>
      <c r="K13" s="205">
        <v>11.997</v>
      </c>
      <c r="L13" s="205">
        <v>12.574999999999999</v>
      </c>
      <c r="M13" s="205">
        <v>12.241</v>
      </c>
      <c r="N13" s="205">
        <v>9.76</v>
      </c>
      <c r="O13" s="205">
        <v>9.16</v>
      </c>
      <c r="P13" s="205">
        <v>8.7620000000000005</v>
      </c>
      <c r="Q13" s="205">
        <v>6.8739999999999997</v>
      </c>
      <c r="R13" s="205">
        <v>4.4450000000000003</v>
      </c>
      <c r="S13" s="205">
        <v>4.0949999999999998</v>
      </c>
      <c r="T13" s="205">
        <v>4.3869999999999996</v>
      </c>
      <c r="U13" s="205">
        <v>3.855</v>
      </c>
      <c r="V13" s="206">
        <v>3.2410000000000001</v>
      </c>
      <c r="W13" s="91" t="s">
        <v>19</v>
      </c>
      <c r="X13" s="120">
        <f>100-road_by_nat!X13</f>
        <v>20.025951557093435</v>
      </c>
      <c r="Y13" s="120">
        <f t="shared" si="3"/>
        <v>-15.927367055771725</v>
      </c>
    </row>
    <row r="14" spans="1:25" ht="12.75" customHeight="1" x14ac:dyDescent="0.2">
      <c r="A14" s="15"/>
      <c r="B14" s="17" t="s">
        <v>24</v>
      </c>
      <c r="C14" s="207">
        <v>36.501000000000005</v>
      </c>
      <c r="D14" s="208">
        <v>37.405000000000001</v>
      </c>
      <c r="E14" s="208">
        <v>42.781000000000006</v>
      </c>
      <c r="F14" s="208">
        <v>46.99799999999999</v>
      </c>
      <c r="G14" s="208">
        <v>51.539000000000001</v>
      </c>
      <c r="H14" s="208">
        <v>54.179000000000002</v>
      </c>
      <c r="I14" s="208">
        <v>58.948</v>
      </c>
      <c r="J14" s="208">
        <v>59.74</v>
      </c>
      <c r="K14" s="208">
        <v>63.54</v>
      </c>
      <c r="L14" s="208">
        <v>71.448999999999998</v>
      </c>
      <c r="M14" s="208">
        <v>72.486999999999995</v>
      </c>
      <c r="N14" s="208">
        <v>78.637</v>
      </c>
      <c r="O14" s="208">
        <v>82.006</v>
      </c>
      <c r="P14" s="208">
        <v>76.986999999999995</v>
      </c>
      <c r="Q14" s="208">
        <v>61.978999999999999</v>
      </c>
      <c r="R14" s="208">
        <v>60.642000000000003</v>
      </c>
      <c r="S14" s="208">
        <v>58.807000000000002</v>
      </c>
      <c r="T14" s="208">
        <v>52.51</v>
      </c>
      <c r="U14" s="208">
        <v>49.021999999999998</v>
      </c>
      <c r="V14" s="239">
        <v>47.11</v>
      </c>
      <c r="W14" s="17" t="s">
        <v>24</v>
      </c>
      <c r="X14" s="152">
        <f>100-road_by_nat!X14</f>
        <v>15.189816277705063</v>
      </c>
      <c r="Y14" s="152">
        <f t="shared" si="3"/>
        <v>-3.9002896658643067</v>
      </c>
    </row>
    <row r="15" spans="1:25" ht="12.75" customHeight="1" x14ac:dyDescent="0.2">
      <c r="A15" s="15"/>
      <c r="B15" s="91" t="s">
        <v>9</v>
      </c>
      <c r="C15" s="209">
        <v>1.1000000000000001</v>
      </c>
      <c r="D15" s="210">
        <v>1.4550000000000001</v>
      </c>
      <c r="E15" s="210">
        <v>2.2629999999999999</v>
      </c>
      <c r="F15" s="210">
        <v>3.2530000000000001</v>
      </c>
      <c r="G15" s="210">
        <v>3.2410000000000001</v>
      </c>
      <c r="H15" s="210">
        <v>3.2170000000000001</v>
      </c>
      <c r="I15" s="205">
        <v>4.1289999999999996</v>
      </c>
      <c r="J15" s="211">
        <v>3.625</v>
      </c>
      <c r="K15" s="205">
        <v>2.4060000000000001</v>
      </c>
      <c r="L15" s="210">
        <v>3.62</v>
      </c>
      <c r="M15" s="210">
        <v>3.9769999999999999</v>
      </c>
      <c r="N15" s="210">
        <v>3.569</v>
      </c>
      <c r="O15" s="210">
        <v>4.4749999999999996</v>
      </c>
      <c r="P15" s="210">
        <v>5.5220000000000002</v>
      </c>
      <c r="Q15" s="210">
        <v>4.0140000000000002</v>
      </c>
      <c r="R15" s="210">
        <v>4.226</v>
      </c>
      <c r="S15" s="210">
        <v>4.3520000000000003</v>
      </c>
      <c r="T15" s="210">
        <v>4.1920000000000002</v>
      </c>
      <c r="U15" s="210">
        <v>4.3940000000000001</v>
      </c>
      <c r="V15" s="264">
        <v>4.7690000000000001</v>
      </c>
      <c r="W15" s="91" t="s">
        <v>9</v>
      </c>
      <c r="X15" s="153">
        <f>100-road_by_nat!X15</f>
        <v>75.578446909667193</v>
      </c>
      <c r="Y15" s="153">
        <f t="shared" si="3"/>
        <v>8.5343650432407827</v>
      </c>
    </row>
    <row r="16" spans="1:25" ht="12.75" customHeight="1" x14ac:dyDescent="0.2">
      <c r="A16" s="15"/>
      <c r="B16" s="17" t="s">
        <v>27</v>
      </c>
      <c r="C16" s="201">
        <v>0.8</v>
      </c>
      <c r="D16" s="202">
        <v>1.6</v>
      </c>
      <c r="E16" s="202">
        <v>2.2999999999999998</v>
      </c>
      <c r="F16" s="202">
        <v>3.5</v>
      </c>
      <c r="G16" s="202">
        <v>2.4689999999999994</v>
      </c>
      <c r="H16" s="202">
        <v>3.9380000000000002</v>
      </c>
      <c r="I16" s="202">
        <v>3.2029999999999998</v>
      </c>
      <c r="J16" s="202">
        <v>3.5449999999999999</v>
      </c>
      <c r="K16" s="202">
        <v>3.7149999999999999</v>
      </c>
      <c r="L16" s="202">
        <v>3.9279999999999999</v>
      </c>
      <c r="M16" s="202">
        <v>3.9260000000000002</v>
      </c>
      <c r="N16" s="202">
        <v>3.6219999999999999</v>
      </c>
      <c r="O16" s="202">
        <v>4.5919999999999996</v>
      </c>
      <c r="P16" s="202">
        <v>4.1369999999999996</v>
      </c>
      <c r="Q16" s="202">
        <v>3.218</v>
      </c>
      <c r="R16" s="202">
        <v>2.7170000000000001</v>
      </c>
      <c r="S16" s="202">
        <v>2.6379999999999999</v>
      </c>
      <c r="T16" s="202">
        <v>2.5569999999999999</v>
      </c>
      <c r="U16" s="202">
        <v>1.9990000000000001</v>
      </c>
      <c r="V16" s="265">
        <v>2.0470000000000002</v>
      </c>
      <c r="W16" s="17" t="s">
        <v>27</v>
      </c>
      <c r="X16" s="151">
        <f>100-road_by_nat!X16</f>
        <v>20.992718695518406</v>
      </c>
      <c r="Y16" s="151">
        <f t="shared" si="3"/>
        <v>2.4012006003001574</v>
      </c>
    </row>
    <row r="17" spans="1:25" ht="12.75" customHeight="1" x14ac:dyDescent="0.2">
      <c r="A17" s="15"/>
      <c r="B17" s="91" t="s">
        <v>20</v>
      </c>
      <c r="C17" s="212">
        <v>4</v>
      </c>
      <c r="D17" s="213">
        <v>4.05</v>
      </c>
      <c r="E17" s="213">
        <v>4.12</v>
      </c>
      <c r="F17" s="213">
        <v>4.2</v>
      </c>
      <c r="G17" s="213">
        <v>4.3</v>
      </c>
      <c r="H17" s="213">
        <v>4.5</v>
      </c>
      <c r="I17" s="213">
        <v>4.5999999999999996</v>
      </c>
      <c r="J17" s="213">
        <v>4.7</v>
      </c>
      <c r="K17" s="210">
        <v>4.0640000000000001</v>
      </c>
      <c r="L17" s="210">
        <v>5.0279999999999996</v>
      </c>
      <c r="M17" s="210">
        <v>4.1509999999999998</v>
      </c>
      <c r="N17" s="213">
        <v>7.8650000000000002</v>
      </c>
      <c r="O17" s="205">
        <v>6.0620000000000003</v>
      </c>
      <c r="P17" s="205">
        <v>4.5039999999999996</v>
      </c>
      <c r="Q17" s="205">
        <v>4.3570000000000002</v>
      </c>
      <c r="R17" s="205">
        <v>4.5590000000000002</v>
      </c>
      <c r="S17" s="205">
        <v>3.7879999999999998</v>
      </c>
      <c r="T17" s="205">
        <v>4.3529999999999998</v>
      </c>
      <c r="U17" s="205">
        <v>4.4169999999999998</v>
      </c>
      <c r="V17" s="206">
        <v>4.1040000000000001</v>
      </c>
      <c r="W17" s="91" t="s">
        <v>20</v>
      </c>
      <c r="X17" s="120">
        <f>100-road_by_nat!X17</f>
        <v>21.349425167767777</v>
      </c>
      <c r="Y17" s="120">
        <f t="shared" si="3"/>
        <v>-7.0862576409327573</v>
      </c>
    </row>
    <row r="18" spans="1:25" ht="12.75" customHeight="1" x14ac:dyDescent="0.2">
      <c r="A18" s="15"/>
      <c r="B18" s="17" t="s">
        <v>25</v>
      </c>
      <c r="C18" s="214">
        <v>22.855999999999995</v>
      </c>
      <c r="D18" s="215">
        <v>25.742999999999995</v>
      </c>
      <c r="E18" s="215">
        <v>28.866</v>
      </c>
      <c r="F18" s="215">
        <v>33.671000000000006</v>
      </c>
      <c r="G18" s="215">
        <v>36.128</v>
      </c>
      <c r="H18" s="215">
        <v>41.781999999999996</v>
      </c>
      <c r="I18" s="215">
        <v>47.040999999999997</v>
      </c>
      <c r="J18" s="215">
        <v>55.039000000000001</v>
      </c>
      <c r="K18" s="215">
        <v>54.183</v>
      </c>
      <c r="L18" s="215">
        <v>65.807000000000002</v>
      </c>
      <c r="M18" s="215">
        <v>66.843999999999994</v>
      </c>
      <c r="N18" s="215">
        <v>67.2</v>
      </c>
      <c r="O18" s="215">
        <v>68.263999999999996</v>
      </c>
      <c r="P18" s="215">
        <v>67.799000000000007</v>
      </c>
      <c r="Q18" s="215">
        <v>60.835000000000001</v>
      </c>
      <c r="R18" s="215">
        <v>63.874000000000002</v>
      </c>
      <c r="S18" s="215">
        <v>64.52</v>
      </c>
      <c r="T18" s="215">
        <v>65.840999999999994</v>
      </c>
      <c r="U18" s="215">
        <v>65.599999999999994</v>
      </c>
      <c r="V18" s="216">
        <v>67.61</v>
      </c>
      <c r="W18" s="17" t="s">
        <v>25</v>
      </c>
      <c r="X18" s="110">
        <f>100-road_by_nat!X18</f>
        <v>34.53595345487237</v>
      </c>
      <c r="Y18" s="110">
        <f t="shared" si="3"/>
        <v>3.0640243902439153</v>
      </c>
    </row>
    <row r="19" spans="1:25" ht="12.75" customHeight="1" x14ac:dyDescent="0.2">
      <c r="A19" s="15"/>
      <c r="B19" s="91" t="s">
        <v>26</v>
      </c>
      <c r="C19" s="209">
        <v>42.9</v>
      </c>
      <c r="D19" s="210">
        <v>43.49799999999999</v>
      </c>
      <c r="E19" s="210">
        <v>42.44</v>
      </c>
      <c r="F19" s="210">
        <v>43.640999999999991</v>
      </c>
      <c r="G19" s="210">
        <v>45.688000000000002</v>
      </c>
      <c r="H19" s="210">
        <v>40.835999999999999</v>
      </c>
      <c r="I19" s="210">
        <v>38.298000000000002</v>
      </c>
      <c r="J19" s="210">
        <v>34.616999999999997</v>
      </c>
      <c r="K19" s="210">
        <v>32.712000000000003</v>
      </c>
      <c r="L19" s="210">
        <v>33.018000000000001</v>
      </c>
      <c r="M19" s="210">
        <v>27.954000000000001</v>
      </c>
      <c r="N19" s="210">
        <v>28.692</v>
      </c>
      <c r="O19" s="210">
        <v>27.824000000000002</v>
      </c>
      <c r="P19" s="210">
        <v>24.425000000000001</v>
      </c>
      <c r="Q19" s="210">
        <v>17.600000000000001</v>
      </c>
      <c r="R19" s="210">
        <v>17.867999999999999</v>
      </c>
      <c r="S19" s="210">
        <v>17.443000000000001</v>
      </c>
      <c r="T19" s="210">
        <v>15.996</v>
      </c>
      <c r="U19" s="210">
        <v>15.76</v>
      </c>
      <c r="V19" s="264">
        <v>14.113</v>
      </c>
      <c r="W19" s="91" t="s">
        <v>26</v>
      </c>
      <c r="X19" s="153">
        <f>100-road_by_nat!X19</f>
        <v>8.5416855802693306</v>
      </c>
      <c r="Y19" s="153">
        <f t="shared" si="3"/>
        <v>-10.450507614213194</v>
      </c>
    </row>
    <row r="20" spans="1:25" ht="12.75" customHeight="1" x14ac:dyDescent="0.2">
      <c r="A20" s="15"/>
      <c r="B20" s="17" t="s">
        <v>37</v>
      </c>
      <c r="C20" s="144"/>
      <c r="D20" s="59"/>
      <c r="E20" s="59"/>
      <c r="F20" s="190"/>
      <c r="G20" s="59">
        <v>0.81799999999999984</v>
      </c>
      <c r="H20" s="59">
        <v>0.95</v>
      </c>
      <c r="I20" s="59">
        <v>3.57</v>
      </c>
      <c r="J20" s="59">
        <v>3.75</v>
      </c>
      <c r="K20" s="59">
        <v>4.117</v>
      </c>
      <c r="L20" s="59">
        <v>4.4459999999999988</v>
      </c>
      <c r="M20" s="59">
        <v>4.9409999999999998</v>
      </c>
      <c r="N20" s="59">
        <v>4.8840000000000003</v>
      </c>
      <c r="O20" s="59">
        <v>5.38</v>
      </c>
      <c r="P20" s="59">
        <v>4.5979999999999999</v>
      </c>
      <c r="Q20" s="59">
        <v>4.3010000000000002</v>
      </c>
      <c r="R20" s="59">
        <v>4.2329999999999997</v>
      </c>
      <c r="S20" s="59">
        <v>4.5519999999999996</v>
      </c>
      <c r="T20" s="59">
        <v>4.5039999999999996</v>
      </c>
      <c r="U20" s="59">
        <v>4.8490000000000002</v>
      </c>
      <c r="V20" s="217">
        <v>5.45</v>
      </c>
      <c r="W20" s="230" t="s">
        <v>37</v>
      </c>
      <c r="X20" s="109">
        <f>100-road_by_nat!X20</f>
        <v>58.096151796183776</v>
      </c>
      <c r="Y20" s="109">
        <f t="shared" si="3"/>
        <v>12.39430810476388</v>
      </c>
    </row>
    <row r="21" spans="1:25" ht="12.75" customHeight="1" x14ac:dyDescent="0.2">
      <c r="A21" s="15"/>
      <c r="B21" s="91" t="s">
        <v>28</v>
      </c>
      <c r="C21" s="212">
        <v>24.13</v>
      </c>
      <c r="D21" s="213">
        <v>24.425000000000001</v>
      </c>
      <c r="E21" s="213">
        <v>24.753000000000014</v>
      </c>
      <c r="F21" s="213">
        <v>26.330999999999989</v>
      </c>
      <c r="G21" s="213">
        <v>25.323999999999984</v>
      </c>
      <c r="H21" s="213">
        <v>26.427</v>
      </c>
      <c r="I21" s="213">
        <v>31.763999999999999</v>
      </c>
      <c r="J21" s="205">
        <v>32.6</v>
      </c>
      <c r="K21" s="205">
        <v>30.904</v>
      </c>
      <c r="L21" s="205">
        <v>38.808</v>
      </c>
      <c r="M21" s="205">
        <v>40.216999999999999</v>
      </c>
      <c r="N21" s="205">
        <v>31.64</v>
      </c>
      <c r="O21" s="205">
        <v>27.004000000000001</v>
      </c>
      <c r="P21" s="205">
        <v>28.638000000000002</v>
      </c>
      <c r="Q21" s="205">
        <v>22.018000000000001</v>
      </c>
      <c r="R21" s="205">
        <v>26.527999999999999</v>
      </c>
      <c r="S21" s="205">
        <v>15.161</v>
      </c>
      <c r="T21" s="205">
        <v>12.23</v>
      </c>
      <c r="U21" s="205">
        <v>15.266</v>
      </c>
      <c r="V21" s="206">
        <v>15.462</v>
      </c>
      <c r="W21" s="226" t="s">
        <v>28</v>
      </c>
      <c r="X21" s="153">
        <f>100-road_by_nat!X21</f>
        <v>13.124188332357207</v>
      </c>
      <c r="Y21" s="153">
        <f t="shared" si="3"/>
        <v>1.2838988602122328</v>
      </c>
    </row>
    <row r="22" spans="1:25" ht="12.75" customHeight="1" x14ac:dyDescent="0.2">
      <c r="A22" s="15"/>
      <c r="B22" s="17" t="s">
        <v>7</v>
      </c>
      <c r="C22" s="144"/>
      <c r="D22" s="59"/>
      <c r="E22" s="59"/>
      <c r="F22" s="59"/>
      <c r="G22" s="59"/>
      <c r="H22" s="59">
        <v>0.03</v>
      </c>
      <c r="I22" s="59">
        <v>0.03</v>
      </c>
      <c r="J22" s="59">
        <v>3.6999999999999998E-2</v>
      </c>
      <c r="K22" s="59">
        <v>3.1E-2</v>
      </c>
      <c r="L22" s="59">
        <v>1.7000000000000001E-2</v>
      </c>
      <c r="M22" s="59">
        <v>1.9E-2</v>
      </c>
      <c r="N22" s="59">
        <v>0.02</v>
      </c>
      <c r="O22" s="59">
        <v>1.7999999999999999E-2</v>
      </c>
      <c r="P22" s="59">
        <v>1.2E-2</v>
      </c>
      <c r="Q22" s="59">
        <v>1.7999999999999999E-2</v>
      </c>
      <c r="R22" s="59">
        <v>2.1000000000000001E-2</v>
      </c>
      <c r="S22" s="59">
        <v>1.7999999999999999E-2</v>
      </c>
      <c r="T22" s="59">
        <v>1.7000000000000001E-2</v>
      </c>
      <c r="U22" s="59">
        <v>1.6E-2</v>
      </c>
      <c r="V22" s="217">
        <v>1.2E-2</v>
      </c>
      <c r="W22" s="230" t="s">
        <v>7</v>
      </c>
      <c r="X22" s="152">
        <f>100-road_by_nat!X22</f>
        <v>2.2304832713754763</v>
      </c>
      <c r="Y22" s="152">
        <f t="shared" si="3"/>
        <v>-25</v>
      </c>
    </row>
    <row r="23" spans="1:25" ht="12.75" customHeight="1" x14ac:dyDescent="0.2">
      <c r="A23" s="15"/>
      <c r="B23" s="91" t="s">
        <v>11</v>
      </c>
      <c r="C23" s="204"/>
      <c r="D23" s="205"/>
      <c r="E23" s="205"/>
      <c r="F23" s="205"/>
      <c r="G23" s="205"/>
      <c r="H23" s="205">
        <v>3.3050000000000002</v>
      </c>
      <c r="I23" s="205">
        <v>3.7149999999999999</v>
      </c>
      <c r="J23" s="205">
        <v>4.2329999999999997</v>
      </c>
      <c r="K23" s="205">
        <v>4.4429999999999996</v>
      </c>
      <c r="L23" s="205">
        <v>5</v>
      </c>
      <c r="M23" s="205">
        <v>5.66</v>
      </c>
      <c r="N23" s="205">
        <v>8.0350000000000001</v>
      </c>
      <c r="O23" s="205">
        <v>10.196999999999999</v>
      </c>
      <c r="P23" s="205">
        <v>9.8070000000000004</v>
      </c>
      <c r="Q23" s="205">
        <v>5.9660000000000002</v>
      </c>
      <c r="R23" s="205">
        <v>8.0289999999999999</v>
      </c>
      <c r="S23" s="205">
        <v>9.4849999999999994</v>
      </c>
      <c r="T23" s="205">
        <v>9.5619999999999994</v>
      </c>
      <c r="U23" s="205">
        <v>10.013</v>
      </c>
      <c r="V23" s="206">
        <v>10.929</v>
      </c>
      <c r="W23" s="226" t="s">
        <v>11</v>
      </c>
      <c r="X23" s="153">
        <f>100-road_by_nat!X23</f>
        <v>79.956108266276516</v>
      </c>
      <c r="Y23" s="153">
        <f t="shared" si="3"/>
        <v>9.1481074603016168</v>
      </c>
    </row>
    <row r="24" spans="1:25" ht="12.75" customHeight="1" x14ac:dyDescent="0.2">
      <c r="A24" s="15"/>
      <c r="B24" s="17" t="s">
        <v>12</v>
      </c>
      <c r="C24" s="144"/>
      <c r="D24" s="59"/>
      <c r="E24" s="59"/>
      <c r="F24" s="59"/>
      <c r="G24" s="59"/>
      <c r="H24" s="59">
        <v>6.2350000000000003</v>
      </c>
      <c r="I24" s="59">
        <v>6.7560000000000002</v>
      </c>
      <c r="J24" s="59">
        <v>9.1910000000000007</v>
      </c>
      <c r="K24" s="59">
        <v>9.5039999999999996</v>
      </c>
      <c r="L24" s="59">
        <v>10.066000000000001</v>
      </c>
      <c r="M24" s="59">
        <v>13.77</v>
      </c>
      <c r="N24" s="59">
        <v>15.901999999999999</v>
      </c>
      <c r="O24" s="59">
        <v>17.574000000000002</v>
      </c>
      <c r="P24" s="59">
        <v>17.859000000000002</v>
      </c>
      <c r="Q24" s="59">
        <v>15.124000000000001</v>
      </c>
      <c r="R24" s="59">
        <v>17.106000000000002</v>
      </c>
      <c r="S24" s="59">
        <v>19.192</v>
      </c>
      <c r="T24" s="59">
        <v>21.010999999999999</v>
      </c>
      <c r="U24" s="59">
        <v>23.797999999999998</v>
      </c>
      <c r="V24" s="217">
        <v>25.298999999999999</v>
      </c>
      <c r="W24" s="230" t="s">
        <v>12</v>
      </c>
      <c r="X24" s="109">
        <f>100-road_by_nat!X24</f>
        <v>90.137884348166892</v>
      </c>
      <c r="Y24" s="109">
        <f t="shared" si="3"/>
        <v>6.3072527103118006</v>
      </c>
    </row>
    <row r="25" spans="1:25" ht="12.75" customHeight="1" x14ac:dyDescent="0.2">
      <c r="A25" s="15"/>
      <c r="B25" s="91" t="s">
        <v>29</v>
      </c>
      <c r="C25" s="204">
        <v>4.9690000000000003</v>
      </c>
      <c r="D25" s="205">
        <v>3.1080000000000001</v>
      </c>
      <c r="E25" s="205">
        <v>4.0060000000000002</v>
      </c>
      <c r="F25" s="205">
        <v>4.6050000000000004</v>
      </c>
      <c r="G25" s="205">
        <v>5.9359999999999999</v>
      </c>
      <c r="H25" s="205">
        <v>7.1950000000000003</v>
      </c>
      <c r="I25" s="205">
        <v>8.2119999999999997</v>
      </c>
      <c r="J25" s="205">
        <v>8.5960000000000001</v>
      </c>
      <c r="K25" s="205">
        <v>9.0790000000000006</v>
      </c>
      <c r="L25" s="205">
        <v>9.0259999999999998</v>
      </c>
      <c r="M25" s="205">
        <v>8.3089999999999993</v>
      </c>
      <c r="N25" s="205">
        <v>8.2629999999999999</v>
      </c>
      <c r="O25" s="205">
        <v>9.0139999999999993</v>
      </c>
      <c r="P25" s="205">
        <v>8.41</v>
      </c>
      <c r="Q25" s="205">
        <v>7.87</v>
      </c>
      <c r="R25" s="205">
        <v>8.1199999999999992</v>
      </c>
      <c r="S25" s="205">
        <v>8.1850000000000005</v>
      </c>
      <c r="T25" s="205">
        <v>6.9059999999999997</v>
      </c>
      <c r="U25" s="205">
        <v>7.8289999999999997</v>
      </c>
      <c r="V25" s="206">
        <v>8.4710000000000001</v>
      </c>
      <c r="W25" s="226" t="s">
        <v>29</v>
      </c>
      <c r="X25" s="153">
        <f>100-road_by_nat!X25</f>
        <v>88.248775914157733</v>
      </c>
      <c r="Y25" s="153">
        <f t="shared" si="3"/>
        <v>8.2002810065142455</v>
      </c>
    </row>
    <row r="26" spans="1:25" ht="12.75" customHeight="1" x14ac:dyDescent="0.2">
      <c r="A26" s="15"/>
      <c r="B26" s="17" t="s">
        <v>10</v>
      </c>
      <c r="C26" s="207"/>
      <c r="D26" s="208"/>
      <c r="E26" s="208"/>
      <c r="F26" s="208"/>
      <c r="G26" s="208"/>
      <c r="H26" s="208">
        <v>6.9790000000000001</v>
      </c>
      <c r="I26" s="208">
        <v>6.6509999999999998</v>
      </c>
      <c r="J26" s="208">
        <v>6.7460000000000004</v>
      </c>
      <c r="K26" s="208">
        <v>7.5380000000000003</v>
      </c>
      <c r="L26" s="208">
        <v>9.6319999999999997</v>
      </c>
      <c r="M26" s="208">
        <v>13.757999999999999</v>
      </c>
      <c r="N26" s="208">
        <v>18.053999999999998</v>
      </c>
      <c r="O26" s="208">
        <v>22.619</v>
      </c>
      <c r="P26" s="208">
        <v>22.716000000000001</v>
      </c>
      <c r="Q26" s="208">
        <v>23.202999999999999</v>
      </c>
      <c r="R26" s="208">
        <v>22.391999999999999</v>
      </c>
      <c r="S26" s="208">
        <v>23.995000000000001</v>
      </c>
      <c r="T26" s="208">
        <v>24.555</v>
      </c>
      <c r="U26" s="208">
        <v>26.571999999999999</v>
      </c>
      <c r="V26" s="239">
        <v>27.887</v>
      </c>
      <c r="W26" s="230" t="s">
        <v>10</v>
      </c>
      <c r="X26" s="152">
        <f>100-road_by_nat!X26</f>
        <v>74.331636324866068</v>
      </c>
      <c r="Y26" s="109">
        <f t="shared" si="3"/>
        <v>4.9488183049826802</v>
      </c>
    </row>
    <row r="27" spans="1:25" ht="12.75" customHeight="1" x14ac:dyDescent="0.2">
      <c r="A27" s="15"/>
      <c r="B27" s="58" t="s">
        <v>13</v>
      </c>
      <c r="C27" s="212"/>
      <c r="D27" s="213"/>
      <c r="E27" s="213"/>
      <c r="F27" s="213"/>
      <c r="G27" s="213"/>
      <c r="H27" s="213">
        <v>0.05</v>
      </c>
      <c r="I27" s="213">
        <v>0.05</v>
      </c>
      <c r="J27" s="213">
        <v>0.05</v>
      </c>
      <c r="K27" s="213">
        <v>0.05</v>
      </c>
      <c r="L27" s="213">
        <v>0.05</v>
      </c>
      <c r="M27" s="213">
        <v>0.05</v>
      </c>
      <c r="N27" s="213">
        <v>0.05</v>
      </c>
      <c r="O27" s="213">
        <v>0.05</v>
      </c>
      <c r="P27" s="213">
        <v>0.05</v>
      </c>
      <c r="Q27" s="213">
        <v>0.05</v>
      </c>
      <c r="R27" s="213">
        <v>0.05</v>
      </c>
      <c r="S27" s="213">
        <v>0.05</v>
      </c>
      <c r="T27" s="213">
        <v>0.05</v>
      </c>
      <c r="U27" s="213">
        <v>0.05</v>
      </c>
      <c r="V27" s="252">
        <v>0.05</v>
      </c>
      <c r="W27" s="231" t="s">
        <v>13</v>
      </c>
      <c r="X27" s="247">
        <f>100-road_by_nat!X27</f>
        <v>20</v>
      </c>
      <c r="Y27" s="153">
        <f t="shared" si="3"/>
        <v>0</v>
      </c>
    </row>
    <row r="28" spans="1:25" ht="12.75" customHeight="1" x14ac:dyDescent="0.2">
      <c r="A28" s="15"/>
      <c r="B28" s="17" t="s">
        <v>21</v>
      </c>
      <c r="C28" s="144">
        <v>40.416999999999994</v>
      </c>
      <c r="D28" s="59">
        <v>42.097000000000008</v>
      </c>
      <c r="E28" s="59">
        <v>43.215999999999994</v>
      </c>
      <c r="F28" s="59">
        <v>50.26</v>
      </c>
      <c r="G28" s="59">
        <v>50.881999999999991</v>
      </c>
      <c r="H28" s="59">
        <v>48.027999999999999</v>
      </c>
      <c r="I28" s="59">
        <v>47.491999999999997</v>
      </c>
      <c r="J28" s="59">
        <v>47.161000000000001</v>
      </c>
      <c r="K28" s="59">
        <v>47.978999999999999</v>
      </c>
      <c r="L28" s="59">
        <v>55.756999999999998</v>
      </c>
      <c r="M28" s="59">
        <v>52.335999999999999</v>
      </c>
      <c r="N28" s="59">
        <v>52.183999999999997</v>
      </c>
      <c r="O28" s="59">
        <v>47.234999999999999</v>
      </c>
      <c r="P28" s="59">
        <v>46.15</v>
      </c>
      <c r="Q28" s="59">
        <v>41.338000000000001</v>
      </c>
      <c r="R28" s="59">
        <v>42.000999999999998</v>
      </c>
      <c r="S28" s="59">
        <v>39.954999999999998</v>
      </c>
      <c r="T28" s="59">
        <v>36.417999999999999</v>
      </c>
      <c r="U28" s="59">
        <v>40.311</v>
      </c>
      <c r="V28" s="217">
        <v>39.631999999999998</v>
      </c>
      <c r="W28" s="230" t="s">
        <v>21</v>
      </c>
      <c r="X28" s="152">
        <f>100-road_by_nat!X28</f>
        <v>55.902224353639788</v>
      </c>
      <c r="Y28" s="152">
        <f t="shared" si="3"/>
        <v>-1.6844037607601052</v>
      </c>
    </row>
    <row r="29" spans="1:25" ht="12.75" customHeight="1" x14ac:dyDescent="0.2">
      <c r="A29" s="15"/>
      <c r="B29" s="91" t="s">
        <v>30</v>
      </c>
      <c r="C29" s="204">
        <v>15.430999999999999</v>
      </c>
      <c r="D29" s="205">
        <v>16.356000000000002</v>
      </c>
      <c r="E29" s="205">
        <v>17.041000000000004</v>
      </c>
      <c r="F29" s="205">
        <v>18.585000000000001</v>
      </c>
      <c r="G29" s="205">
        <v>21.701999999999998</v>
      </c>
      <c r="H29" s="213">
        <v>22.733000000000001</v>
      </c>
      <c r="I29" s="213">
        <v>25.077999999999999</v>
      </c>
      <c r="J29" s="213">
        <v>25.835000000000001</v>
      </c>
      <c r="K29" s="213">
        <v>26.52</v>
      </c>
      <c r="L29" s="205">
        <v>26.81</v>
      </c>
      <c r="M29" s="205">
        <v>24.53</v>
      </c>
      <c r="N29" s="205">
        <v>24.75</v>
      </c>
      <c r="O29" s="205">
        <v>22.658000000000001</v>
      </c>
      <c r="P29" s="205">
        <v>19.731999999999999</v>
      </c>
      <c r="Q29" s="205">
        <v>15.584</v>
      </c>
      <c r="R29" s="205">
        <v>14.744999999999999</v>
      </c>
      <c r="S29" s="205">
        <v>14.067</v>
      </c>
      <c r="T29" s="205">
        <v>11.97</v>
      </c>
      <c r="U29" s="205">
        <v>10.36</v>
      </c>
      <c r="V29" s="206">
        <v>10.323</v>
      </c>
      <c r="W29" s="226" t="s">
        <v>30</v>
      </c>
      <c r="X29" s="153">
        <f>100-road_by_nat!X29</f>
        <v>42.483229762541662</v>
      </c>
      <c r="Y29" s="153">
        <f t="shared" si="3"/>
        <v>-0.35714285714284699</v>
      </c>
    </row>
    <row r="30" spans="1:25" ht="12.75" customHeight="1" x14ac:dyDescent="0.2">
      <c r="A30" s="15"/>
      <c r="B30" s="17" t="s">
        <v>14</v>
      </c>
      <c r="C30" s="195"/>
      <c r="D30" s="190"/>
      <c r="E30" s="190"/>
      <c r="F30" s="190"/>
      <c r="G30" s="190"/>
      <c r="H30" s="190">
        <v>27.023</v>
      </c>
      <c r="I30" s="190">
        <v>28.228000000000002</v>
      </c>
      <c r="J30" s="190">
        <v>29.818000000000001</v>
      </c>
      <c r="K30" s="190">
        <v>32.988999999999997</v>
      </c>
      <c r="L30" s="59">
        <v>43.981999999999999</v>
      </c>
      <c r="M30" s="59">
        <v>50.886000000000003</v>
      </c>
      <c r="N30" s="59">
        <v>68.894999999999996</v>
      </c>
      <c r="O30" s="59">
        <v>85.11</v>
      </c>
      <c r="P30" s="59">
        <v>93.013000000000005</v>
      </c>
      <c r="Q30" s="59">
        <v>101.53400000000001</v>
      </c>
      <c r="R30" s="59">
        <v>120.09</v>
      </c>
      <c r="S30" s="59">
        <v>117.917</v>
      </c>
      <c r="T30" s="59">
        <v>133.31899999999999</v>
      </c>
      <c r="U30" s="59">
        <v>147.274</v>
      </c>
      <c r="V30" s="217">
        <v>154.303</v>
      </c>
      <c r="W30" s="230" t="s">
        <v>14</v>
      </c>
      <c r="X30" s="109">
        <f>100-road_by_nat!X30</f>
        <v>61.492601551821025</v>
      </c>
      <c r="Y30" s="109">
        <f t="shared" si="3"/>
        <v>4.7727365319065029</v>
      </c>
    </row>
    <row r="31" spans="1:25" ht="12.75" customHeight="1" x14ac:dyDescent="0.2">
      <c r="A31" s="15"/>
      <c r="B31" s="91" t="s">
        <v>31</v>
      </c>
      <c r="C31" s="204">
        <v>15.5</v>
      </c>
      <c r="D31" s="205">
        <v>16.850000000000001</v>
      </c>
      <c r="E31" s="205">
        <v>18.63</v>
      </c>
      <c r="F31" s="205">
        <v>19.05</v>
      </c>
      <c r="G31" s="285">
        <v>11.778</v>
      </c>
      <c r="H31" s="205">
        <v>12.616</v>
      </c>
      <c r="I31" s="205">
        <v>13.616</v>
      </c>
      <c r="J31" s="205">
        <v>14.807</v>
      </c>
      <c r="K31" s="211">
        <v>13.227</v>
      </c>
      <c r="L31" s="205">
        <v>23.384</v>
      </c>
      <c r="M31" s="205">
        <v>25.163</v>
      </c>
      <c r="N31" s="205">
        <v>27.295000000000002</v>
      </c>
      <c r="O31" s="205">
        <v>27.884</v>
      </c>
      <c r="P31" s="205">
        <v>21.977</v>
      </c>
      <c r="Q31" s="205">
        <v>21.384</v>
      </c>
      <c r="R31" s="205">
        <v>22.486999999999998</v>
      </c>
      <c r="S31" s="205">
        <v>23.78</v>
      </c>
      <c r="T31" s="205">
        <v>21.754000000000001</v>
      </c>
      <c r="U31" s="205">
        <v>26.783000000000001</v>
      </c>
      <c r="V31" s="206">
        <v>24.393999999999998</v>
      </c>
      <c r="W31" s="226" t="s">
        <v>31</v>
      </c>
      <c r="X31" s="120">
        <f>100-road_by_nat!X31</f>
        <v>69.971029458164821</v>
      </c>
      <c r="Y31" s="120">
        <f t="shared" si="3"/>
        <v>-8.9198372101706411</v>
      </c>
    </row>
    <row r="32" spans="1:25" ht="12.75" customHeight="1" x14ac:dyDescent="0.2">
      <c r="A32" s="15"/>
      <c r="B32" s="17" t="s">
        <v>15</v>
      </c>
      <c r="C32" s="214"/>
      <c r="D32" s="215"/>
      <c r="E32" s="215"/>
      <c r="F32" s="215"/>
      <c r="G32" s="215">
        <v>3.7289999999999992</v>
      </c>
      <c r="H32" s="222">
        <v>4.4080000000000004</v>
      </c>
      <c r="I32" s="215">
        <v>7.899</v>
      </c>
      <c r="J32" s="215">
        <v>14.37</v>
      </c>
      <c r="K32" s="215">
        <v>17.216000000000001</v>
      </c>
      <c r="L32" s="215">
        <v>22.568999999999999</v>
      </c>
      <c r="M32" s="215">
        <v>32.133000000000003</v>
      </c>
      <c r="N32" s="215">
        <v>34.564999999999998</v>
      </c>
      <c r="O32" s="215">
        <v>35.591000000000001</v>
      </c>
      <c r="P32" s="215">
        <v>33.195999999999998</v>
      </c>
      <c r="Q32" s="215">
        <v>13.39</v>
      </c>
      <c r="R32" s="215">
        <v>13.792999999999999</v>
      </c>
      <c r="S32" s="215">
        <v>14.491</v>
      </c>
      <c r="T32" s="215">
        <v>16.989000000000001</v>
      </c>
      <c r="U32" s="215">
        <v>21.521999999999998</v>
      </c>
      <c r="V32" s="216">
        <v>23</v>
      </c>
      <c r="W32" s="230" t="s">
        <v>15</v>
      </c>
      <c r="X32" s="151">
        <f>100-road_by_nat!X32</f>
        <v>65.459927140255019</v>
      </c>
      <c r="Y32" s="151">
        <f t="shared" si="3"/>
        <v>6.8673915063655926</v>
      </c>
    </row>
    <row r="33" spans="1:25" ht="12.75" customHeight="1" x14ac:dyDescent="0.2">
      <c r="A33" s="15"/>
      <c r="B33" s="91" t="s">
        <v>17</v>
      </c>
      <c r="C33" s="204"/>
      <c r="D33" s="205"/>
      <c r="E33" s="205"/>
      <c r="F33" s="205"/>
      <c r="G33" s="205"/>
      <c r="H33" s="205">
        <v>3.4</v>
      </c>
      <c r="I33" s="205">
        <v>5.1079999999999997</v>
      </c>
      <c r="J33" s="205">
        <v>4.6639999999999997</v>
      </c>
      <c r="K33" s="205">
        <v>5.0449999999999999</v>
      </c>
      <c r="L33" s="205">
        <v>6.74</v>
      </c>
      <c r="M33" s="205">
        <v>8.6720000000000006</v>
      </c>
      <c r="N33" s="205">
        <v>9.8339999999999996</v>
      </c>
      <c r="O33" s="205">
        <v>11.161</v>
      </c>
      <c r="P33" s="205">
        <v>13.625</v>
      </c>
      <c r="Q33" s="205">
        <v>12.486000000000001</v>
      </c>
      <c r="R33" s="205">
        <v>13.643000000000001</v>
      </c>
      <c r="S33" s="205">
        <v>14.262</v>
      </c>
      <c r="T33" s="205">
        <v>14.039</v>
      </c>
      <c r="U33" s="205">
        <v>14.016</v>
      </c>
      <c r="V33" s="206">
        <v>14.211</v>
      </c>
      <c r="W33" s="226" t="s">
        <v>17</v>
      </c>
      <c r="X33" s="153">
        <f>100-road_by_nat!X33</f>
        <v>87.328703988201312</v>
      </c>
      <c r="Y33" s="153">
        <f t="shared" si="3"/>
        <v>1.3912671232876761</v>
      </c>
    </row>
    <row r="34" spans="1:25" ht="12.75" customHeight="1" x14ac:dyDescent="0.2">
      <c r="A34" s="15"/>
      <c r="B34" s="17" t="s">
        <v>16</v>
      </c>
      <c r="C34" s="214"/>
      <c r="D34" s="215"/>
      <c r="E34" s="215"/>
      <c r="F34" s="215"/>
      <c r="G34" s="215"/>
      <c r="H34" s="215">
        <v>9.2840000000000007</v>
      </c>
      <c r="I34" s="215">
        <v>8.4819999999999993</v>
      </c>
      <c r="J34" s="215">
        <v>9.91</v>
      </c>
      <c r="K34" s="215">
        <v>11.544</v>
      </c>
      <c r="L34" s="215">
        <v>13.105</v>
      </c>
      <c r="M34" s="215">
        <v>16.945</v>
      </c>
      <c r="N34" s="215">
        <v>17.009</v>
      </c>
      <c r="O34" s="215">
        <v>21.542000000000002</v>
      </c>
      <c r="P34" s="215">
        <v>22.957000000000001</v>
      </c>
      <c r="Q34" s="215">
        <v>22.187000000000001</v>
      </c>
      <c r="R34" s="215">
        <v>22.376999999999999</v>
      </c>
      <c r="S34" s="215">
        <v>24.271999999999998</v>
      </c>
      <c r="T34" s="215">
        <v>24.62</v>
      </c>
      <c r="U34" s="215">
        <v>25.581</v>
      </c>
      <c r="V34" s="216">
        <v>26.265000000000001</v>
      </c>
      <c r="W34" s="230" t="s">
        <v>16</v>
      </c>
      <c r="X34" s="151">
        <f>100-road_by_nat!X34</f>
        <v>83.755341539639005</v>
      </c>
      <c r="Y34" s="151">
        <f t="shared" si="3"/>
        <v>2.6738595051014329</v>
      </c>
    </row>
    <row r="35" spans="1:25" ht="12.75" customHeight="1" x14ac:dyDescent="0.2">
      <c r="A35" s="15"/>
      <c r="B35" s="91" t="s">
        <v>32</v>
      </c>
      <c r="C35" s="204">
        <v>2.6960000000000015</v>
      </c>
      <c r="D35" s="205">
        <v>2.8149999999999999</v>
      </c>
      <c r="E35" s="205">
        <v>2.1920000000000002</v>
      </c>
      <c r="F35" s="205">
        <v>2.4890000000000008</v>
      </c>
      <c r="G35" s="205">
        <v>3.85</v>
      </c>
      <c r="H35" s="205">
        <v>4.258</v>
      </c>
      <c r="I35" s="205">
        <v>3.8</v>
      </c>
      <c r="J35" s="205">
        <v>3.8969999999999998</v>
      </c>
      <c r="K35" s="205">
        <v>4.03</v>
      </c>
      <c r="L35" s="205">
        <v>4.96</v>
      </c>
      <c r="M35" s="205">
        <v>4.0430000000000001</v>
      </c>
      <c r="N35" s="205">
        <v>4.25</v>
      </c>
      <c r="O35" s="205">
        <v>3.855</v>
      </c>
      <c r="P35" s="205">
        <v>3.4209999999999998</v>
      </c>
      <c r="Q35" s="205">
        <v>3.411</v>
      </c>
      <c r="R35" s="205">
        <v>4.3760000000000003</v>
      </c>
      <c r="S35" s="205">
        <v>3.1309999999999998</v>
      </c>
      <c r="T35" s="205">
        <v>3.532</v>
      </c>
      <c r="U35" s="205">
        <v>3.4609999999999999</v>
      </c>
      <c r="V35" s="206">
        <v>3.1030000000000002</v>
      </c>
      <c r="W35" s="226" t="s">
        <v>32</v>
      </c>
      <c r="X35" s="153">
        <f>100-road_by_nat!X35</f>
        <v>13.260117089013306</v>
      </c>
      <c r="Y35" s="153">
        <f t="shared" si="3"/>
        <v>-10.343831262640848</v>
      </c>
    </row>
    <row r="36" spans="1:25" ht="12.75" customHeight="1" x14ac:dyDescent="0.2">
      <c r="A36" s="15"/>
      <c r="B36" s="17" t="s">
        <v>33</v>
      </c>
      <c r="C36" s="214">
        <v>3.2430000000000021</v>
      </c>
      <c r="D36" s="215">
        <v>3.0119999999999969</v>
      </c>
      <c r="E36" s="215">
        <v>2.9239999999999995</v>
      </c>
      <c r="F36" s="215">
        <v>2.9309999999999974</v>
      </c>
      <c r="G36" s="215">
        <v>2.7780000000000022</v>
      </c>
      <c r="H36" s="215">
        <v>4.1689999999999996</v>
      </c>
      <c r="I36" s="215">
        <v>4.1909999999999998</v>
      </c>
      <c r="J36" s="215">
        <v>4.8159999999999998</v>
      </c>
      <c r="K36" s="215">
        <v>5.1710000000000003</v>
      </c>
      <c r="L36" s="215">
        <v>4.258</v>
      </c>
      <c r="M36" s="215">
        <v>3.8740000000000001</v>
      </c>
      <c r="N36" s="215">
        <v>4.444</v>
      </c>
      <c r="O36" s="215">
        <v>4.1449999999999996</v>
      </c>
      <c r="P36" s="215">
        <v>4.4180000000000001</v>
      </c>
      <c r="Q36" s="215">
        <v>2.9239999999999999</v>
      </c>
      <c r="R36" s="215">
        <v>3.536</v>
      </c>
      <c r="S36" s="215">
        <v>3.53</v>
      </c>
      <c r="T36" s="215">
        <v>3.1110000000000002</v>
      </c>
      <c r="U36" s="215">
        <v>2.8140000000000001</v>
      </c>
      <c r="V36" s="216">
        <v>3.1480000000000001</v>
      </c>
      <c r="W36" s="230" t="s">
        <v>33</v>
      </c>
      <c r="X36" s="151">
        <f>100-road_by_nat!X36</f>
        <v>7.5016680964636322</v>
      </c>
      <c r="Y36" s="151">
        <f t="shared" si="3"/>
        <v>11.86922530206111</v>
      </c>
    </row>
    <row r="37" spans="1:25" ht="12.75" customHeight="1" x14ac:dyDescent="0.2">
      <c r="A37" s="15"/>
      <c r="B37" s="94" t="s">
        <v>22</v>
      </c>
      <c r="C37" s="218">
        <v>14.786000000000001</v>
      </c>
      <c r="D37" s="219">
        <v>16.004999999999999</v>
      </c>
      <c r="E37" s="219">
        <v>16.697999999999979</v>
      </c>
      <c r="F37" s="219">
        <v>16.568999999999988</v>
      </c>
      <c r="G37" s="219">
        <v>17.241</v>
      </c>
      <c r="H37" s="219">
        <v>15.284000000000001</v>
      </c>
      <c r="I37" s="219">
        <v>13.504</v>
      </c>
      <c r="J37" s="219">
        <v>13.115</v>
      </c>
      <c r="K37" s="219">
        <v>13.21</v>
      </c>
      <c r="L37" s="219">
        <v>11.475</v>
      </c>
      <c r="M37" s="219">
        <v>10.067</v>
      </c>
      <c r="N37" s="219">
        <v>10.709</v>
      </c>
      <c r="O37" s="219">
        <v>10.282999999999999</v>
      </c>
      <c r="P37" s="219">
        <v>9.1509999999999998</v>
      </c>
      <c r="Q37" s="219">
        <v>7.9210000000000003</v>
      </c>
      <c r="R37" s="219">
        <v>8.9320000000000004</v>
      </c>
      <c r="S37" s="263">
        <v>8.8209999999999997</v>
      </c>
      <c r="T37" s="263">
        <v>8.4570000000000007</v>
      </c>
      <c r="U37" s="263">
        <v>8.2200000000000006</v>
      </c>
      <c r="V37" s="264">
        <v>7.5369999999999999</v>
      </c>
      <c r="W37" s="227" t="s">
        <v>22</v>
      </c>
      <c r="X37" s="154">
        <f>100-road_by_nat!X37</f>
        <v>5.264113649538686</v>
      </c>
      <c r="Y37" s="154">
        <f t="shared" si="3"/>
        <v>-8.3090024330900292</v>
      </c>
    </row>
    <row r="38" spans="1:25" ht="12.75" customHeight="1" x14ac:dyDescent="0.2">
      <c r="A38" s="15"/>
      <c r="B38" s="17" t="s">
        <v>123</v>
      </c>
      <c r="C38" s="144"/>
      <c r="D38" s="59"/>
      <c r="E38" s="59"/>
      <c r="F38" s="59"/>
      <c r="G38" s="59"/>
      <c r="H38" s="59"/>
      <c r="I38" s="59"/>
      <c r="J38" s="59"/>
      <c r="K38" s="59"/>
      <c r="L38" s="59"/>
      <c r="M38" s="59"/>
      <c r="N38" s="59"/>
      <c r="O38" s="59"/>
      <c r="P38" s="59"/>
      <c r="Q38" s="59"/>
      <c r="R38" s="59"/>
      <c r="S38" s="208"/>
      <c r="T38" s="208"/>
      <c r="U38" s="190"/>
      <c r="V38" s="125"/>
      <c r="W38" s="230" t="s">
        <v>123</v>
      </c>
      <c r="X38" s="152"/>
      <c r="Y38" s="152"/>
    </row>
    <row r="39" spans="1:25" ht="12.75" customHeight="1" x14ac:dyDescent="0.2">
      <c r="A39" s="15"/>
      <c r="B39" s="279" t="s">
        <v>113</v>
      </c>
      <c r="C39" s="294"/>
      <c r="D39" s="281"/>
      <c r="E39" s="281"/>
      <c r="F39" s="281"/>
      <c r="G39" s="281"/>
      <c r="H39" s="281"/>
      <c r="I39" s="281"/>
      <c r="J39" s="281"/>
      <c r="K39" s="281"/>
      <c r="L39" s="281"/>
      <c r="M39" s="281"/>
      <c r="N39" s="281"/>
      <c r="O39" s="281"/>
      <c r="P39" s="281"/>
      <c r="Q39" s="281"/>
      <c r="R39" s="281"/>
      <c r="S39" s="281"/>
      <c r="T39" s="281"/>
      <c r="U39" s="281"/>
      <c r="V39" s="295"/>
      <c r="W39" s="279" t="s">
        <v>113</v>
      </c>
      <c r="X39" s="296"/>
      <c r="Y39" s="296"/>
    </row>
    <row r="40" spans="1:25" ht="12.75" customHeight="1" x14ac:dyDescent="0.2">
      <c r="A40" s="15"/>
      <c r="B40" s="17" t="s">
        <v>3</v>
      </c>
      <c r="C40" s="144"/>
      <c r="D40" s="59"/>
      <c r="E40" s="59"/>
      <c r="F40" s="59"/>
      <c r="G40" s="59"/>
      <c r="H40" s="59"/>
      <c r="I40" s="59"/>
      <c r="J40" s="59"/>
      <c r="K40" s="59"/>
      <c r="L40" s="59"/>
      <c r="M40" s="59"/>
      <c r="N40" s="59"/>
      <c r="O40" s="59"/>
      <c r="P40" s="59"/>
      <c r="Q40" s="59"/>
      <c r="R40" s="59"/>
      <c r="S40" s="59"/>
      <c r="T40" s="59"/>
      <c r="U40" s="59"/>
      <c r="V40" s="217"/>
      <c r="W40" s="17" t="s">
        <v>3</v>
      </c>
      <c r="X40" s="109"/>
      <c r="Y40" s="109"/>
    </row>
    <row r="41" spans="1:25" ht="12.75" customHeight="1" x14ac:dyDescent="0.2">
      <c r="A41" s="15"/>
      <c r="B41" s="279" t="s">
        <v>114</v>
      </c>
      <c r="C41" s="294"/>
      <c r="D41" s="281"/>
      <c r="E41" s="281"/>
      <c r="F41" s="281"/>
      <c r="G41" s="281"/>
      <c r="H41" s="281"/>
      <c r="I41" s="281"/>
      <c r="J41" s="281"/>
      <c r="K41" s="281"/>
      <c r="L41" s="281"/>
      <c r="M41" s="281"/>
      <c r="N41" s="281"/>
      <c r="O41" s="281"/>
      <c r="P41" s="281"/>
      <c r="Q41" s="281"/>
      <c r="R41" s="281"/>
      <c r="S41" s="281"/>
      <c r="T41" s="281"/>
      <c r="U41" s="281"/>
      <c r="V41" s="295"/>
      <c r="W41" s="279" t="s">
        <v>114</v>
      </c>
      <c r="X41" s="296"/>
      <c r="Y41" s="296"/>
    </row>
    <row r="42" spans="1:25" ht="12.75" customHeight="1" x14ac:dyDescent="0.2">
      <c r="A42" s="15"/>
      <c r="B42" s="18" t="s">
        <v>18</v>
      </c>
      <c r="C42" s="145"/>
      <c r="D42" s="60"/>
      <c r="E42" s="60"/>
      <c r="F42" s="60"/>
      <c r="G42" s="60"/>
      <c r="H42" s="60"/>
      <c r="I42" s="60"/>
      <c r="J42" s="60"/>
      <c r="K42" s="60"/>
      <c r="L42" s="60"/>
      <c r="M42" s="60"/>
      <c r="N42" s="60"/>
      <c r="O42" s="60"/>
      <c r="P42" s="60"/>
      <c r="Q42" s="60"/>
      <c r="R42" s="60"/>
      <c r="S42" s="60"/>
      <c r="T42" s="60"/>
      <c r="U42" s="60"/>
      <c r="V42" s="221"/>
      <c r="W42" s="18" t="s">
        <v>18</v>
      </c>
      <c r="X42" s="111"/>
      <c r="Y42" s="111"/>
    </row>
    <row r="43" spans="1:25" ht="12.75" customHeight="1" x14ac:dyDescent="0.2">
      <c r="A43" s="15"/>
      <c r="B43" s="297" t="s">
        <v>4</v>
      </c>
      <c r="C43" s="298"/>
      <c r="D43" s="299"/>
      <c r="E43" s="299"/>
      <c r="F43" s="299"/>
      <c r="G43" s="299"/>
      <c r="H43" s="299"/>
      <c r="I43" s="300"/>
      <c r="J43" s="300"/>
      <c r="K43" s="300"/>
      <c r="L43" s="300"/>
      <c r="M43" s="300"/>
      <c r="N43" s="300"/>
      <c r="O43" s="300"/>
      <c r="P43" s="300"/>
      <c r="Q43" s="300"/>
      <c r="R43" s="300"/>
      <c r="S43" s="306"/>
      <c r="T43" s="306"/>
      <c r="U43" s="306"/>
      <c r="V43" s="352"/>
      <c r="W43" s="303" t="s">
        <v>4</v>
      </c>
      <c r="X43" s="304"/>
      <c r="Y43" s="305"/>
    </row>
    <row r="44" spans="1:25" ht="12.75" customHeight="1" x14ac:dyDescent="0.2">
      <c r="A44" s="15"/>
      <c r="B44" s="17" t="s">
        <v>34</v>
      </c>
      <c r="C44" s="144"/>
      <c r="D44" s="59"/>
      <c r="E44" s="59"/>
      <c r="F44" s="59"/>
      <c r="G44" s="59">
        <v>3.1739999999999999</v>
      </c>
      <c r="H44" s="59">
        <v>3.0179999999999998</v>
      </c>
      <c r="I44" s="59">
        <v>2.786</v>
      </c>
      <c r="J44" s="59">
        <v>2.7050000000000001</v>
      </c>
      <c r="K44" s="59">
        <v>3.0670000000000002</v>
      </c>
      <c r="L44" s="59">
        <v>3.0070000000000001</v>
      </c>
      <c r="M44" s="59">
        <v>2.895</v>
      </c>
      <c r="N44" s="59">
        <v>4.077</v>
      </c>
      <c r="O44" s="59">
        <v>3.948</v>
      </c>
      <c r="P44" s="59">
        <v>3.9380000000000002</v>
      </c>
      <c r="Q44" s="59">
        <v>3.17</v>
      </c>
      <c r="R44" s="59">
        <v>3.407</v>
      </c>
      <c r="S44" s="59">
        <v>3.0569999999999999</v>
      </c>
      <c r="T44" s="59">
        <v>3.1880000000000002</v>
      </c>
      <c r="U44" s="59">
        <v>2.9830000000000001</v>
      </c>
      <c r="V44" s="217">
        <v>2.56</v>
      </c>
      <c r="W44" s="230" t="s">
        <v>34</v>
      </c>
      <c r="X44" s="109">
        <f>100-road_by_nat!X44</f>
        <v>11.855144947670652</v>
      </c>
      <c r="Y44" s="109">
        <f t="shared" si="3"/>
        <v>-14.180355346966138</v>
      </c>
    </row>
    <row r="45" spans="1:25" ht="12.75" customHeight="1" x14ac:dyDescent="0.2">
      <c r="A45" s="15"/>
      <c r="B45" s="325" t="s">
        <v>79</v>
      </c>
      <c r="C45" s="350">
        <v>0.74610000000000021</v>
      </c>
      <c r="D45" s="284">
        <v>0.69840000000000002</v>
      </c>
      <c r="E45" s="284">
        <v>0.68320000000000003</v>
      </c>
      <c r="F45" s="284">
        <v>0.70009999999999994</v>
      </c>
      <c r="G45" s="284">
        <v>0.78369999999999962</v>
      </c>
      <c r="H45" s="284">
        <v>0.85829999999999984</v>
      </c>
      <c r="I45" s="284">
        <v>0.8642000000000003</v>
      </c>
      <c r="J45" s="284">
        <v>0.9372000000000007</v>
      </c>
      <c r="K45" s="284">
        <v>1.0053000000000001</v>
      </c>
      <c r="L45" s="284">
        <v>1.017639457743915</v>
      </c>
      <c r="M45" s="284">
        <v>0.9917115952670702</v>
      </c>
      <c r="N45" s="284">
        <v>1.0790656375524159</v>
      </c>
      <c r="O45" s="282">
        <v>1.1479988834812849</v>
      </c>
      <c r="P45" s="284">
        <v>4.0979999999999999</v>
      </c>
      <c r="Q45" s="284">
        <v>3.4769999999999999</v>
      </c>
      <c r="R45" s="284">
        <v>3.6869999999999998</v>
      </c>
      <c r="S45" s="284">
        <v>3.6549999999999998</v>
      </c>
      <c r="T45" s="284">
        <v>2.9750000000000001</v>
      </c>
      <c r="U45" s="284">
        <v>2.6589999999999998</v>
      </c>
      <c r="V45" s="327">
        <v>2.4820000000000002</v>
      </c>
      <c r="W45" s="367" t="s">
        <v>79</v>
      </c>
      <c r="X45" s="368">
        <f>100-road_by_nat!X45</f>
        <v>18.994413407821213</v>
      </c>
      <c r="Y45" s="368">
        <f t="shared" si="3"/>
        <v>-6.6566378337720806</v>
      </c>
    </row>
    <row r="46" spans="1:25" ht="12.75" customHeight="1" x14ac:dyDescent="0.2">
      <c r="A46" s="15"/>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row>
    <row r="47" spans="1:25" ht="20.25" customHeight="1" x14ac:dyDescent="0.2">
      <c r="B47" s="491" t="s">
        <v>80</v>
      </c>
      <c r="C47" s="491"/>
      <c r="D47" s="491"/>
      <c r="E47" s="491"/>
      <c r="F47" s="491"/>
      <c r="G47" s="491"/>
      <c r="H47" s="491"/>
      <c r="I47" s="491"/>
      <c r="J47" s="491"/>
      <c r="K47" s="491"/>
      <c r="L47" s="491"/>
      <c r="M47" s="491"/>
      <c r="N47" s="491"/>
      <c r="O47" s="491"/>
      <c r="P47" s="491"/>
      <c r="Q47" s="491"/>
      <c r="R47" s="491"/>
      <c r="S47" s="491"/>
      <c r="T47" s="491"/>
      <c r="U47" s="491"/>
      <c r="V47" s="491"/>
      <c r="W47" s="491"/>
      <c r="X47" s="179"/>
      <c r="Y47" s="397"/>
    </row>
    <row r="48" spans="1:25" x14ac:dyDescent="0.2">
      <c r="B48" s="11" t="s">
        <v>2</v>
      </c>
    </row>
    <row r="49" spans="2:25" x14ac:dyDescent="0.2">
      <c r="B49" s="3" t="s">
        <v>87</v>
      </c>
    </row>
    <row r="50" spans="2:25" x14ac:dyDescent="0.2">
      <c r="B50" s="103" t="s">
        <v>88</v>
      </c>
    </row>
    <row r="51" spans="2:25" ht="27.75" customHeight="1" x14ac:dyDescent="0.2">
      <c r="B51" s="490" t="s">
        <v>107</v>
      </c>
      <c r="C51" s="490"/>
      <c r="D51" s="490"/>
      <c r="E51" s="490"/>
      <c r="F51" s="490"/>
      <c r="G51" s="490"/>
      <c r="H51" s="490"/>
      <c r="I51" s="490"/>
      <c r="J51" s="490"/>
      <c r="K51" s="490"/>
      <c r="L51" s="490"/>
      <c r="M51" s="490"/>
      <c r="N51" s="490"/>
      <c r="O51" s="490"/>
      <c r="P51" s="490"/>
      <c r="Q51" s="490"/>
      <c r="R51" s="187"/>
      <c r="S51" s="250"/>
      <c r="T51" s="235"/>
      <c r="U51" s="292"/>
      <c r="V51" s="396"/>
      <c r="W51" s="182"/>
      <c r="Y51" s="182"/>
    </row>
  </sheetData>
  <mergeCells count="5">
    <mergeCell ref="B51:Q51"/>
    <mergeCell ref="X2:X5"/>
    <mergeCell ref="B2:Q2"/>
    <mergeCell ref="B3:Q3"/>
    <mergeCell ref="B47:W47"/>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Y53"/>
  <sheetViews>
    <sheetView workbookViewId="0">
      <selection activeCell="V14" sqref="V14"/>
    </sheetView>
  </sheetViews>
  <sheetFormatPr defaultRowHeight="12.75" x14ac:dyDescent="0.2"/>
  <cols>
    <col min="1" max="1" width="3.7109375" customWidth="1"/>
    <col min="2" max="2" width="4.5703125" customWidth="1"/>
    <col min="3" max="13" width="7.7109375" customWidth="1"/>
    <col min="14" max="22" width="8.28515625" customWidth="1"/>
    <col min="23" max="23" width="6" customWidth="1"/>
    <col min="24" max="24" width="6.28515625" customWidth="1"/>
    <col min="25" max="25" width="5.85546875" customWidth="1"/>
  </cols>
  <sheetData>
    <row r="1" spans="1:25" ht="14.25" customHeight="1" x14ac:dyDescent="0.2">
      <c r="B1" s="40"/>
      <c r="C1" s="38"/>
      <c r="D1" s="38"/>
      <c r="E1" s="38"/>
      <c r="F1" s="38"/>
      <c r="G1" s="38"/>
      <c r="H1" s="38"/>
      <c r="I1" s="38"/>
      <c r="J1" s="41"/>
      <c r="Y1" s="39" t="s">
        <v>96</v>
      </c>
    </row>
    <row r="2" spans="1:25" s="82" customFormat="1" ht="15" customHeight="1" x14ac:dyDescent="0.2">
      <c r="B2" s="468" t="s">
        <v>119</v>
      </c>
      <c r="C2" s="483"/>
      <c r="D2" s="483"/>
      <c r="E2" s="483"/>
      <c r="F2" s="483"/>
      <c r="G2" s="483"/>
      <c r="H2" s="483"/>
      <c r="I2" s="483"/>
      <c r="J2" s="483"/>
      <c r="K2" s="483"/>
      <c r="L2" s="483"/>
      <c r="M2" s="483"/>
      <c r="N2" s="483"/>
      <c r="O2" s="483"/>
      <c r="P2" s="483"/>
      <c r="Q2" s="483"/>
      <c r="R2" s="483"/>
      <c r="S2" s="483"/>
      <c r="T2" s="483"/>
      <c r="U2" s="483"/>
      <c r="V2" s="483"/>
      <c r="W2" s="483"/>
      <c r="X2" s="483"/>
      <c r="Y2" s="483"/>
    </row>
    <row r="3" spans="1:25" ht="15" customHeight="1" x14ac:dyDescent="0.2">
      <c r="B3" s="484" t="s">
        <v>38</v>
      </c>
      <c r="C3" s="484"/>
      <c r="D3" s="484"/>
      <c r="E3" s="484"/>
      <c r="F3" s="484"/>
      <c r="G3" s="484"/>
      <c r="H3" s="484"/>
      <c r="I3" s="484"/>
      <c r="J3" s="484"/>
      <c r="K3" s="484"/>
      <c r="L3" s="484"/>
      <c r="M3" s="484"/>
      <c r="N3" s="484"/>
      <c r="O3" s="484"/>
      <c r="P3" s="484"/>
      <c r="Q3" s="484"/>
      <c r="R3" s="484"/>
      <c r="S3" s="484"/>
      <c r="T3" s="484"/>
      <c r="U3" s="484"/>
      <c r="V3" s="484"/>
      <c r="W3" s="484"/>
      <c r="X3" s="484"/>
      <c r="Y3" s="484"/>
    </row>
    <row r="4" spans="1:25" ht="12" customHeight="1" x14ac:dyDescent="0.2">
      <c r="B4" s="4"/>
      <c r="C4" s="24"/>
      <c r="D4" s="24"/>
      <c r="E4" s="24"/>
      <c r="F4" s="24"/>
      <c r="G4" s="24"/>
      <c r="H4" s="24"/>
      <c r="J4" s="22"/>
      <c r="K4" s="22"/>
      <c r="L4" s="22"/>
      <c r="Q4" s="251" t="s">
        <v>112</v>
      </c>
      <c r="R4" s="21"/>
      <c r="S4" s="21"/>
      <c r="T4" s="21"/>
      <c r="U4" s="21"/>
      <c r="V4" s="21"/>
      <c r="W4" s="21"/>
      <c r="X4" s="6"/>
    </row>
    <row r="5" spans="1:25" ht="20.100000000000001" customHeight="1" x14ac:dyDescent="0.2">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14" t="s">
        <v>131</v>
      </c>
      <c r="X5" s="64"/>
      <c r="Y5" s="64"/>
    </row>
    <row r="6" spans="1:25" ht="9.9499999999999993" customHeight="1" x14ac:dyDescent="0.2">
      <c r="B6" s="4"/>
      <c r="C6" s="89"/>
      <c r="D6" s="86"/>
      <c r="E6" s="86"/>
      <c r="F6" s="86"/>
      <c r="G6" s="86"/>
      <c r="H6" s="86"/>
      <c r="I6" s="86"/>
      <c r="J6" s="86"/>
      <c r="K6" s="86"/>
      <c r="L6" s="86"/>
      <c r="M6" s="86"/>
      <c r="N6" s="86"/>
      <c r="O6" s="86"/>
      <c r="P6" s="86"/>
      <c r="Q6" s="86"/>
      <c r="R6" s="86"/>
      <c r="S6" s="86"/>
      <c r="T6" s="86"/>
      <c r="U6" s="86"/>
      <c r="V6" s="86"/>
      <c r="W6" s="71" t="s">
        <v>73</v>
      </c>
      <c r="X6" s="66"/>
      <c r="Y6" s="64"/>
    </row>
    <row r="7" spans="1:25" ht="12.75" customHeight="1" x14ac:dyDescent="0.2">
      <c r="B7" s="90" t="s">
        <v>120</v>
      </c>
      <c r="C7" s="313">
        <f t="shared" ref="C7:N7" si="0">SUM(C10:C37)</f>
        <v>1288.6600000000001</v>
      </c>
      <c r="D7" s="314">
        <f t="shared" si="0"/>
        <v>1302.5789999999997</v>
      </c>
      <c r="E7" s="314">
        <f t="shared" si="0"/>
        <v>1351.6780000000001</v>
      </c>
      <c r="F7" s="314">
        <f t="shared" si="0"/>
        <v>1414.2039999999997</v>
      </c>
      <c r="G7" s="314">
        <f t="shared" si="0"/>
        <v>1460.6219999999998</v>
      </c>
      <c r="H7" s="314">
        <f t="shared" si="0"/>
        <v>1509.4880000000001</v>
      </c>
      <c r="I7" s="314">
        <f t="shared" si="0"/>
        <v>1552.5170000000003</v>
      </c>
      <c r="J7" s="314">
        <f t="shared" si="0"/>
        <v>1602.835</v>
      </c>
      <c r="K7" s="314">
        <f t="shared" si="0"/>
        <v>1607.683</v>
      </c>
      <c r="L7" s="314">
        <f t="shared" si="0"/>
        <v>1750.92</v>
      </c>
      <c r="M7" s="314">
        <f t="shared" si="0"/>
        <v>1794.5950000000003</v>
      </c>
      <c r="N7" s="314">
        <f t="shared" si="0"/>
        <v>1857.7469999999998</v>
      </c>
      <c r="O7" s="314">
        <f>SUM(O10:O37)</f>
        <v>1924.9579999999996</v>
      </c>
      <c r="P7" s="314">
        <f>SUM(P10:P37)</f>
        <v>1891.1260000000002</v>
      </c>
      <c r="Q7" s="314">
        <f>SUM(Q10:Q37)</f>
        <v>1699.7570000000003</v>
      </c>
      <c r="R7" s="314">
        <f>SUM(R10:R37)</f>
        <v>1755.3109999999997</v>
      </c>
      <c r="S7" s="314">
        <f t="shared" ref="S7:T7" si="1">SUM(S10:S37)</f>
        <v>1743.8540000000003</v>
      </c>
      <c r="T7" s="314">
        <f t="shared" si="1"/>
        <v>1692.5810000000001</v>
      </c>
      <c r="U7" s="314">
        <f t="shared" ref="U7" si="2">SUM(U10:U37)</f>
        <v>1719.4480000000003</v>
      </c>
      <c r="V7" s="314">
        <f t="shared" ref="V7" si="3">SUM(V10:V37)</f>
        <v>1725.4899999999998</v>
      </c>
      <c r="W7" s="255">
        <f>V7/U7*100-100</f>
        <v>0.35139184203299578</v>
      </c>
      <c r="X7" s="90" t="s">
        <v>120</v>
      </c>
      <c r="Y7" s="312"/>
    </row>
    <row r="8" spans="1:25" ht="12.75" customHeight="1" x14ac:dyDescent="0.2">
      <c r="A8" s="15"/>
      <c r="B8" s="91" t="s">
        <v>121</v>
      </c>
      <c r="C8" s="316">
        <f>C10+C13+C14+SUM(C16:C19)+C25+C28+C29+C31+SUM(C35:C37)+C21</f>
        <v>1138.231</v>
      </c>
      <c r="D8" s="317">
        <f t="shared" ref="D8:R8" si="4">D10+D13+D14+SUM(D16:D19)+D25+D28+D29+D31+SUM(D35:D37)+D21</f>
        <v>1147.3399999999999</v>
      </c>
      <c r="E8" s="317">
        <f t="shared" si="4"/>
        <v>1183.0330000000001</v>
      </c>
      <c r="F8" s="317">
        <f t="shared" si="4"/>
        <v>1233.7619999999999</v>
      </c>
      <c r="G8" s="317">
        <f t="shared" si="4"/>
        <v>1272.5809999999999</v>
      </c>
      <c r="H8" s="317">
        <f t="shared" si="4"/>
        <v>1316.7929999999999</v>
      </c>
      <c r="I8" s="317">
        <f t="shared" si="4"/>
        <v>1343.646</v>
      </c>
      <c r="J8" s="317">
        <f t="shared" si="4"/>
        <v>1374.9560000000001</v>
      </c>
      <c r="K8" s="318">
        <f t="shared" si="4"/>
        <v>1360.6769999999999</v>
      </c>
      <c r="L8" s="318">
        <f t="shared" si="4"/>
        <v>1469.8320000000003</v>
      </c>
      <c r="M8" s="318">
        <f t="shared" si="4"/>
        <v>1473.5720000000001</v>
      </c>
      <c r="N8" s="319">
        <f t="shared" si="4"/>
        <v>1497.1750000000002</v>
      </c>
      <c r="O8" s="319">
        <f t="shared" si="4"/>
        <v>1523.239</v>
      </c>
      <c r="P8" s="319">
        <f t="shared" si="4"/>
        <v>1469.598</v>
      </c>
      <c r="Q8" s="319">
        <f t="shared" si="4"/>
        <v>1302.3579999999999</v>
      </c>
      <c r="R8" s="319">
        <f t="shared" si="4"/>
        <v>1332.903</v>
      </c>
      <c r="S8" s="318">
        <f t="shared" ref="S8:T8" si="5">S10+S13+S14+SUM(S16:S19)+S25+S28+S29+S31+SUM(S35:S37)+S21</f>
        <v>1303.9910000000002</v>
      </c>
      <c r="T8" s="318">
        <f t="shared" si="5"/>
        <v>1234.4570000000001</v>
      </c>
      <c r="U8" s="318">
        <f t="shared" ref="U8" si="6">U10+U13+U14+SUM(U16:U19)+U25+U28+U29+U31+SUM(U35:U37)+U21</f>
        <v>1218.8109999999999</v>
      </c>
      <c r="V8" s="318">
        <f t="shared" ref="V8" si="7">V10+V13+V14+SUM(V16:V19)+V25+V28+V29+V31+SUM(V35:V37)+V21</f>
        <v>1214.1130000000001</v>
      </c>
      <c r="W8" s="256">
        <f t="shared" ref="W8:W45" si="8">V8/U8*100-100</f>
        <v>-0.38545763042833414</v>
      </c>
      <c r="X8" s="91" t="s">
        <v>121</v>
      </c>
      <c r="Y8" s="312"/>
    </row>
    <row r="9" spans="1:25" ht="12.75" customHeight="1" x14ac:dyDescent="0.2">
      <c r="A9" s="15"/>
      <c r="B9" s="94" t="s">
        <v>122</v>
      </c>
      <c r="C9" s="321">
        <f t="shared" ref="C9:Q9" si="9">C7-C8</f>
        <v>150.42900000000009</v>
      </c>
      <c r="D9" s="322">
        <f t="shared" si="9"/>
        <v>155.23899999999981</v>
      </c>
      <c r="E9" s="322">
        <f t="shared" si="9"/>
        <v>168.64499999999998</v>
      </c>
      <c r="F9" s="322">
        <f t="shared" si="9"/>
        <v>180.44199999999978</v>
      </c>
      <c r="G9" s="322">
        <f t="shared" si="9"/>
        <v>188.04099999999994</v>
      </c>
      <c r="H9" s="322">
        <f t="shared" si="9"/>
        <v>192.69500000000016</v>
      </c>
      <c r="I9" s="322">
        <f t="shared" si="9"/>
        <v>208.87100000000032</v>
      </c>
      <c r="J9" s="322">
        <f t="shared" si="9"/>
        <v>227.87899999999991</v>
      </c>
      <c r="K9" s="322">
        <f t="shared" si="9"/>
        <v>247.00600000000009</v>
      </c>
      <c r="L9" s="322">
        <f t="shared" si="9"/>
        <v>281.08799999999974</v>
      </c>
      <c r="M9" s="322">
        <f t="shared" si="9"/>
        <v>321.02300000000014</v>
      </c>
      <c r="N9" s="322">
        <f t="shared" si="9"/>
        <v>360.57199999999966</v>
      </c>
      <c r="O9" s="322">
        <f t="shared" si="9"/>
        <v>401.7189999999996</v>
      </c>
      <c r="P9" s="322">
        <f t="shared" si="9"/>
        <v>421.52800000000025</v>
      </c>
      <c r="Q9" s="322">
        <f t="shared" si="9"/>
        <v>397.39900000000034</v>
      </c>
      <c r="R9" s="322">
        <f>R7-R8</f>
        <v>422.40799999999967</v>
      </c>
      <c r="S9" s="322">
        <f t="shared" ref="S9:T9" si="10">S7-S8</f>
        <v>439.86300000000006</v>
      </c>
      <c r="T9" s="322">
        <f t="shared" si="10"/>
        <v>458.12400000000002</v>
      </c>
      <c r="U9" s="322">
        <f t="shared" ref="U9" si="11">U7-U8</f>
        <v>500.6370000000004</v>
      </c>
      <c r="V9" s="322">
        <f t="shared" ref="V9" si="12">V7-V8</f>
        <v>511.37699999999973</v>
      </c>
      <c r="W9" s="257">
        <f t="shared" si="8"/>
        <v>2.1452669299311395</v>
      </c>
      <c r="X9" s="94" t="s">
        <v>122</v>
      </c>
      <c r="Y9" s="312"/>
    </row>
    <row r="10" spans="1:25" ht="12.75" customHeight="1" x14ac:dyDescent="0.2">
      <c r="A10" s="15"/>
      <c r="B10" s="17" t="s">
        <v>23</v>
      </c>
      <c r="C10" s="201">
        <v>45.6</v>
      </c>
      <c r="D10" s="202">
        <v>41.8</v>
      </c>
      <c r="E10" s="202">
        <v>43.7</v>
      </c>
      <c r="F10" s="202">
        <v>41.1</v>
      </c>
      <c r="G10" s="203">
        <v>37.283999999999999</v>
      </c>
      <c r="H10" s="202">
        <v>51.046999999999997</v>
      </c>
      <c r="I10" s="202">
        <v>53.182000000000002</v>
      </c>
      <c r="J10" s="202">
        <v>52.889000000000003</v>
      </c>
      <c r="K10" s="202">
        <v>50.542000000000002</v>
      </c>
      <c r="L10" s="202">
        <v>47.878</v>
      </c>
      <c r="M10" s="202">
        <v>43.847000000000001</v>
      </c>
      <c r="N10" s="202">
        <v>43.017000000000003</v>
      </c>
      <c r="O10" s="202">
        <v>42.085000000000001</v>
      </c>
      <c r="P10" s="202">
        <v>38.356000000000002</v>
      </c>
      <c r="Q10" s="202">
        <v>36.173999999999999</v>
      </c>
      <c r="R10" s="238">
        <v>35.002000000000002</v>
      </c>
      <c r="S10" s="238">
        <v>33.106999999999999</v>
      </c>
      <c r="T10" s="238">
        <v>32.104999999999997</v>
      </c>
      <c r="U10" s="202">
        <v>32.795999999999999</v>
      </c>
      <c r="V10" s="202">
        <v>31.808</v>
      </c>
      <c r="W10" s="258">
        <f t="shared" si="8"/>
        <v>-3.0125625076228886</v>
      </c>
      <c r="X10" s="17" t="s">
        <v>23</v>
      </c>
      <c r="Y10" s="312"/>
    </row>
    <row r="11" spans="1:25" ht="12.75" customHeight="1" x14ac:dyDescent="0.2">
      <c r="A11" s="15"/>
      <c r="B11" s="91" t="s">
        <v>6</v>
      </c>
      <c r="C11" s="204">
        <v>5.2</v>
      </c>
      <c r="D11" s="205">
        <v>5.4</v>
      </c>
      <c r="E11" s="205">
        <v>5.6</v>
      </c>
      <c r="F11" s="205">
        <v>5.8</v>
      </c>
      <c r="G11" s="205">
        <v>6</v>
      </c>
      <c r="H11" s="205">
        <v>6.4039999999999999</v>
      </c>
      <c r="I11" s="205">
        <v>8.0470000000000006</v>
      </c>
      <c r="J11" s="205">
        <v>8.8040000000000003</v>
      </c>
      <c r="K11" s="205">
        <v>9.4969999999999999</v>
      </c>
      <c r="L11" s="205">
        <v>11.961</v>
      </c>
      <c r="M11" s="205">
        <v>14.371</v>
      </c>
      <c r="N11" s="205">
        <v>13.765000000000001</v>
      </c>
      <c r="O11" s="205">
        <v>14.624000000000001</v>
      </c>
      <c r="P11" s="205">
        <v>15.321999999999999</v>
      </c>
      <c r="Q11" s="205">
        <v>17.742000000000001</v>
      </c>
      <c r="R11" s="205">
        <v>19.433</v>
      </c>
      <c r="S11" s="205">
        <v>21.213999999999999</v>
      </c>
      <c r="T11" s="205">
        <v>24.372</v>
      </c>
      <c r="U11" s="205">
        <v>27.097000000000001</v>
      </c>
      <c r="V11" s="205">
        <v>27.853999999999999</v>
      </c>
      <c r="W11" s="259">
        <f t="shared" si="8"/>
        <v>2.7936671956305048</v>
      </c>
      <c r="X11" s="91" t="s">
        <v>6</v>
      </c>
      <c r="Y11" s="312"/>
    </row>
    <row r="12" spans="1:25" ht="12.75" customHeight="1" x14ac:dyDescent="0.2">
      <c r="A12" s="15"/>
      <c r="B12" s="17" t="s">
        <v>8</v>
      </c>
      <c r="C12" s="207">
        <v>31.3</v>
      </c>
      <c r="D12" s="208">
        <v>30.1</v>
      </c>
      <c r="E12" s="208">
        <v>30.64</v>
      </c>
      <c r="F12" s="208">
        <v>33.911000000000001</v>
      </c>
      <c r="G12" s="208">
        <v>36.963999999999999</v>
      </c>
      <c r="H12" s="208">
        <v>37.31</v>
      </c>
      <c r="I12" s="208">
        <v>39.067</v>
      </c>
      <c r="J12" s="208">
        <v>43.673999999999999</v>
      </c>
      <c r="K12" s="208">
        <v>46.534999999999997</v>
      </c>
      <c r="L12" s="208">
        <v>46.011000000000003</v>
      </c>
      <c r="M12" s="208">
        <v>43.447000000000003</v>
      </c>
      <c r="N12" s="208">
        <v>50.375999999999998</v>
      </c>
      <c r="O12" s="208">
        <v>48.140999999999998</v>
      </c>
      <c r="P12" s="208">
        <v>50.877000000000002</v>
      </c>
      <c r="Q12" s="208">
        <v>44.954999999999998</v>
      </c>
      <c r="R12" s="208">
        <v>51.832000000000001</v>
      </c>
      <c r="S12" s="208">
        <v>54.83</v>
      </c>
      <c r="T12" s="208">
        <v>51.228000000000002</v>
      </c>
      <c r="U12" s="208">
        <v>54.893000000000001</v>
      </c>
      <c r="V12" s="208">
        <v>54.091999999999999</v>
      </c>
      <c r="W12" s="258">
        <f t="shared" si="8"/>
        <v>-1.4592024483996227</v>
      </c>
      <c r="X12" s="17" t="s">
        <v>8</v>
      </c>
      <c r="Y12" s="312"/>
    </row>
    <row r="13" spans="1:25" ht="12.75" customHeight="1" x14ac:dyDescent="0.2">
      <c r="A13" s="15"/>
      <c r="B13" s="91" t="s">
        <v>19</v>
      </c>
      <c r="C13" s="204">
        <v>22.4</v>
      </c>
      <c r="D13" s="205">
        <v>21.3</v>
      </c>
      <c r="E13" s="205">
        <v>21.5</v>
      </c>
      <c r="F13" s="205">
        <v>21.4</v>
      </c>
      <c r="G13" s="205">
        <v>23.236000000000001</v>
      </c>
      <c r="H13" s="205">
        <v>24.021000000000001</v>
      </c>
      <c r="I13" s="205">
        <v>22.155999999999999</v>
      </c>
      <c r="J13" s="205">
        <v>22.515999999999998</v>
      </c>
      <c r="K13" s="205">
        <v>23.009</v>
      </c>
      <c r="L13" s="205">
        <v>23.114000000000001</v>
      </c>
      <c r="M13" s="205">
        <v>23.298999999999999</v>
      </c>
      <c r="N13" s="205">
        <v>21.254000000000001</v>
      </c>
      <c r="O13" s="205">
        <v>20.96</v>
      </c>
      <c r="P13" s="205">
        <v>19.48</v>
      </c>
      <c r="Q13" s="205">
        <v>16.876000000000001</v>
      </c>
      <c r="R13" s="205">
        <v>15.018000000000001</v>
      </c>
      <c r="S13" s="205">
        <v>16.12</v>
      </c>
      <c r="T13" s="205">
        <v>16.678999999999998</v>
      </c>
      <c r="U13" s="205">
        <v>16.071999999999999</v>
      </c>
      <c r="V13" s="205">
        <v>16.184000000000001</v>
      </c>
      <c r="W13" s="259">
        <f t="shared" si="8"/>
        <v>0.69686411149827165</v>
      </c>
      <c r="X13" s="91" t="s">
        <v>19</v>
      </c>
      <c r="Y13" s="312"/>
    </row>
    <row r="14" spans="1:25" ht="12.75" customHeight="1" x14ac:dyDescent="0.2">
      <c r="A14" s="15"/>
      <c r="B14" s="17" t="s">
        <v>24</v>
      </c>
      <c r="C14" s="207">
        <v>237.8</v>
      </c>
      <c r="D14" s="208">
        <v>236.6</v>
      </c>
      <c r="E14" s="208">
        <v>245.9</v>
      </c>
      <c r="F14" s="208">
        <v>257.39999999999998</v>
      </c>
      <c r="G14" s="208">
        <v>278.42700000000002</v>
      </c>
      <c r="H14" s="208">
        <v>280.70800000000003</v>
      </c>
      <c r="I14" s="208">
        <v>288.964</v>
      </c>
      <c r="J14" s="208">
        <v>285.214</v>
      </c>
      <c r="K14" s="208">
        <v>290.745</v>
      </c>
      <c r="L14" s="208">
        <v>303.75200000000001</v>
      </c>
      <c r="M14" s="208">
        <v>310.10300000000001</v>
      </c>
      <c r="N14" s="208">
        <v>330.01600000000002</v>
      </c>
      <c r="O14" s="208">
        <v>343.447</v>
      </c>
      <c r="P14" s="208">
        <v>341.53199999999998</v>
      </c>
      <c r="Q14" s="208">
        <v>307.54700000000003</v>
      </c>
      <c r="R14" s="208">
        <v>313.10399999999998</v>
      </c>
      <c r="S14" s="208">
        <v>323.83300000000003</v>
      </c>
      <c r="T14" s="208">
        <v>307.00900000000001</v>
      </c>
      <c r="U14" s="208">
        <v>305.74400000000003</v>
      </c>
      <c r="V14" s="208">
        <v>310.142</v>
      </c>
      <c r="W14" s="258">
        <f t="shared" si="8"/>
        <v>1.438458318070019</v>
      </c>
      <c r="X14" s="17" t="s">
        <v>24</v>
      </c>
      <c r="Y14" s="312"/>
    </row>
    <row r="15" spans="1:25" ht="12.75" customHeight="1" x14ac:dyDescent="0.2">
      <c r="A15" s="15"/>
      <c r="B15" s="91" t="s">
        <v>9</v>
      </c>
      <c r="C15" s="209">
        <v>1.5489999999999999</v>
      </c>
      <c r="D15" s="210">
        <v>1.897</v>
      </c>
      <c r="E15" s="210">
        <v>2.7730000000000001</v>
      </c>
      <c r="F15" s="210">
        <v>3.7909999999999999</v>
      </c>
      <c r="G15" s="210">
        <v>3.9750000000000001</v>
      </c>
      <c r="H15" s="210">
        <v>3.9319999999999999</v>
      </c>
      <c r="I15" s="205">
        <v>4.6769999999999996</v>
      </c>
      <c r="J15" s="211">
        <v>4.3869999999999996</v>
      </c>
      <c r="K15" s="205">
        <v>3.9740000000000002</v>
      </c>
      <c r="L15" s="210">
        <v>5.0990000000000002</v>
      </c>
      <c r="M15" s="210">
        <v>5.8239999999999998</v>
      </c>
      <c r="N15" s="210">
        <v>5.548</v>
      </c>
      <c r="O15" s="210">
        <v>6.4169999999999998</v>
      </c>
      <c r="P15" s="210">
        <v>7.3540000000000001</v>
      </c>
      <c r="Q15" s="210">
        <v>5.34</v>
      </c>
      <c r="R15" s="210">
        <v>5.6139999999999999</v>
      </c>
      <c r="S15" s="210">
        <v>5.9119999999999999</v>
      </c>
      <c r="T15" s="210">
        <v>5.7910000000000004</v>
      </c>
      <c r="U15" s="210">
        <v>5.9859999999999998</v>
      </c>
      <c r="V15" s="210">
        <v>6.31</v>
      </c>
      <c r="W15" s="259">
        <f t="shared" si="8"/>
        <v>5.4126294687604428</v>
      </c>
      <c r="X15" s="91" t="s">
        <v>9</v>
      </c>
      <c r="Y15" s="312"/>
    </row>
    <row r="16" spans="1:25" ht="12.75" customHeight="1" x14ac:dyDescent="0.2">
      <c r="A16" s="15"/>
      <c r="B16" s="17" t="s">
        <v>27</v>
      </c>
      <c r="C16" s="201">
        <v>5.5</v>
      </c>
      <c r="D16" s="202">
        <v>6.3</v>
      </c>
      <c r="E16" s="202">
        <v>7</v>
      </c>
      <c r="F16" s="202">
        <v>8.1999999999999993</v>
      </c>
      <c r="G16" s="202">
        <v>10.206</v>
      </c>
      <c r="H16" s="202">
        <v>12.275</v>
      </c>
      <c r="I16" s="202">
        <v>12.324999999999999</v>
      </c>
      <c r="J16" s="202">
        <v>14.275</v>
      </c>
      <c r="K16" s="202">
        <v>15.65</v>
      </c>
      <c r="L16" s="202">
        <v>17.143999999999998</v>
      </c>
      <c r="M16" s="202">
        <v>17.91</v>
      </c>
      <c r="N16" s="202">
        <v>17.454000000000001</v>
      </c>
      <c r="O16" s="202">
        <v>19.02</v>
      </c>
      <c r="P16" s="202">
        <v>17.402000000000001</v>
      </c>
      <c r="Q16" s="202">
        <v>11.686999999999999</v>
      </c>
      <c r="R16" s="202">
        <v>10.939</v>
      </c>
      <c r="S16" s="202">
        <v>10.108000000000001</v>
      </c>
      <c r="T16" s="202">
        <v>9.9760000000000009</v>
      </c>
      <c r="U16" s="202">
        <v>9.2149999999999999</v>
      </c>
      <c r="V16" s="202">
        <v>9.7509999999999994</v>
      </c>
      <c r="W16" s="258">
        <f t="shared" si="8"/>
        <v>5.8166033640802937</v>
      </c>
      <c r="X16" s="17" t="s">
        <v>27</v>
      </c>
      <c r="Y16" s="312"/>
    </row>
    <row r="17" spans="1:25" ht="12.75" customHeight="1" x14ac:dyDescent="0.2">
      <c r="A17" s="15"/>
      <c r="B17" s="91" t="s">
        <v>20</v>
      </c>
      <c r="C17" s="212">
        <v>24</v>
      </c>
      <c r="D17" s="213">
        <v>25.05</v>
      </c>
      <c r="E17" s="213">
        <v>26.12</v>
      </c>
      <c r="F17" s="213">
        <v>27.2</v>
      </c>
      <c r="G17" s="213">
        <v>28.1</v>
      </c>
      <c r="H17" s="213">
        <v>29</v>
      </c>
      <c r="I17" s="213">
        <v>30</v>
      </c>
      <c r="J17" s="213">
        <v>31</v>
      </c>
      <c r="K17" s="285">
        <v>19.34</v>
      </c>
      <c r="L17" s="210">
        <v>36.773000000000003</v>
      </c>
      <c r="M17" s="210">
        <v>23.760999999999999</v>
      </c>
      <c r="N17" s="210">
        <v>34.002000000000002</v>
      </c>
      <c r="O17" s="205">
        <v>27.791</v>
      </c>
      <c r="P17" s="205">
        <v>28.85</v>
      </c>
      <c r="Q17" s="205">
        <v>28.585000000000001</v>
      </c>
      <c r="R17" s="205">
        <v>29.815000000000001</v>
      </c>
      <c r="S17" s="205">
        <v>20.597000000000001</v>
      </c>
      <c r="T17" s="205">
        <v>20.838999999999999</v>
      </c>
      <c r="U17" s="205">
        <v>18.97</v>
      </c>
      <c r="V17" s="205">
        <v>19.222999999999999</v>
      </c>
      <c r="W17" s="259">
        <f t="shared" si="8"/>
        <v>1.3336847654190791</v>
      </c>
      <c r="X17" s="91" t="s">
        <v>20</v>
      </c>
      <c r="Y17" s="312"/>
    </row>
    <row r="18" spans="1:25" ht="12.75" customHeight="1" x14ac:dyDescent="0.2">
      <c r="A18" s="15"/>
      <c r="B18" s="17" t="s">
        <v>25</v>
      </c>
      <c r="C18" s="214">
        <v>101.6</v>
      </c>
      <c r="D18" s="215">
        <v>102</v>
      </c>
      <c r="E18" s="215">
        <v>109.5</v>
      </c>
      <c r="F18" s="215">
        <v>125</v>
      </c>
      <c r="G18" s="215">
        <v>134.262</v>
      </c>
      <c r="H18" s="215">
        <v>148.71700000000001</v>
      </c>
      <c r="I18" s="215">
        <v>161.04499999999999</v>
      </c>
      <c r="J18" s="215">
        <v>184.54900000000001</v>
      </c>
      <c r="K18" s="215">
        <v>192.596</v>
      </c>
      <c r="L18" s="215">
        <v>220.822</v>
      </c>
      <c r="M18" s="215">
        <v>233.23</v>
      </c>
      <c r="N18" s="215">
        <v>241.78800000000001</v>
      </c>
      <c r="O18" s="215">
        <v>258.875</v>
      </c>
      <c r="P18" s="215">
        <v>242.983</v>
      </c>
      <c r="Q18" s="215">
        <v>211.89500000000001</v>
      </c>
      <c r="R18" s="215">
        <v>210.06800000000001</v>
      </c>
      <c r="S18" s="215">
        <v>206.84299999999999</v>
      </c>
      <c r="T18" s="215">
        <v>199.209</v>
      </c>
      <c r="U18" s="215">
        <v>192.59700000000001</v>
      </c>
      <c r="V18" s="215">
        <v>195.767</v>
      </c>
      <c r="W18" s="258">
        <f t="shared" si="8"/>
        <v>1.6459238721267582</v>
      </c>
      <c r="X18" s="17" t="s">
        <v>25</v>
      </c>
      <c r="Y18" s="312"/>
    </row>
    <row r="19" spans="1:25" ht="12.75" customHeight="1" x14ac:dyDescent="0.2">
      <c r="A19" s="15"/>
      <c r="B19" s="91" t="s">
        <v>26</v>
      </c>
      <c r="C19" s="209">
        <v>178.2</v>
      </c>
      <c r="D19" s="210">
        <v>180</v>
      </c>
      <c r="E19" s="210">
        <v>181.4</v>
      </c>
      <c r="F19" s="210">
        <v>189.1</v>
      </c>
      <c r="G19" s="210">
        <v>204.71299999999999</v>
      </c>
      <c r="H19" s="210">
        <v>203.999</v>
      </c>
      <c r="I19" s="210">
        <v>206.87</v>
      </c>
      <c r="J19" s="210">
        <v>204.35900000000001</v>
      </c>
      <c r="K19" s="210">
        <v>203.608</v>
      </c>
      <c r="L19" s="210">
        <v>212.20099999999999</v>
      </c>
      <c r="M19" s="210">
        <v>205.28399999999999</v>
      </c>
      <c r="N19" s="210">
        <v>211.44499999999999</v>
      </c>
      <c r="O19" s="210">
        <v>219.21199999999999</v>
      </c>
      <c r="P19" s="210">
        <v>206.304</v>
      </c>
      <c r="Q19" s="210">
        <v>173.62100000000001</v>
      </c>
      <c r="R19" s="210">
        <v>182.19300000000001</v>
      </c>
      <c r="S19" s="210">
        <v>185.685</v>
      </c>
      <c r="T19" s="210">
        <v>172.44499999999999</v>
      </c>
      <c r="U19" s="210">
        <v>171.47200000000001</v>
      </c>
      <c r="V19" s="264">
        <v>165.22499999999999</v>
      </c>
      <c r="W19" s="259">
        <f t="shared" si="8"/>
        <v>-3.6431603993654988</v>
      </c>
      <c r="X19" s="91" t="s">
        <v>26</v>
      </c>
      <c r="Y19" s="312"/>
    </row>
    <row r="20" spans="1:25" ht="12.75" customHeight="1" x14ac:dyDescent="0.2">
      <c r="A20" s="15"/>
      <c r="B20" s="17" t="s">
        <v>37</v>
      </c>
      <c r="C20" s="144"/>
      <c r="D20" s="59"/>
      <c r="E20" s="59"/>
      <c r="F20" s="190"/>
      <c r="G20" s="59">
        <v>2.4239999999999999</v>
      </c>
      <c r="H20" s="59">
        <v>2.8559999999999999</v>
      </c>
      <c r="I20" s="59">
        <v>6.7829999999999995</v>
      </c>
      <c r="J20" s="59">
        <v>7.4130000000000003</v>
      </c>
      <c r="K20" s="59">
        <v>8.2409999999999997</v>
      </c>
      <c r="L20" s="59">
        <v>8.8189999999999991</v>
      </c>
      <c r="M20" s="59">
        <v>9.3279999999999994</v>
      </c>
      <c r="N20" s="59">
        <v>10.175000000000001</v>
      </c>
      <c r="O20" s="59">
        <v>10.502000000000001</v>
      </c>
      <c r="P20" s="59">
        <v>11.042</v>
      </c>
      <c r="Q20" s="59">
        <v>9.4260000000000002</v>
      </c>
      <c r="R20" s="59">
        <v>8.7799999999999994</v>
      </c>
      <c r="S20" s="59">
        <v>8.9260000000000002</v>
      </c>
      <c r="T20" s="59">
        <v>8.6489999999999991</v>
      </c>
      <c r="U20" s="59">
        <v>9.1329999999999991</v>
      </c>
      <c r="V20" s="217">
        <v>9.3810000000000002</v>
      </c>
      <c r="W20" s="258">
        <f t="shared" si="8"/>
        <v>2.7154275703493056</v>
      </c>
      <c r="X20" s="17" t="s">
        <v>37</v>
      </c>
      <c r="Y20" s="312"/>
    </row>
    <row r="21" spans="1:25" ht="12.75" customHeight="1" x14ac:dyDescent="0.2">
      <c r="A21" s="15"/>
      <c r="B21" s="91" t="s">
        <v>28</v>
      </c>
      <c r="C21" s="212">
        <v>174.43100000000001</v>
      </c>
      <c r="D21" s="213">
        <v>175.45</v>
      </c>
      <c r="E21" s="213">
        <v>178.35300000000001</v>
      </c>
      <c r="F21" s="213">
        <v>180.482</v>
      </c>
      <c r="G21" s="213">
        <v>177.291</v>
      </c>
      <c r="H21" s="213">
        <v>184.67699999999999</v>
      </c>
      <c r="I21" s="213">
        <v>186.51300000000001</v>
      </c>
      <c r="J21" s="205">
        <v>192.68100000000001</v>
      </c>
      <c r="K21" s="205">
        <v>174.08799999999999</v>
      </c>
      <c r="L21" s="205">
        <v>196.98</v>
      </c>
      <c r="M21" s="205">
        <v>211.804</v>
      </c>
      <c r="N21" s="205">
        <v>187.065</v>
      </c>
      <c r="O21" s="205">
        <v>179.411</v>
      </c>
      <c r="P21" s="205">
        <v>180.46100000000001</v>
      </c>
      <c r="Q21" s="205">
        <v>167.62700000000001</v>
      </c>
      <c r="R21" s="205">
        <v>175.77500000000001</v>
      </c>
      <c r="S21" s="205">
        <v>142.84299999999999</v>
      </c>
      <c r="T21" s="205">
        <v>124.015</v>
      </c>
      <c r="U21" s="205">
        <v>127.241</v>
      </c>
      <c r="V21" s="206">
        <v>117.813</v>
      </c>
      <c r="W21" s="259">
        <f t="shared" si="8"/>
        <v>-7.4095613835163192</v>
      </c>
      <c r="X21" s="91" t="s">
        <v>28</v>
      </c>
      <c r="Y21" s="312"/>
    </row>
    <row r="22" spans="1:25" ht="12.75" customHeight="1" x14ac:dyDescent="0.2">
      <c r="A22" s="15"/>
      <c r="B22" s="17" t="s">
        <v>7</v>
      </c>
      <c r="C22" s="144">
        <v>1.2</v>
      </c>
      <c r="D22" s="59">
        <v>1.23</v>
      </c>
      <c r="E22" s="59">
        <v>1.25</v>
      </c>
      <c r="F22" s="59">
        <v>1.29</v>
      </c>
      <c r="G22" s="59">
        <v>1.3</v>
      </c>
      <c r="H22" s="59">
        <v>1.31</v>
      </c>
      <c r="I22" s="59">
        <v>1.32</v>
      </c>
      <c r="J22" s="59">
        <v>1.3220000000000001</v>
      </c>
      <c r="K22" s="59">
        <v>1.401</v>
      </c>
      <c r="L22" s="59">
        <v>1.119</v>
      </c>
      <c r="M22" s="59">
        <v>1.393</v>
      </c>
      <c r="N22" s="59">
        <v>1.165</v>
      </c>
      <c r="O22" s="59">
        <v>1.202</v>
      </c>
      <c r="P22" s="59">
        <v>1.3080000000000001</v>
      </c>
      <c r="Q22" s="59">
        <v>0.96299999999999997</v>
      </c>
      <c r="R22" s="59">
        <v>1.087</v>
      </c>
      <c r="S22" s="59">
        <v>0.94099999999999995</v>
      </c>
      <c r="T22" s="59">
        <v>0.89600000000000002</v>
      </c>
      <c r="U22" s="59">
        <v>0.63400000000000001</v>
      </c>
      <c r="V22" s="217">
        <v>0.53800000000000003</v>
      </c>
      <c r="W22" s="258">
        <f t="shared" si="8"/>
        <v>-15.141955835962136</v>
      </c>
      <c r="X22" s="17" t="s">
        <v>7</v>
      </c>
      <c r="Y22" s="312"/>
    </row>
    <row r="23" spans="1:25" ht="12.75" customHeight="1" x14ac:dyDescent="0.2">
      <c r="A23" s="15"/>
      <c r="B23" s="91" t="s">
        <v>11</v>
      </c>
      <c r="C23" s="204">
        <v>1.83</v>
      </c>
      <c r="D23" s="205">
        <v>2.2080000000000002</v>
      </c>
      <c r="E23" s="205">
        <v>3.3519999999999999</v>
      </c>
      <c r="F23" s="205">
        <v>4.1079999999999997</v>
      </c>
      <c r="G23" s="205">
        <v>4.1609999999999996</v>
      </c>
      <c r="H23" s="205">
        <v>4.7889999999999997</v>
      </c>
      <c r="I23" s="205">
        <v>5.36</v>
      </c>
      <c r="J23" s="205">
        <v>6.2</v>
      </c>
      <c r="K23" s="205">
        <v>6.8079999999999998</v>
      </c>
      <c r="L23" s="205">
        <v>7.3810000000000002</v>
      </c>
      <c r="M23" s="205">
        <v>8.3940000000000001</v>
      </c>
      <c r="N23" s="205">
        <v>10.753</v>
      </c>
      <c r="O23" s="205">
        <v>13.204000000000001</v>
      </c>
      <c r="P23" s="205">
        <v>12.343999999999999</v>
      </c>
      <c r="Q23" s="205">
        <v>8.1150000000000002</v>
      </c>
      <c r="R23" s="205">
        <v>10.59</v>
      </c>
      <c r="S23" s="205">
        <v>12.131</v>
      </c>
      <c r="T23" s="205">
        <v>12.178000000000001</v>
      </c>
      <c r="U23" s="205">
        <v>12.816000000000001</v>
      </c>
      <c r="V23" s="206">
        <v>13.67</v>
      </c>
      <c r="W23" s="259">
        <f t="shared" si="8"/>
        <v>6.663545568039936</v>
      </c>
      <c r="X23" s="91" t="s">
        <v>11</v>
      </c>
      <c r="Y23" s="312"/>
    </row>
    <row r="24" spans="1:25" ht="12.75" customHeight="1" x14ac:dyDescent="0.2">
      <c r="A24" s="15"/>
      <c r="B24" s="17" t="s">
        <v>12</v>
      </c>
      <c r="C24" s="144">
        <v>5.2</v>
      </c>
      <c r="D24" s="59">
        <v>4.1909999999999998</v>
      </c>
      <c r="E24" s="59">
        <v>5.1459999999999999</v>
      </c>
      <c r="F24" s="59">
        <v>5.6109999999999998</v>
      </c>
      <c r="G24" s="59">
        <v>7.74</v>
      </c>
      <c r="H24" s="59">
        <v>7.7690000000000001</v>
      </c>
      <c r="I24" s="59">
        <v>8.2739999999999991</v>
      </c>
      <c r="J24" s="59">
        <v>10.709</v>
      </c>
      <c r="K24" s="59">
        <v>11.462</v>
      </c>
      <c r="L24" s="59">
        <v>12.279</v>
      </c>
      <c r="M24" s="59">
        <v>15.907999999999999</v>
      </c>
      <c r="N24" s="59">
        <v>18.134</v>
      </c>
      <c r="O24" s="59">
        <v>20.277999999999999</v>
      </c>
      <c r="P24" s="59">
        <v>20.419</v>
      </c>
      <c r="Q24" s="59">
        <v>17.757000000000001</v>
      </c>
      <c r="R24" s="59">
        <v>19.398</v>
      </c>
      <c r="S24" s="59">
        <v>21.512</v>
      </c>
      <c r="T24" s="59">
        <v>23.449000000000002</v>
      </c>
      <c r="U24" s="59">
        <v>26.338000000000001</v>
      </c>
      <c r="V24" s="217">
        <v>28.067</v>
      </c>
      <c r="W24" s="258">
        <f t="shared" si="8"/>
        <v>6.5646594274432459</v>
      </c>
      <c r="X24" s="17" t="s">
        <v>12</v>
      </c>
      <c r="Y24" s="312"/>
    </row>
    <row r="25" spans="1:25" ht="12.75" customHeight="1" x14ac:dyDescent="0.2">
      <c r="A25" s="15"/>
      <c r="B25" s="91" t="s">
        <v>29</v>
      </c>
      <c r="C25" s="204">
        <v>5.5</v>
      </c>
      <c r="D25" s="205">
        <v>3.5</v>
      </c>
      <c r="E25" s="205">
        <v>4.4000000000000004</v>
      </c>
      <c r="F25" s="205">
        <v>5</v>
      </c>
      <c r="G25" s="205">
        <v>6.3129999999999997</v>
      </c>
      <c r="H25" s="205">
        <v>7.609</v>
      </c>
      <c r="I25" s="205">
        <v>8.6999999999999993</v>
      </c>
      <c r="J25" s="205">
        <v>9.1790000000000003</v>
      </c>
      <c r="K25" s="205">
        <v>9.6449999999999996</v>
      </c>
      <c r="L25" s="205">
        <v>9.5749999999999993</v>
      </c>
      <c r="M25" s="205">
        <v>8.8030000000000008</v>
      </c>
      <c r="N25" s="205">
        <v>8.8070000000000004</v>
      </c>
      <c r="O25" s="205">
        <v>9.5619999999999994</v>
      </c>
      <c r="P25" s="205">
        <v>8.9649999999999999</v>
      </c>
      <c r="Q25" s="205">
        <v>8.4</v>
      </c>
      <c r="R25" s="205">
        <v>8.6940000000000008</v>
      </c>
      <c r="S25" s="205">
        <v>8.8350000000000009</v>
      </c>
      <c r="T25" s="205">
        <v>7.95</v>
      </c>
      <c r="U25" s="205">
        <v>8.6059999999999999</v>
      </c>
      <c r="V25" s="206">
        <v>9.5990000000000002</v>
      </c>
      <c r="W25" s="259">
        <f t="shared" si="8"/>
        <v>11.538461538461547</v>
      </c>
      <c r="X25" s="91" t="s">
        <v>29</v>
      </c>
      <c r="Y25" s="312"/>
    </row>
    <row r="26" spans="1:25" ht="12.75" customHeight="1" x14ac:dyDescent="0.2">
      <c r="A26" s="15"/>
      <c r="B26" s="17" t="s">
        <v>10</v>
      </c>
      <c r="C26" s="207">
        <v>13.8</v>
      </c>
      <c r="D26" s="208">
        <v>14.3</v>
      </c>
      <c r="E26" s="208">
        <v>14.9</v>
      </c>
      <c r="F26" s="208">
        <v>18.673999999999999</v>
      </c>
      <c r="G26" s="208">
        <v>18.599</v>
      </c>
      <c r="H26" s="208">
        <v>19.123999999999999</v>
      </c>
      <c r="I26" s="208">
        <v>18.486000000000001</v>
      </c>
      <c r="J26" s="208">
        <v>17.913</v>
      </c>
      <c r="K26" s="208">
        <v>18.207999999999998</v>
      </c>
      <c r="L26" s="208">
        <v>20.608000000000001</v>
      </c>
      <c r="M26" s="208">
        <v>25.152000000000001</v>
      </c>
      <c r="N26" s="208">
        <v>30.478999999999999</v>
      </c>
      <c r="O26" s="208">
        <v>35.805</v>
      </c>
      <c r="P26" s="208">
        <v>35.759</v>
      </c>
      <c r="Q26" s="208">
        <v>35.372999999999998</v>
      </c>
      <c r="R26" s="208">
        <v>33.720999999999997</v>
      </c>
      <c r="S26" s="208">
        <v>34.529000000000003</v>
      </c>
      <c r="T26" s="208">
        <v>33.735999999999997</v>
      </c>
      <c r="U26" s="208">
        <v>35.817999999999998</v>
      </c>
      <c r="V26" s="239">
        <v>37.517000000000003</v>
      </c>
      <c r="W26" s="258">
        <f t="shared" si="8"/>
        <v>4.7434250935284012</v>
      </c>
      <c r="X26" s="17" t="s">
        <v>10</v>
      </c>
      <c r="Y26" s="312"/>
    </row>
    <row r="27" spans="1:25" ht="12.75" customHeight="1" x14ac:dyDescent="0.2">
      <c r="A27" s="15"/>
      <c r="B27" s="58" t="s">
        <v>13</v>
      </c>
      <c r="C27" s="212">
        <v>0.25</v>
      </c>
      <c r="D27" s="213">
        <v>0.25</v>
      </c>
      <c r="E27" s="213">
        <v>0.25</v>
      </c>
      <c r="F27" s="213">
        <v>0.25</v>
      </c>
      <c r="G27" s="213">
        <v>0.25</v>
      </c>
      <c r="H27" s="213">
        <v>0.25</v>
      </c>
      <c r="I27" s="213">
        <v>0.25</v>
      </c>
      <c r="J27" s="213">
        <v>0.25</v>
      </c>
      <c r="K27" s="213">
        <v>0.25</v>
      </c>
      <c r="L27" s="213">
        <v>0.25</v>
      </c>
      <c r="M27" s="213">
        <v>0.25</v>
      </c>
      <c r="N27" s="213">
        <v>0.25</v>
      </c>
      <c r="O27" s="213">
        <v>0.25</v>
      </c>
      <c r="P27" s="213">
        <v>0.25</v>
      </c>
      <c r="Q27" s="213">
        <v>0.25</v>
      </c>
      <c r="R27" s="213">
        <v>0.25</v>
      </c>
      <c r="S27" s="213">
        <v>0.25</v>
      </c>
      <c r="T27" s="213">
        <v>0.25</v>
      </c>
      <c r="U27" s="213">
        <v>0.25</v>
      </c>
      <c r="V27" s="213">
        <v>0.25</v>
      </c>
      <c r="W27" s="260">
        <f t="shared" si="8"/>
        <v>0</v>
      </c>
      <c r="X27" s="58" t="s">
        <v>13</v>
      </c>
      <c r="Y27" s="312"/>
    </row>
    <row r="28" spans="1:25" ht="12.75" customHeight="1" x14ac:dyDescent="0.2">
      <c r="A28" s="15"/>
      <c r="B28" s="17" t="s">
        <v>21</v>
      </c>
      <c r="C28" s="144">
        <v>67.099999999999994</v>
      </c>
      <c r="D28" s="59">
        <v>69.400000000000006</v>
      </c>
      <c r="E28" s="59">
        <v>70.599999999999994</v>
      </c>
      <c r="F28" s="59">
        <v>78.5</v>
      </c>
      <c r="G28" s="59">
        <v>83.563999999999993</v>
      </c>
      <c r="H28" s="59">
        <v>79.564999999999998</v>
      </c>
      <c r="I28" s="59">
        <v>78.492000000000004</v>
      </c>
      <c r="J28" s="59">
        <v>77.418000000000006</v>
      </c>
      <c r="K28" s="59">
        <v>79.765000000000001</v>
      </c>
      <c r="L28" s="59">
        <v>89.694999999999993</v>
      </c>
      <c r="M28" s="59">
        <v>84.162999999999997</v>
      </c>
      <c r="N28" s="59">
        <v>83.192999999999998</v>
      </c>
      <c r="O28" s="59">
        <v>77.921000000000006</v>
      </c>
      <c r="P28" s="59">
        <v>78.159000000000006</v>
      </c>
      <c r="Q28" s="59">
        <v>72.674999999999997</v>
      </c>
      <c r="R28" s="59">
        <v>75.783000000000001</v>
      </c>
      <c r="S28" s="59">
        <v>73.712999999999994</v>
      </c>
      <c r="T28" s="59">
        <v>67.804000000000002</v>
      </c>
      <c r="U28" s="59">
        <v>70.183999999999997</v>
      </c>
      <c r="V28" s="217">
        <v>70.897000000000006</v>
      </c>
      <c r="W28" s="258">
        <f t="shared" si="8"/>
        <v>1.015901060070675</v>
      </c>
      <c r="X28" s="17" t="s">
        <v>21</v>
      </c>
      <c r="Y28" s="312"/>
    </row>
    <row r="29" spans="1:25" ht="12.75" customHeight="1" x14ac:dyDescent="0.2">
      <c r="A29" s="15"/>
      <c r="B29" s="91" t="s">
        <v>30</v>
      </c>
      <c r="C29" s="204">
        <v>26.5</v>
      </c>
      <c r="D29" s="205">
        <v>27.8</v>
      </c>
      <c r="E29" s="205">
        <v>28.6</v>
      </c>
      <c r="F29" s="205">
        <v>30.3</v>
      </c>
      <c r="G29" s="210">
        <v>33.981999999999999</v>
      </c>
      <c r="H29" s="210">
        <v>35.122</v>
      </c>
      <c r="I29" s="210">
        <v>37.531999999999996</v>
      </c>
      <c r="J29" s="210">
        <v>38.497999999999998</v>
      </c>
      <c r="K29" s="210">
        <v>39.557000000000002</v>
      </c>
      <c r="L29" s="210">
        <v>39.186</v>
      </c>
      <c r="M29" s="210">
        <v>37.043999999999997</v>
      </c>
      <c r="N29" s="210">
        <v>39.186999999999998</v>
      </c>
      <c r="O29" s="210">
        <v>37.402000000000001</v>
      </c>
      <c r="P29" s="210">
        <v>34.313000000000002</v>
      </c>
      <c r="Q29" s="210">
        <v>29.074999999999999</v>
      </c>
      <c r="R29" s="210">
        <v>28.658999999999999</v>
      </c>
      <c r="S29" s="210">
        <v>28.542000000000002</v>
      </c>
      <c r="T29" s="210">
        <v>26.088999999999999</v>
      </c>
      <c r="U29" s="210">
        <v>24.213000000000001</v>
      </c>
      <c r="V29" s="264">
        <v>24.298999999999999</v>
      </c>
      <c r="W29" s="259">
        <f t="shared" si="8"/>
        <v>0.35518110106140455</v>
      </c>
      <c r="X29" s="91" t="s">
        <v>30</v>
      </c>
      <c r="Y29" s="312"/>
    </row>
    <row r="30" spans="1:25" ht="12.75" customHeight="1" x14ac:dyDescent="0.2">
      <c r="A30" s="15"/>
      <c r="B30" s="17" t="s">
        <v>14</v>
      </c>
      <c r="C30" s="195">
        <v>51.2</v>
      </c>
      <c r="D30" s="190">
        <v>56.513000000000005</v>
      </c>
      <c r="E30" s="190">
        <v>63.683999999999997</v>
      </c>
      <c r="F30" s="190">
        <v>69.542000000000002</v>
      </c>
      <c r="G30" s="190">
        <v>70.451999999999998</v>
      </c>
      <c r="H30" s="190">
        <v>75.022999999999996</v>
      </c>
      <c r="I30" s="190">
        <v>77.227999999999994</v>
      </c>
      <c r="J30" s="190">
        <v>80.317999999999998</v>
      </c>
      <c r="K30" s="190">
        <v>85.989000000000004</v>
      </c>
      <c r="L30" s="59">
        <v>102.807</v>
      </c>
      <c r="M30" s="59">
        <v>111.82599999999999</v>
      </c>
      <c r="N30" s="59">
        <v>128.315</v>
      </c>
      <c r="O30" s="59">
        <v>150.87899999999999</v>
      </c>
      <c r="P30" s="59">
        <v>164.93</v>
      </c>
      <c r="Q30" s="59">
        <v>180.74199999999999</v>
      </c>
      <c r="R30" s="59">
        <v>202.30799999999999</v>
      </c>
      <c r="S30" s="59">
        <v>207.65100000000001</v>
      </c>
      <c r="T30" s="59">
        <v>222.33199999999999</v>
      </c>
      <c r="U30" s="59">
        <v>247.59399999999999</v>
      </c>
      <c r="V30" s="217">
        <v>250.93100000000001</v>
      </c>
      <c r="W30" s="258">
        <f t="shared" si="8"/>
        <v>1.3477709475996988</v>
      </c>
      <c r="X30" s="17" t="s">
        <v>14</v>
      </c>
      <c r="Y30" s="312"/>
    </row>
    <row r="31" spans="1:25" ht="12.75" customHeight="1" x14ac:dyDescent="0.2">
      <c r="A31" s="15"/>
      <c r="B31" s="91" t="s">
        <v>31</v>
      </c>
      <c r="C31" s="204">
        <v>32</v>
      </c>
      <c r="D31" s="205">
        <v>33.64</v>
      </c>
      <c r="E31" s="205">
        <v>35.96</v>
      </c>
      <c r="F31" s="205">
        <v>36.68</v>
      </c>
      <c r="G31" s="285">
        <v>26.087</v>
      </c>
      <c r="H31" s="205">
        <v>26.835999999999999</v>
      </c>
      <c r="I31" s="205">
        <v>29.966999999999999</v>
      </c>
      <c r="J31" s="205">
        <v>29.724</v>
      </c>
      <c r="K31" s="205">
        <v>27.425000000000001</v>
      </c>
      <c r="L31" s="285">
        <v>40.819000000000003</v>
      </c>
      <c r="M31" s="205">
        <v>42.606999999999999</v>
      </c>
      <c r="N31" s="205">
        <v>44.835000000000001</v>
      </c>
      <c r="O31" s="205">
        <v>46.203000000000003</v>
      </c>
      <c r="P31" s="205">
        <v>39.091000000000001</v>
      </c>
      <c r="Q31" s="205">
        <v>35.808</v>
      </c>
      <c r="R31" s="205">
        <v>35.368000000000002</v>
      </c>
      <c r="S31" s="205">
        <v>36.453000000000003</v>
      </c>
      <c r="T31" s="205">
        <v>32.935000000000002</v>
      </c>
      <c r="U31" s="205">
        <v>36.555</v>
      </c>
      <c r="V31" s="206">
        <v>34.863</v>
      </c>
      <c r="W31" s="259">
        <f t="shared" si="8"/>
        <v>-4.6286417726713154</v>
      </c>
      <c r="X31" s="91" t="s">
        <v>31</v>
      </c>
      <c r="Y31" s="312"/>
    </row>
    <row r="32" spans="1:25" ht="12.75" customHeight="1" x14ac:dyDescent="0.2">
      <c r="A32" s="15"/>
      <c r="B32" s="17" t="s">
        <v>15</v>
      </c>
      <c r="C32" s="214">
        <v>19.7</v>
      </c>
      <c r="D32" s="215">
        <v>19.8</v>
      </c>
      <c r="E32" s="215">
        <v>21.8</v>
      </c>
      <c r="F32" s="215">
        <v>15.785</v>
      </c>
      <c r="G32" s="215">
        <v>13.456</v>
      </c>
      <c r="H32" s="222">
        <v>14.288</v>
      </c>
      <c r="I32" s="215">
        <v>18.544</v>
      </c>
      <c r="J32" s="215">
        <v>25.35</v>
      </c>
      <c r="K32" s="215">
        <v>30.853000000000002</v>
      </c>
      <c r="L32" s="215">
        <v>37.22</v>
      </c>
      <c r="M32" s="215">
        <v>51.531999999999996</v>
      </c>
      <c r="N32" s="215">
        <v>57.287999999999997</v>
      </c>
      <c r="O32" s="215">
        <v>59.524000000000001</v>
      </c>
      <c r="P32" s="215">
        <v>56.386000000000003</v>
      </c>
      <c r="Q32" s="215">
        <v>34.268999999999998</v>
      </c>
      <c r="R32" s="215">
        <v>25.888999999999999</v>
      </c>
      <c r="S32" s="215">
        <v>26.349</v>
      </c>
      <c r="T32" s="215">
        <v>29.661999999999999</v>
      </c>
      <c r="U32" s="215">
        <v>34.026000000000003</v>
      </c>
      <c r="V32" s="216">
        <v>35.136000000000003</v>
      </c>
      <c r="W32" s="258">
        <f t="shared" si="8"/>
        <v>3.2622112502204175</v>
      </c>
      <c r="X32" s="17" t="s">
        <v>15</v>
      </c>
      <c r="Y32" s="312"/>
    </row>
    <row r="33" spans="1:25" ht="12.75" customHeight="1" x14ac:dyDescent="0.2">
      <c r="A33" s="15"/>
      <c r="B33" s="91" t="s">
        <v>17</v>
      </c>
      <c r="C33" s="204">
        <v>3.3</v>
      </c>
      <c r="D33" s="205">
        <v>3.5</v>
      </c>
      <c r="E33" s="205">
        <v>3.9</v>
      </c>
      <c r="F33" s="205">
        <v>3.8</v>
      </c>
      <c r="G33" s="205">
        <v>4.2</v>
      </c>
      <c r="H33" s="205">
        <v>5.3</v>
      </c>
      <c r="I33" s="205">
        <v>7.0350000000000001</v>
      </c>
      <c r="J33" s="205">
        <v>6.609</v>
      </c>
      <c r="K33" s="205">
        <v>7.04</v>
      </c>
      <c r="L33" s="205">
        <v>9.0069999999999997</v>
      </c>
      <c r="M33" s="205">
        <v>11.032</v>
      </c>
      <c r="N33" s="205">
        <v>12.112</v>
      </c>
      <c r="O33" s="205">
        <v>13.734</v>
      </c>
      <c r="P33" s="205">
        <v>16.260999999999999</v>
      </c>
      <c r="Q33" s="205">
        <v>14.762</v>
      </c>
      <c r="R33" s="205">
        <v>15.930999999999999</v>
      </c>
      <c r="S33" s="205">
        <v>16.439</v>
      </c>
      <c r="T33" s="205">
        <v>15.888</v>
      </c>
      <c r="U33" s="205">
        <v>15.904999999999999</v>
      </c>
      <c r="V33" s="206">
        <v>16.273</v>
      </c>
      <c r="W33" s="259">
        <f t="shared" si="8"/>
        <v>2.3137378182961328</v>
      </c>
      <c r="X33" s="91" t="s">
        <v>17</v>
      </c>
      <c r="Y33" s="312"/>
    </row>
    <row r="34" spans="1:25" ht="12.75" customHeight="1" x14ac:dyDescent="0.2">
      <c r="A34" s="15"/>
      <c r="B34" s="17" t="s">
        <v>16</v>
      </c>
      <c r="C34" s="214">
        <v>15.9</v>
      </c>
      <c r="D34" s="215">
        <v>15.85</v>
      </c>
      <c r="E34" s="215">
        <v>15.35</v>
      </c>
      <c r="F34" s="215">
        <v>17.88</v>
      </c>
      <c r="G34" s="215">
        <v>18.52</v>
      </c>
      <c r="H34" s="215">
        <v>14.34</v>
      </c>
      <c r="I34" s="215">
        <v>13.8</v>
      </c>
      <c r="J34" s="215">
        <v>14.93</v>
      </c>
      <c r="K34" s="215">
        <v>16.748000000000001</v>
      </c>
      <c r="L34" s="215">
        <v>18.527000000000001</v>
      </c>
      <c r="M34" s="215">
        <v>22.565999999999999</v>
      </c>
      <c r="N34" s="215">
        <v>22.212</v>
      </c>
      <c r="O34" s="215">
        <v>27.158999999999999</v>
      </c>
      <c r="P34" s="215">
        <v>29.276</v>
      </c>
      <c r="Q34" s="215">
        <v>27.704999999999998</v>
      </c>
      <c r="R34" s="215">
        <v>27.574999999999999</v>
      </c>
      <c r="S34" s="215">
        <v>29.178999999999998</v>
      </c>
      <c r="T34" s="215">
        <v>29.693000000000001</v>
      </c>
      <c r="U34" s="215">
        <v>30.146999999999998</v>
      </c>
      <c r="V34" s="216">
        <v>31.358000000000001</v>
      </c>
      <c r="W34" s="258">
        <f t="shared" si="8"/>
        <v>4.0169834477725885</v>
      </c>
      <c r="X34" s="17" t="s">
        <v>16</v>
      </c>
      <c r="Y34" s="312"/>
    </row>
    <row r="35" spans="1:25" ht="12.75" customHeight="1" x14ac:dyDescent="0.2">
      <c r="A35" s="15"/>
      <c r="B35" s="91" t="s">
        <v>32</v>
      </c>
      <c r="C35" s="204">
        <v>24.5</v>
      </c>
      <c r="D35" s="205">
        <v>25</v>
      </c>
      <c r="E35" s="205">
        <v>25.7</v>
      </c>
      <c r="F35" s="205">
        <v>28.1</v>
      </c>
      <c r="G35" s="205">
        <v>29.655999999999999</v>
      </c>
      <c r="H35" s="205">
        <v>31.975000000000001</v>
      </c>
      <c r="I35" s="205">
        <v>30.478000000000002</v>
      </c>
      <c r="J35" s="205">
        <v>31.966999999999999</v>
      </c>
      <c r="K35" s="205">
        <v>30.925999999999998</v>
      </c>
      <c r="L35" s="205">
        <v>32.29</v>
      </c>
      <c r="M35" s="205">
        <v>31.856999999999999</v>
      </c>
      <c r="N35" s="205">
        <v>29.715</v>
      </c>
      <c r="O35" s="205">
        <v>29.818999999999999</v>
      </c>
      <c r="P35" s="205">
        <v>31.036000000000001</v>
      </c>
      <c r="Q35" s="205">
        <v>27.805</v>
      </c>
      <c r="R35" s="205">
        <v>29.532</v>
      </c>
      <c r="S35" s="205">
        <v>26.863</v>
      </c>
      <c r="T35" s="205">
        <v>25.46</v>
      </c>
      <c r="U35" s="205">
        <v>24.428999999999998</v>
      </c>
      <c r="V35" s="206">
        <v>23.401</v>
      </c>
      <c r="W35" s="259">
        <f t="shared" si="8"/>
        <v>-4.2081133079536528</v>
      </c>
      <c r="X35" s="91" t="s">
        <v>32</v>
      </c>
      <c r="Y35" s="312"/>
    </row>
    <row r="36" spans="1:25" ht="12.75" customHeight="1" x14ac:dyDescent="0.2">
      <c r="A36" s="15"/>
      <c r="B36" s="17" t="s">
        <v>33</v>
      </c>
      <c r="C36" s="214">
        <v>31.6</v>
      </c>
      <c r="D36" s="215">
        <v>33.299999999999997</v>
      </c>
      <c r="E36" s="215">
        <v>35.1</v>
      </c>
      <c r="F36" s="215">
        <v>33.299999999999997</v>
      </c>
      <c r="G36" s="215">
        <v>33.200000000000003</v>
      </c>
      <c r="H36" s="215">
        <v>35.621000000000002</v>
      </c>
      <c r="I36" s="215">
        <v>34.158000000000001</v>
      </c>
      <c r="J36" s="215">
        <v>36.652000000000001</v>
      </c>
      <c r="K36" s="215">
        <v>36.637999999999998</v>
      </c>
      <c r="L36" s="215">
        <v>36.948999999999998</v>
      </c>
      <c r="M36" s="215">
        <v>38.575000000000003</v>
      </c>
      <c r="N36" s="215">
        <v>39.917999999999999</v>
      </c>
      <c r="O36" s="215">
        <v>40.54</v>
      </c>
      <c r="P36" s="215">
        <v>42.37</v>
      </c>
      <c r="Q36" s="215">
        <v>35.046999999999997</v>
      </c>
      <c r="R36" s="215">
        <v>36.268000000000001</v>
      </c>
      <c r="S36" s="215">
        <v>36.932000000000002</v>
      </c>
      <c r="T36" s="215">
        <v>33.481000000000002</v>
      </c>
      <c r="U36" s="215">
        <v>33.529000000000003</v>
      </c>
      <c r="V36" s="403">
        <v>41.963999999999999</v>
      </c>
      <c r="W36" s="258">
        <f t="shared" si="8"/>
        <v>25.157326493483239</v>
      </c>
      <c r="X36" s="17" t="s">
        <v>140</v>
      </c>
      <c r="Y36" s="312"/>
    </row>
    <row r="37" spans="1:25" ht="12.75" customHeight="1" x14ac:dyDescent="0.2">
      <c r="A37" s="15"/>
      <c r="B37" s="94" t="s">
        <v>22</v>
      </c>
      <c r="C37" s="218">
        <v>161.5</v>
      </c>
      <c r="D37" s="219">
        <v>166.2</v>
      </c>
      <c r="E37" s="219">
        <v>169.2</v>
      </c>
      <c r="F37" s="219">
        <v>172</v>
      </c>
      <c r="G37" s="219">
        <v>166.26</v>
      </c>
      <c r="H37" s="219">
        <v>165.62100000000001</v>
      </c>
      <c r="I37" s="219">
        <v>163.26400000000001</v>
      </c>
      <c r="J37" s="219">
        <v>164.035</v>
      </c>
      <c r="K37" s="219">
        <v>167.143</v>
      </c>
      <c r="L37" s="219">
        <v>162.654</v>
      </c>
      <c r="M37" s="219">
        <v>161.285</v>
      </c>
      <c r="N37" s="219">
        <v>165.47900000000001</v>
      </c>
      <c r="O37" s="219">
        <v>170.99100000000001</v>
      </c>
      <c r="P37" s="219">
        <v>160.29599999999999</v>
      </c>
      <c r="Q37" s="219">
        <v>139.536</v>
      </c>
      <c r="R37" s="219">
        <v>146.685</v>
      </c>
      <c r="S37" s="263">
        <v>153.517</v>
      </c>
      <c r="T37" s="263">
        <v>158.46100000000001</v>
      </c>
      <c r="U37" s="263">
        <v>147.18799999999999</v>
      </c>
      <c r="V37" s="246">
        <v>143.17699999999999</v>
      </c>
      <c r="W37" s="261">
        <f t="shared" si="8"/>
        <v>-2.7250862842079471</v>
      </c>
      <c r="X37" s="94" t="s">
        <v>22</v>
      </c>
      <c r="Y37" s="312"/>
    </row>
    <row r="38" spans="1:25" ht="12.75" customHeight="1" x14ac:dyDescent="0.2">
      <c r="A38" s="15"/>
      <c r="B38" s="17" t="s">
        <v>123</v>
      </c>
      <c r="C38" s="207">
        <v>2.077</v>
      </c>
      <c r="D38" s="208">
        <v>2.2480000000000002</v>
      </c>
      <c r="E38" s="208">
        <v>1.34</v>
      </c>
      <c r="F38" s="208">
        <v>1.83</v>
      </c>
      <c r="G38" s="208">
        <v>2.0110000000000001</v>
      </c>
      <c r="H38" s="208">
        <v>2.1640000000000001</v>
      </c>
      <c r="I38" s="208">
        <v>2.2309999999999999</v>
      </c>
      <c r="J38" s="208">
        <v>2.3519999999999999</v>
      </c>
      <c r="K38" s="208">
        <v>2.5299999999999998</v>
      </c>
      <c r="L38" s="208">
        <v>2.798</v>
      </c>
      <c r="M38" s="208">
        <v>3.21</v>
      </c>
      <c r="N38" s="208">
        <v>3.306</v>
      </c>
      <c r="O38" s="208">
        <v>3.5840000000000001</v>
      </c>
      <c r="P38" s="208">
        <v>4.0979999999999999</v>
      </c>
      <c r="Q38" s="208">
        <v>4.4450000000000003</v>
      </c>
      <c r="R38" s="208">
        <v>4.6260000000000003</v>
      </c>
      <c r="S38" s="208">
        <v>3.8050000000000002</v>
      </c>
      <c r="T38" s="208">
        <v>3.2229999999999999</v>
      </c>
      <c r="U38" s="208">
        <v>3.4969999999999999</v>
      </c>
      <c r="V38" s="129">
        <f>AVERAGE(S38:U38)</f>
        <v>3.5083333333333333</v>
      </c>
      <c r="W38" s="435">
        <f t="shared" si="8"/>
        <v>0.32408731293489268</v>
      </c>
      <c r="X38" s="17" t="s">
        <v>123</v>
      </c>
      <c r="Y38" s="23"/>
    </row>
    <row r="39" spans="1:25" ht="12.75" customHeight="1" x14ac:dyDescent="0.2">
      <c r="A39" s="15"/>
      <c r="B39" s="279" t="s">
        <v>113</v>
      </c>
      <c r="C39" s="294"/>
      <c r="D39" s="281"/>
      <c r="E39" s="281"/>
      <c r="F39" s="281"/>
      <c r="G39" s="281"/>
      <c r="H39" s="281"/>
      <c r="I39" s="281">
        <v>7.8E-2</v>
      </c>
      <c r="J39" s="281">
        <v>7.0999999999999994E-2</v>
      </c>
      <c r="K39" s="281">
        <v>7.0999999999999994E-2</v>
      </c>
      <c r="L39" s="281">
        <v>6.5000000000000002E-2</v>
      </c>
      <c r="M39" s="281">
        <v>6.0999999999999999E-2</v>
      </c>
      <c r="N39" s="281">
        <v>7.2999999999999995E-2</v>
      </c>
      <c r="O39" s="281">
        <v>9.1999999999999998E-2</v>
      </c>
      <c r="P39" s="281">
        <v>0.13700000000000001</v>
      </c>
      <c r="Q39" s="281">
        <v>0.17899999999999999</v>
      </c>
      <c r="R39" s="281">
        <v>0.16700000000000001</v>
      </c>
      <c r="S39" s="281">
        <v>0.10199999999999999</v>
      </c>
      <c r="T39" s="281">
        <v>7.5999999999999998E-2</v>
      </c>
      <c r="U39" s="281">
        <v>6.7000000000000004E-2</v>
      </c>
      <c r="V39" s="295">
        <v>0.122</v>
      </c>
      <c r="W39" s="309">
        <f t="shared" si="8"/>
        <v>82.089552238805965</v>
      </c>
      <c r="X39" s="279" t="s">
        <v>113</v>
      </c>
      <c r="Y39" s="23"/>
    </row>
    <row r="40" spans="1:25" ht="12.75" customHeight="1" x14ac:dyDescent="0.2">
      <c r="A40" s="15"/>
      <c r="B40" s="17" t="s">
        <v>3</v>
      </c>
      <c r="C40" s="144" t="s">
        <v>35</v>
      </c>
      <c r="D40" s="59" t="s">
        <v>35</v>
      </c>
      <c r="E40" s="59" t="s">
        <v>35</v>
      </c>
      <c r="F40" s="59" t="s">
        <v>35</v>
      </c>
      <c r="G40" s="59"/>
      <c r="H40" s="59"/>
      <c r="I40" s="59">
        <v>3.1309999999999998</v>
      </c>
      <c r="J40" s="59">
        <v>4</v>
      </c>
      <c r="K40" s="59">
        <v>5.4509999999999996</v>
      </c>
      <c r="L40" s="59">
        <v>5.3410000000000002</v>
      </c>
      <c r="M40" s="59">
        <v>5.577</v>
      </c>
      <c r="N40" s="59">
        <v>8.2989999999999995</v>
      </c>
      <c r="O40" s="59">
        <v>5.9379999999999997</v>
      </c>
      <c r="P40" s="59">
        <v>3.9780000000000002</v>
      </c>
      <c r="Q40" s="59">
        <v>4.0350000000000001</v>
      </c>
      <c r="R40" s="59">
        <v>4.2350000000000003</v>
      </c>
      <c r="S40" s="59">
        <v>5.3810000000000002</v>
      </c>
      <c r="T40" s="59">
        <v>5.8019999999999996</v>
      </c>
      <c r="U40" s="59">
        <v>5.1449999999999996</v>
      </c>
      <c r="V40" s="217">
        <v>7.399</v>
      </c>
      <c r="W40" s="258">
        <f t="shared" si="8"/>
        <v>43.809523809523824</v>
      </c>
      <c r="X40" s="17" t="s">
        <v>3</v>
      </c>
      <c r="Y40" s="23"/>
    </row>
    <row r="41" spans="1:25" ht="12.75" customHeight="1" x14ac:dyDescent="0.2">
      <c r="A41" s="15"/>
      <c r="B41" s="279" t="s">
        <v>114</v>
      </c>
      <c r="C41" s="294"/>
      <c r="D41" s="281"/>
      <c r="E41" s="281">
        <v>0.96799999999999997</v>
      </c>
      <c r="F41" s="281">
        <v>0.875</v>
      </c>
      <c r="G41" s="281">
        <v>0.55200000000000005</v>
      </c>
      <c r="H41" s="281">
        <v>0.58199999999999996</v>
      </c>
      <c r="I41" s="281">
        <v>0.47499999999999998</v>
      </c>
      <c r="J41" s="281">
        <v>0.45900000000000002</v>
      </c>
      <c r="K41" s="281">
        <v>0.45200000000000001</v>
      </c>
      <c r="L41" s="281">
        <v>0.27700000000000002</v>
      </c>
      <c r="M41" s="281">
        <v>0.68</v>
      </c>
      <c r="N41" s="281">
        <v>0.79800000000000004</v>
      </c>
      <c r="O41" s="281">
        <v>1.161</v>
      </c>
      <c r="P41" s="281">
        <v>1.1120000000000001</v>
      </c>
      <c r="Q41" s="281">
        <v>1.1850000000000001</v>
      </c>
      <c r="R41" s="281">
        <v>1.6890000000000001</v>
      </c>
      <c r="S41" s="281">
        <v>1.907</v>
      </c>
      <c r="T41" s="281">
        <v>2.4740000000000002</v>
      </c>
      <c r="U41" s="281">
        <v>2.8239999999999998</v>
      </c>
      <c r="V41" s="295">
        <v>2.9590000000000001</v>
      </c>
      <c r="W41" s="309">
        <f t="shared" si="8"/>
        <v>4.78045325779037</v>
      </c>
      <c r="X41" s="279" t="s">
        <v>114</v>
      </c>
      <c r="Y41" s="23"/>
    </row>
    <row r="42" spans="1:25" ht="12.75" customHeight="1" x14ac:dyDescent="0.2">
      <c r="A42" s="15"/>
      <c r="B42" s="18" t="s">
        <v>76</v>
      </c>
      <c r="C42" s="145">
        <v>112.5</v>
      </c>
      <c r="D42" s="60">
        <v>135.80000000000001</v>
      </c>
      <c r="E42" s="60">
        <v>139.80000000000001</v>
      </c>
      <c r="F42" s="60">
        <v>152.21</v>
      </c>
      <c r="G42" s="60">
        <v>150.97399999999999</v>
      </c>
      <c r="H42" s="60">
        <v>161.55199999999999</v>
      </c>
      <c r="I42" s="60">
        <v>151.42099999999999</v>
      </c>
      <c r="J42" s="60">
        <v>150.91200000000001</v>
      </c>
      <c r="K42" s="60">
        <v>152.16300000000001</v>
      </c>
      <c r="L42" s="60">
        <v>156.85300000000001</v>
      </c>
      <c r="M42" s="60">
        <v>166.83099999999999</v>
      </c>
      <c r="N42" s="60">
        <v>177.399</v>
      </c>
      <c r="O42" s="60">
        <v>181.33</v>
      </c>
      <c r="P42" s="60">
        <v>181.935</v>
      </c>
      <c r="Q42" s="60">
        <v>176.45500000000001</v>
      </c>
      <c r="R42" s="60">
        <v>190.36500000000001</v>
      </c>
      <c r="S42" s="60">
        <v>203.072</v>
      </c>
      <c r="T42" s="60">
        <f>road_by_nat!T42</f>
        <v>216.12299999999999</v>
      </c>
      <c r="U42" s="60">
        <v>224.048</v>
      </c>
      <c r="V42" s="221">
        <v>234.49199999999999</v>
      </c>
      <c r="W42" s="262">
        <f t="shared" si="8"/>
        <v>4.6615011069056607</v>
      </c>
      <c r="X42" s="18" t="s">
        <v>141</v>
      </c>
      <c r="Y42" s="23"/>
    </row>
    <row r="43" spans="1:25" ht="12.75" customHeight="1" x14ac:dyDescent="0.2">
      <c r="A43" s="15"/>
      <c r="B43" s="297" t="s">
        <v>124</v>
      </c>
      <c r="C43" s="298">
        <v>0.5</v>
      </c>
      <c r="D43" s="299">
        <v>0.5</v>
      </c>
      <c r="E43" s="299">
        <v>0.5</v>
      </c>
      <c r="F43" s="299">
        <v>0.5</v>
      </c>
      <c r="G43" s="299">
        <v>0.6</v>
      </c>
      <c r="H43" s="299">
        <v>0.6</v>
      </c>
      <c r="I43" s="300">
        <v>0.64200000000000002</v>
      </c>
      <c r="J43" s="300">
        <v>0.66</v>
      </c>
      <c r="K43" s="300">
        <v>0.67900000000000005</v>
      </c>
      <c r="L43" s="300">
        <v>0.69899999999999995</v>
      </c>
      <c r="M43" s="300">
        <v>0.74099999999999999</v>
      </c>
      <c r="N43" s="300">
        <v>0.78600000000000003</v>
      </c>
      <c r="O43" s="300">
        <v>0.82499999999999996</v>
      </c>
      <c r="P43" s="300">
        <v>0.80500000000000005</v>
      </c>
      <c r="Q43" s="300">
        <v>0.81299999999999994</v>
      </c>
      <c r="R43" s="300">
        <v>0.80600000000000005</v>
      </c>
      <c r="S43" s="301">
        <v>0.77700000000000002</v>
      </c>
      <c r="T43" s="301">
        <v>0.78600000000000003</v>
      </c>
      <c r="U43" s="301">
        <v>0.80800000000000005</v>
      </c>
      <c r="V43" s="302">
        <v>0.84899999999999998</v>
      </c>
      <c r="W43" s="310">
        <f t="shared" si="8"/>
        <v>5.074257425742573</v>
      </c>
      <c r="X43" s="297" t="s">
        <v>142</v>
      </c>
      <c r="Y43" s="23"/>
    </row>
    <row r="44" spans="1:25" ht="12.75" customHeight="1" x14ac:dyDescent="0.2">
      <c r="A44" s="15"/>
      <c r="B44" s="17" t="s">
        <v>34</v>
      </c>
      <c r="C44" s="144">
        <v>9.6999999999999993</v>
      </c>
      <c r="D44" s="59">
        <v>12.5</v>
      </c>
      <c r="E44" s="59">
        <v>14.1</v>
      </c>
      <c r="F44" s="59">
        <v>14.8</v>
      </c>
      <c r="G44" s="59">
        <v>14.916</v>
      </c>
      <c r="H44" s="59">
        <v>15.132</v>
      </c>
      <c r="I44" s="59">
        <v>15.179</v>
      </c>
      <c r="J44" s="59">
        <v>15.426</v>
      </c>
      <c r="K44" s="59">
        <v>16.59</v>
      </c>
      <c r="L44" s="59">
        <v>17.46</v>
      </c>
      <c r="M44" s="59">
        <v>18.247</v>
      </c>
      <c r="N44" s="59">
        <v>19.387</v>
      </c>
      <c r="O44" s="59">
        <v>19.375</v>
      </c>
      <c r="P44" s="59">
        <v>20.594999999999999</v>
      </c>
      <c r="Q44" s="59">
        <v>18.446999999999999</v>
      </c>
      <c r="R44" s="59">
        <v>19.751000000000001</v>
      </c>
      <c r="S44" s="59">
        <v>19.187999999999999</v>
      </c>
      <c r="T44" s="59">
        <v>20.170999999999999</v>
      </c>
      <c r="U44" s="59">
        <v>21.317</v>
      </c>
      <c r="V44" s="217">
        <v>21.594000000000001</v>
      </c>
      <c r="W44" s="258">
        <f t="shared" si="8"/>
        <v>1.2994323779143429</v>
      </c>
      <c r="X44" s="17" t="s">
        <v>34</v>
      </c>
      <c r="Y44" s="23"/>
    </row>
    <row r="45" spans="1:25" ht="12.75" customHeight="1" x14ac:dyDescent="0.2">
      <c r="A45" s="15"/>
      <c r="B45" s="325" t="s">
        <v>75</v>
      </c>
      <c r="C45" s="350">
        <v>9.1106999999999996</v>
      </c>
      <c r="D45" s="284">
        <v>8.9961000000000002</v>
      </c>
      <c r="E45" s="284">
        <v>9.1339000000000006</v>
      </c>
      <c r="F45" s="284">
        <v>9.5456000000000003</v>
      </c>
      <c r="G45" s="284">
        <v>9.5649999999999995</v>
      </c>
      <c r="H45" s="284">
        <v>9.7912999999999997</v>
      </c>
      <c r="I45" s="284">
        <v>9.5617999999999999</v>
      </c>
      <c r="J45" s="284">
        <v>9.8147000000000002</v>
      </c>
      <c r="K45" s="284">
        <v>9.8916000000000004</v>
      </c>
      <c r="L45" s="284">
        <v>10.126178484062402</v>
      </c>
      <c r="M45" s="284">
        <v>10.198044499594255</v>
      </c>
      <c r="N45" s="284">
        <v>10.43279130775176</v>
      </c>
      <c r="O45" s="282">
        <v>10.794153844901221</v>
      </c>
      <c r="P45" s="284">
        <v>13.911</v>
      </c>
      <c r="Q45" s="284">
        <v>13.173999999999999</v>
      </c>
      <c r="R45" s="284">
        <v>13.237</v>
      </c>
      <c r="S45" s="284">
        <v>13.567</v>
      </c>
      <c r="T45" s="284">
        <v>12.957000000000001</v>
      </c>
      <c r="U45" s="284">
        <v>12.817</v>
      </c>
      <c r="V45" s="327">
        <v>13.067</v>
      </c>
      <c r="W45" s="369">
        <f t="shared" si="8"/>
        <v>1.9505344464383398</v>
      </c>
      <c r="X45" s="325" t="s">
        <v>143</v>
      </c>
      <c r="Y45" s="23"/>
    </row>
    <row r="46" spans="1:25" ht="12.75" customHeight="1" x14ac:dyDescent="0.2">
      <c r="A46" s="15"/>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23"/>
    </row>
    <row r="47" spans="1:25" ht="15.75" customHeight="1" x14ac:dyDescent="0.2">
      <c r="B47" s="494" t="s">
        <v>139</v>
      </c>
      <c r="C47" s="495"/>
      <c r="D47" s="495"/>
      <c r="E47" s="495"/>
      <c r="F47" s="495"/>
      <c r="G47" s="495"/>
      <c r="H47" s="495"/>
      <c r="I47" s="495"/>
      <c r="J47" s="495"/>
      <c r="K47" s="495"/>
      <c r="L47" s="495"/>
      <c r="M47" s="495"/>
      <c r="N47" s="495"/>
      <c r="O47" s="495"/>
      <c r="P47" s="495"/>
      <c r="Q47" s="495"/>
      <c r="R47" s="495"/>
      <c r="S47" s="495"/>
      <c r="T47" s="495"/>
      <c r="U47" s="495"/>
      <c r="V47" s="495"/>
      <c r="W47" s="495"/>
      <c r="X47" s="495"/>
      <c r="Y47" s="495"/>
    </row>
    <row r="48" spans="1:25" ht="12.75" customHeight="1" x14ac:dyDescent="0.2">
      <c r="B48" s="11" t="s">
        <v>2</v>
      </c>
    </row>
    <row r="49" spans="2:25" ht="12.75" customHeight="1" x14ac:dyDescent="0.2">
      <c r="B49" s="3" t="s">
        <v>85</v>
      </c>
    </row>
    <row r="50" spans="2:25" ht="12.75" customHeight="1" x14ac:dyDescent="0.2">
      <c r="B50" s="103" t="s">
        <v>88</v>
      </c>
    </row>
    <row r="51" spans="2:25" x14ac:dyDescent="0.2">
      <c r="B51" s="434" t="s">
        <v>144</v>
      </c>
    </row>
    <row r="52" spans="2:25" ht="12.75" customHeight="1" x14ac:dyDescent="0.2">
      <c r="B52" s="237" t="s">
        <v>145</v>
      </c>
      <c r="C52" s="102"/>
      <c r="D52" s="102"/>
      <c r="E52" s="102"/>
      <c r="F52" s="102"/>
      <c r="G52" s="102"/>
      <c r="H52" s="102"/>
      <c r="I52" s="102"/>
      <c r="J52" s="102"/>
      <c r="K52" s="102"/>
      <c r="L52" s="102"/>
      <c r="M52" s="102"/>
    </row>
    <row r="53" spans="2:25" ht="14.25" customHeight="1" x14ac:dyDescent="0.2">
      <c r="B53" s="492" t="s">
        <v>146</v>
      </c>
      <c r="C53" s="493"/>
      <c r="D53" s="493"/>
      <c r="E53" s="493"/>
      <c r="F53" s="493"/>
      <c r="G53" s="493"/>
      <c r="H53" s="493"/>
      <c r="I53" s="493"/>
      <c r="J53" s="493"/>
      <c r="K53" s="493"/>
      <c r="L53" s="493"/>
      <c r="M53" s="493"/>
      <c r="N53" s="493"/>
      <c r="O53" s="493"/>
      <c r="P53" s="493"/>
      <c r="Q53" s="493"/>
      <c r="R53" s="493"/>
      <c r="S53" s="493"/>
      <c r="T53" s="493"/>
      <c r="U53" s="493"/>
      <c r="V53" s="493"/>
      <c r="W53" s="493"/>
      <c r="X53" s="493"/>
      <c r="Y53" s="493"/>
    </row>
  </sheetData>
  <mergeCells count="4">
    <mergeCell ref="B2:Y2"/>
    <mergeCell ref="B3:Y3"/>
    <mergeCell ref="B53:Y53"/>
    <mergeCell ref="B47:Y47"/>
  </mergeCells>
  <phoneticPr fontId="7"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P51"/>
  <sheetViews>
    <sheetView workbookViewId="0">
      <selection activeCell="L14" sqref="L14"/>
    </sheetView>
  </sheetViews>
  <sheetFormatPr defaultRowHeight="12.75" x14ac:dyDescent="0.2"/>
  <cols>
    <col min="1" max="1" width="3.7109375" style="419" customWidth="1"/>
    <col min="2" max="2" width="4.5703125" style="419" customWidth="1"/>
    <col min="3" max="3" width="7.7109375" style="419" customWidth="1"/>
    <col min="4" max="12" width="8.28515625" style="419" customWidth="1"/>
    <col min="13" max="13" width="6" style="419" customWidth="1"/>
    <col min="14" max="14" width="6.28515625" style="419" customWidth="1"/>
    <col min="15" max="15" width="5.85546875" style="419" customWidth="1"/>
    <col min="16" max="16384" width="9.140625" style="419"/>
  </cols>
  <sheetData>
    <row r="1" spans="1:16" ht="14.25" customHeight="1" x14ac:dyDescent="0.2">
      <c r="B1" s="40"/>
      <c r="O1" s="20" t="s">
        <v>137</v>
      </c>
    </row>
    <row r="2" spans="1:16" s="82" customFormat="1" ht="15" customHeight="1" x14ac:dyDescent="0.2">
      <c r="B2" s="468" t="s">
        <v>158</v>
      </c>
      <c r="C2" s="483"/>
      <c r="D2" s="483"/>
      <c r="E2" s="483"/>
      <c r="F2" s="483"/>
      <c r="G2" s="483"/>
      <c r="H2" s="483"/>
      <c r="I2" s="483"/>
      <c r="J2" s="483"/>
      <c r="K2" s="483"/>
      <c r="L2" s="483"/>
      <c r="M2" s="483"/>
      <c r="N2" s="483"/>
      <c r="O2" s="483"/>
    </row>
    <row r="3" spans="1:16" ht="15" customHeight="1" x14ac:dyDescent="0.2">
      <c r="B3" s="496" t="s">
        <v>147</v>
      </c>
      <c r="C3" s="484"/>
      <c r="D3" s="484"/>
      <c r="E3" s="484"/>
      <c r="F3" s="484"/>
      <c r="G3" s="484"/>
      <c r="H3" s="484"/>
      <c r="I3" s="484"/>
      <c r="J3" s="484"/>
      <c r="K3" s="484"/>
      <c r="L3" s="484"/>
      <c r="M3" s="484"/>
      <c r="N3" s="484"/>
      <c r="O3" s="484"/>
    </row>
    <row r="4" spans="1:16" ht="12" customHeight="1" x14ac:dyDescent="0.2">
      <c r="B4" s="4"/>
      <c r="G4" s="251" t="s">
        <v>112</v>
      </c>
      <c r="H4" s="21"/>
      <c r="I4" s="21"/>
      <c r="J4" s="21"/>
      <c r="K4" s="21"/>
      <c r="L4" s="21"/>
      <c r="M4" s="21"/>
      <c r="N4" s="6"/>
    </row>
    <row r="5" spans="1:16" ht="20.100000000000001" customHeight="1" x14ac:dyDescent="0.2">
      <c r="B5" s="4"/>
      <c r="C5" s="87">
        <v>2005</v>
      </c>
      <c r="D5" s="88">
        <v>2006</v>
      </c>
      <c r="E5" s="88">
        <v>2007</v>
      </c>
      <c r="F5" s="88">
        <v>2008</v>
      </c>
      <c r="G5" s="88">
        <v>2009</v>
      </c>
      <c r="H5" s="88">
        <v>2010</v>
      </c>
      <c r="I5" s="88">
        <v>2011</v>
      </c>
      <c r="J5" s="88">
        <v>2012</v>
      </c>
      <c r="K5" s="88">
        <v>2013</v>
      </c>
      <c r="L5" s="88">
        <v>2014</v>
      </c>
      <c r="M5" s="114" t="s">
        <v>131</v>
      </c>
      <c r="N5" s="64"/>
      <c r="O5" s="64"/>
    </row>
    <row r="6" spans="1:16" ht="9.9499999999999993" customHeight="1" x14ac:dyDescent="0.2">
      <c r="B6" s="4"/>
      <c r="C6" s="89"/>
      <c r="D6" s="86"/>
      <c r="E6" s="86"/>
      <c r="F6" s="86"/>
      <c r="G6" s="86"/>
      <c r="H6" s="86"/>
      <c r="I6" s="86"/>
      <c r="J6" s="86"/>
      <c r="K6" s="86"/>
      <c r="L6" s="86"/>
      <c r="M6" s="71" t="s">
        <v>73</v>
      </c>
      <c r="N6" s="66"/>
      <c r="O6" s="64"/>
    </row>
    <row r="7" spans="1:16" ht="12.75" customHeight="1" x14ac:dyDescent="0.2">
      <c r="B7" s="90" t="s">
        <v>120</v>
      </c>
      <c r="C7" s="436">
        <f>SUM(C10:C37)</f>
        <v>1755.4521895434887</v>
      </c>
      <c r="D7" s="436">
        <f t="shared" ref="D7:L7" si="0">SUM(D10:D37)</f>
        <v>1810.2923511235158</v>
      </c>
      <c r="E7" s="436">
        <f t="shared" si="0"/>
        <v>1875.7786419145309</v>
      </c>
      <c r="F7" s="436">
        <f t="shared" si="0"/>
        <v>1844.1198571687864</v>
      </c>
      <c r="G7" s="436">
        <f t="shared" si="0"/>
        <v>1660.3209960354313</v>
      </c>
      <c r="H7" s="436">
        <f t="shared" si="0"/>
        <v>1714.7315487760886</v>
      </c>
      <c r="I7" s="436">
        <f t="shared" si="0"/>
        <v>1699.3979750019455</v>
      </c>
      <c r="J7" s="436">
        <f t="shared" si="0"/>
        <v>1644.6519892856943</v>
      </c>
      <c r="K7" s="436">
        <f t="shared" si="0"/>
        <v>1668.6428301448998</v>
      </c>
      <c r="L7" s="436">
        <f t="shared" si="0"/>
        <v>1674.6733145605006</v>
      </c>
      <c r="M7" s="255">
        <f>L7/K7*100-100</f>
        <v>0.36140055299173923</v>
      </c>
      <c r="N7" s="90" t="s">
        <v>120</v>
      </c>
      <c r="O7" s="312"/>
    </row>
    <row r="8" spans="1:16" ht="12.75" customHeight="1" x14ac:dyDescent="0.2">
      <c r="A8" s="15"/>
      <c r="B8" s="91" t="s">
        <v>121</v>
      </c>
      <c r="C8" s="318">
        <f>C7-C9</f>
        <v>1530.1768931243018</v>
      </c>
      <c r="D8" s="319">
        <f t="shared" ref="D8:L8" si="1">D7-D9</f>
        <v>1575.4013865817424</v>
      </c>
      <c r="E8" s="319">
        <f t="shared" si="1"/>
        <v>1629.9101659321068</v>
      </c>
      <c r="F8" s="319">
        <f t="shared" si="1"/>
        <v>1597.1018139285429</v>
      </c>
      <c r="G8" s="319">
        <f t="shared" si="1"/>
        <v>1428.9174421912637</v>
      </c>
      <c r="H8" s="319">
        <f t="shared" si="1"/>
        <v>1480.586801794864</v>
      </c>
      <c r="I8" s="318">
        <f t="shared" si="1"/>
        <v>1454.6089831498484</v>
      </c>
      <c r="J8" s="318">
        <f t="shared" si="1"/>
        <v>1398.1806047947125</v>
      </c>
      <c r="K8" s="318">
        <f t="shared" si="1"/>
        <v>1401.8659571661944</v>
      </c>
      <c r="L8" s="318">
        <f t="shared" si="1"/>
        <v>1409.227768009916</v>
      </c>
      <c r="M8" s="256">
        <f t="shared" ref="M8:M37" si="2">L8/K8*100-100</f>
        <v>0.52514370622161266</v>
      </c>
      <c r="N8" s="91" t="s">
        <v>121</v>
      </c>
      <c r="O8" s="312"/>
    </row>
    <row r="9" spans="1:16" ht="12.75" customHeight="1" x14ac:dyDescent="0.2">
      <c r="A9" s="15"/>
      <c r="B9" s="94" t="s">
        <v>122</v>
      </c>
      <c r="C9" s="437">
        <f>C11+C12+C15+C20+C22+C23+C24+C26+C27+C30+C32+C33+C34</f>
        <v>225.27529641918673</v>
      </c>
      <c r="D9" s="437">
        <f t="shared" ref="D9:L9" si="3">D11+D12+D15+D20+D22+D23+D24+D26+D27+D30+D32+D33+D34</f>
        <v>234.89096454177349</v>
      </c>
      <c r="E9" s="437">
        <f t="shared" si="3"/>
        <v>245.86847598242417</v>
      </c>
      <c r="F9" s="437">
        <f t="shared" si="3"/>
        <v>247.0180432402436</v>
      </c>
      <c r="G9" s="437">
        <f t="shared" si="3"/>
        <v>231.40355384416762</v>
      </c>
      <c r="H9" s="437">
        <f t="shared" si="3"/>
        <v>234.14474698122476</v>
      </c>
      <c r="I9" s="437">
        <f t="shared" si="3"/>
        <v>244.78899185209698</v>
      </c>
      <c r="J9" s="437">
        <f t="shared" si="3"/>
        <v>246.47138449098185</v>
      </c>
      <c r="K9" s="437">
        <f t="shared" si="3"/>
        <v>266.77687297870534</v>
      </c>
      <c r="L9" s="437">
        <f t="shared" si="3"/>
        <v>265.44554655058454</v>
      </c>
      <c r="M9" s="257">
        <f t="shared" si="2"/>
        <v>-0.49904116996944481</v>
      </c>
      <c r="N9" s="94" t="s">
        <v>122</v>
      </c>
      <c r="O9" s="312"/>
    </row>
    <row r="10" spans="1:16" ht="12.75" customHeight="1" x14ac:dyDescent="0.2">
      <c r="A10" s="15"/>
      <c r="B10" s="17" t="s">
        <v>23</v>
      </c>
      <c r="C10" s="202">
        <v>46.763014045659183</v>
      </c>
      <c r="D10" s="202">
        <v>47.963910197433698</v>
      </c>
      <c r="E10" s="202">
        <v>49.05179900580638</v>
      </c>
      <c r="F10" s="202">
        <v>47.058469513292096</v>
      </c>
      <c r="G10" s="202">
        <v>44.42591767204744</v>
      </c>
      <c r="H10" s="238">
        <v>45.002898090472165</v>
      </c>
      <c r="I10" s="238">
        <v>44.8020116765518</v>
      </c>
      <c r="J10" s="238">
        <v>45.060381993195008</v>
      </c>
      <c r="K10" s="202">
        <v>47.437025485936729</v>
      </c>
      <c r="L10" s="202">
        <v>47.789934470038105</v>
      </c>
      <c r="M10" s="258">
        <f t="shared" si="2"/>
        <v>0.7439525992328555</v>
      </c>
      <c r="N10" s="17" t="s">
        <v>23</v>
      </c>
      <c r="O10" s="312"/>
    </row>
    <row r="11" spans="1:16" ht="12.75" customHeight="1" x14ac:dyDescent="0.2">
      <c r="A11" s="15"/>
      <c r="B11" s="91" t="s">
        <v>6</v>
      </c>
      <c r="C11" s="205">
        <v>11.007035810527396</v>
      </c>
      <c r="D11" s="205">
        <v>10.972872576275181</v>
      </c>
      <c r="E11" s="205">
        <v>10.439787754898461</v>
      </c>
      <c r="F11" s="205">
        <v>9.768980578108053</v>
      </c>
      <c r="G11" s="205">
        <v>8.7465351270823106</v>
      </c>
      <c r="H11" s="205">
        <v>8.9133170379803577</v>
      </c>
      <c r="I11" s="205">
        <v>9.7297991225320803</v>
      </c>
      <c r="J11" s="205">
        <v>9.2710619052827195</v>
      </c>
      <c r="K11" s="205">
        <v>10.957103480440278</v>
      </c>
      <c r="L11" s="205">
        <v>10.344993537809842</v>
      </c>
      <c r="M11" s="259">
        <f t="shared" si="2"/>
        <v>-5.5864211168866262</v>
      </c>
      <c r="N11" s="91" t="s">
        <v>6</v>
      </c>
      <c r="O11" s="312"/>
      <c r="P11" s="311"/>
    </row>
    <row r="12" spans="1:16" ht="12.75" customHeight="1" x14ac:dyDescent="0.2">
      <c r="A12" s="15"/>
      <c r="B12" s="17" t="s">
        <v>8</v>
      </c>
      <c r="C12" s="208">
        <v>32.288744390890884</v>
      </c>
      <c r="D12" s="208">
        <v>33.697465023117374</v>
      </c>
      <c r="E12" s="208">
        <v>33.984590250888957</v>
      </c>
      <c r="F12" s="208">
        <v>32.558348109780937</v>
      </c>
      <c r="G12" s="208">
        <v>29.159244054916382</v>
      </c>
      <c r="H12" s="208">
        <v>32.359273872539426</v>
      </c>
      <c r="I12" s="208">
        <v>33.164774638346302</v>
      </c>
      <c r="J12" s="208">
        <v>32.461896662363962</v>
      </c>
      <c r="K12" s="208">
        <v>35.420793820707054</v>
      </c>
      <c r="L12" s="208">
        <v>37.008564531431595</v>
      </c>
      <c r="M12" s="258">
        <f t="shared" si="2"/>
        <v>4.482594937768809</v>
      </c>
      <c r="N12" s="17" t="s">
        <v>8</v>
      </c>
      <c r="O12" s="312"/>
      <c r="P12" s="311"/>
    </row>
    <row r="13" spans="1:16" ht="12.75" customHeight="1" x14ac:dyDescent="0.2">
      <c r="A13" s="15"/>
      <c r="B13" s="91" t="s">
        <v>19</v>
      </c>
      <c r="C13" s="205">
        <v>16.786513223591253</v>
      </c>
      <c r="D13" s="205">
        <v>17.692258729141255</v>
      </c>
      <c r="E13" s="205">
        <v>18.387594020981314</v>
      </c>
      <c r="F13" s="205">
        <v>18.91441807897732</v>
      </c>
      <c r="G13" s="205">
        <v>16.915748243820389</v>
      </c>
      <c r="H13" s="205">
        <v>17.267939643469294</v>
      </c>
      <c r="I13" s="205">
        <v>18.4271909757414</v>
      </c>
      <c r="J13" s="205">
        <v>18.555497434224812</v>
      </c>
      <c r="K13" s="205">
        <v>19.40524262631482</v>
      </c>
      <c r="L13" s="205">
        <v>19.495928531385765</v>
      </c>
      <c r="M13" s="259">
        <f t="shared" si="2"/>
        <v>0.46732682923516222</v>
      </c>
      <c r="N13" s="91" t="s">
        <v>19</v>
      </c>
      <c r="O13" s="312"/>
      <c r="P13" s="311"/>
    </row>
    <row r="14" spans="1:16" ht="12.75" customHeight="1" x14ac:dyDescent="0.2">
      <c r="A14" s="15"/>
      <c r="B14" s="17" t="s">
        <v>24</v>
      </c>
      <c r="C14" s="208">
        <v>370.79611532682497</v>
      </c>
      <c r="D14" s="208">
        <v>394.4637780630344</v>
      </c>
      <c r="E14" s="208">
        <v>413.15934772379165</v>
      </c>
      <c r="F14" s="208">
        <v>419.98022530633915</v>
      </c>
      <c r="G14" s="208">
        <v>385.29438178325245</v>
      </c>
      <c r="H14" s="208">
        <v>407.24396300404652</v>
      </c>
      <c r="I14" s="208">
        <v>416.623483862743</v>
      </c>
      <c r="J14" s="208">
        <v>407.32666829344487</v>
      </c>
      <c r="K14" s="208">
        <v>416.78013000290611</v>
      </c>
      <c r="L14" s="208">
        <v>426.7026839592275</v>
      </c>
      <c r="M14" s="258">
        <f t="shared" si="2"/>
        <v>2.3807646387202368</v>
      </c>
      <c r="N14" s="17" t="s">
        <v>24</v>
      </c>
      <c r="O14" s="312"/>
      <c r="P14" s="311"/>
    </row>
    <row r="15" spans="1:16" ht="12.75" customHeight="1" x14ac:dyDescent="0.2">
      <c r="A15" s="15"/>
      <c r="B15" s="91" t="s">
        <v>9</v>
      </c>
      <c r="C15" s="210">
        <v>2.670218256504957</v>
      </c>
      <c r="D15" s="210">
        <v>2.869056913484314</v>
      </c>
      <c r="E15" s="210">
        <v>2.9354882647712865</v>
      </c>
      <c r="F15" s="210">
        <v>2.7715629772013086</v>
      </c>
      <c r="G15" s="210">
        <v>2.0761908485298957</v>
      </c>
      <c r="H15" s="210">
        <v>2.1614968313451235</v>
      </c>
      <c r="I15" s="210">
        <v>2.4814225559997123</v>
      </c>
      <c r="J15" s="210">
        <v>2.5326301550210846</v>
      </c>
      <c r="K15" s="210">
        <v>2.6891416187842898</v>
      </c>
      <c r="L15" s="210">
        <v>2.6421410861426842</v>
      </c>
      <c r="M15" s="259">
        <f t="shared" si="2"/>
        <v>-1.7477894177567919</v>
      </c>
      <c r="N15" s="91" t="s">
        <v>9</v>
      </c>
      <c r="O15" s="312"/>
      <c r="P15" s="311"/>
    </row>
    <row r="16" spans="1:16" ht="12.75" customHeight="1" x14ac:dyDescent="0.2">
      <c r="A16" s="15"/>
      <c r="B16" s="17" t="s">
        <v>27</v>
      </c>
      <c r="C16" s="202">
        <v>15.612619075343829</v>
      </c>
      <c r="D16" s="202">
        <v>15.515330391542724</v>
      </c>
      <c r="E16" s="202">
        <v>16.246972097592554</v>
      </c>
      <c r="F16" s="202">
        <v>14.847004373113187</v>
      </c>
      <c r="G16" s="202">
        <v>9.814266919633539</v>
      </c>
      <c r="H16" s="202">
        <v>9.6389100664477922</v>
      </c>
      <c r="I16" s="202">
        <v>9.0307165674235002</v>
      </c>
      <c r="J16" s="202">
        <v>8.8207644802307588</v>
      </c>
      <c r="K16" s="202">
        <v>8.5697410506620404</v>
      </c>
      <c r="L16" s="202">
        <v>9.0178976828339881</v>
      </c>
      <c r="M16" s="258">
        <f t="shared" si="2"/>
        <v>5.2295236171380708</v>
      </c>
      <c r="N16" s="17" t="s">
        <v>27</v>
      </c>
      <c r="O16" s="312"/>
      <c r="P16" s="311"/>
    </row>
    <row r="17" spans="1:16" ht="12.75" customHeight="1" x14ac:dyDescent="0.2">
      <c r="A17" s="15"/>
      <c r="B17" s="91" t="s">
        <v>20</v>
      </c>
      <c r="C17" s="210">
        <v>21.916598855311484</v>
      </c>
      <c r="D17" s="210">
        <v>28.970940114922165</v>
      </c>
      <c r="E17" s="205">
        <v>24.143190174937523</v>
      </c>
      <c r="F17" s="205">
        <v>26.445160535546503</v>
      </c>
      <c r="G17" s="205">
        <v>26.075647513472227</v>
      </c>
      <c r="H17" s="205">
        <v>27.631722982001474</v>
      </c>
      <c r="I17" s="205">
        <v>18.727960884729821</v>
      </c>
      <c r="J17" s="205">
        <v>18.618290994237519</v>
      </c>
      <c r="K17" s="205">
        <v>17.113783262726368</v>
      </c>
      <c r="L17" s="205">
        <v>17.529143637589943</v>
      </c>
      <c r="M17" s="259">
        <f t="shared" si="2"/>
        <v>2.4270517423708782</v>
      </c>
      <c r="N17" s="91" t="s">
        <v>20</v>
      </c>
      <c r="O17" s="312"/>
      <c r="P17" s="311"/>
    </row>
    <row r="18" spans="1:16" ht="12.75" customHeight="1" x14ac:dyDescent="0.2">
      <c r="A18" s="15"/>
      <c r="B18" s="17" t="s">
        <v>25</v>
      </c>
      <c r="C18" s="215">
        <v>210.72119561327622</v>
      </c>
      <c r="D18" s="215">
        <v>220.1293027852322</v>
      </c>
      <c r="E18" s="215">
        <v>237.26616542326778</v>
      </c>
      <c r="F18" s="215">
        <v>217.319783899161</v>
      </c>
      <c r="G18" s="215">
        <v>189.43479571602757</v>
      </c>
      <c r="H18" s="215">
        <v>184.35692350677124</v>
      </c>
      <c r="I18" s="215">
        <v>179.86269656200619</v>
      </c>
      <c r="J18" s="215">
        <v>169.76179999148732</v>
      </c>
      <c r="K18" s="215">
        <v>166.12547551552009</v>
      </c>
      <c r="L18" s="215">
        <v>167.11272711587878</v>
      </c>
      <c r="M18" s="258">
        <f t="shared" si="2"/>
        <v>0.59428067687694863</v>
      </c>
      <c r="N18" s="17" t="s">
        <v>25</v>
      </c>
      <c r="O18" s="312"/>
      <c r="P18" s="311"/>
    </row>
    <row r="19" spans="1:16" ht="12.75" customHeight="1" x14ac:dyDescent="0.2">
      <c r="A19" s="15"/>
      <c r="B19" s="91" t="s">
        <v>26</v>
      </c>
      <c r="C19" s="210">
        <v>294.53781071988692</v>
      </c>
      <c r="D19" s="210">
        <v>303.93056686590086</v>
      </c>
      <c r="E19" s="210">
        <v>315.32721576011994</v>
      </c>
      <c r="F19" s="210">
        <v>301.42667973424125</v>
      </c>
      <c r="G19" s="210">
        <v>261.74858388974764</v>
      </c>
      <c r="H19" s="210">
        <v>274.77464989867161</v>
      </c>
      <c r="I19" s="210">
        <v>273.13803503943689</v>
      </c>
      <c r="J19" s="210">
        <v>258.88610839688675</v>
      </c>
      <c r="K19" s="210">
        <v>263.69043257676555</v>
      </c>
      <c r="L19" s="264">
        <v>259.79106546223773</v>
      </c>
      <c r="M19" s="259">
        <f t="shared" si="2"/>
        <v>-1.4787670058498037</v>
      </c>
      <c r="N19" s="91" t="s">
        <v>26</v>
      </c>
      <c r="O19" s="312"/>
      <c r="P19" s="311"/>
    </row>
    <row r="20" spans="1:16" ht="12.75" customHeight="1" x14ac:dyDescent="0.2">
      <c r="A20" s="15"/>
      <c r="B20" s="17" t="s">
        <v>37</v>
      </c>
      <c r="C20" s="59">
        <v>10.483056070627628</v>
      </c>
      <c r="D20" s="59">
        <v>10.909940770981342</v>
      </c>
      <c r="E20" s="59">
        <v>11.03297977974009</v>
      </c>
      <c r="F20" s="59">
        <v>10.375046058567255</v>
      </c>
      <c r="G20" s="59">
        <v>8.4965357312965324</v>
      </c>
      <c r="H20" s="59">
        <v>7.836805303594101</v>
      </c>
      <c r="I20" s="59">
        <v>7.5996408545174896</v>
      </c>
      <c r="J20" s="59">
        <v>7.4128581887431837</v>
      </c>
      <c r="K20" s="59">
        <v>7.745984321467108</v>
      </c>
      <c r="L20" s="217">
        <v>7.5687994696664367</v>
      </c>
      <c r="M20" s="258">
        <f t="shared" si="2"/>
        <v>-2.2874413947575789</v>
      </c>
      <c r="N20" s="17" t="s">
        <v>37</v>
      </c>
      <c r="O20" s="312"/>
      <c r="P20" s="311"/>
    </row>
    <row r="21" spans="1:16" ht="12.75" customHeight="1" x14ac:dyDescent="0.2">
      <c r="A21" s="15"/>
      <c r="B21" s="91" t="s">
        <v>28</v>
      </c>
      <c r="C21" s="205">
        <v>203.95294284383934</v>
      </c>
      <c r="D21" s="205">
        <v>190.0707919389948</v>
      </c>
      <c r="E21" s="205">
        <v>186.79745099660789</v>
      </c>
      <c r="F21" s="205">
        <v>187.5037110470505</v>
      </c>
      <c r="G21" s="205">
        <v>176.42696498971071</v>
      </c>
      <c r="H21" s="205">
        <v>183.45328085621341</v>
      </c>
      <c r="I21" s="205">
        <v>157.2574278833074</v>
      </c>
      <c r="J21" s="205">
        <v>139.45246381420276</v>
      </c>
      <c r="K21" s="205">
        <v>141.83782042762988</v>
      </c>
      <c r="L21" s="206">
        <v>133.02706596026931</v>
      </c>
      <c r="M21" s="259">
        <f t="shared" si="2"/>
        <v>-6.2118512825400387</v>
      </c>
      <c r="N21" s="91" t="s">
        <v>28</v>
      </c>
      <c r="O21" s="312"/>
      <c r="P21" s="311"/>
    </row>
    <row r="22" spans="1:16" ht="12.75" customHeight="1" x14ac:dyDescent="0.2">
      <c r="A22" s="15"/>
      <c r="B22" s="17" t="s">
        <v>7</v>
      </c>
      <c r="C22" s="59">
        <v>1.3740000000000001</v>
      </c>
      <c r="D22" s="59">
        <v>1.145</v>
      </c>
      <c r="E22" s="59">
        <v>1.1839999999999999</v>
      </c>
      <c r="F22" s="59">
        <v>1.296</v>
      </c>
      <c r="G22" s="59">
        <v>0.94399999999999995</v>
      </c>
      <c r="H22" s="59">
        <v>1.0660000000000001</v>
      </c>
      <c r="I22" s="59">
        <v>0.92300000000000004</v>
      </c>
      <c r="J22" s="59">
        <v>0.88</v>
      </c>
      <c r="K22" s="59">
        <v>0.61799999999999999</v>
      </c>
      <c r="L22" s="217">
        <v>0.52600000000000002</v>
      </c>
      <c r="M22" s="258">
        <f t="shared" si="2"/>
        <v>-14.886731391585755</v>
      </c>
      <c r="N22" s="17" t="s">
        <v>7</v>
      </c>
      <c r="O22" s="312"/>
      <c r="P22" s="311"/>
    </row>
    <row r="23" spans="1:16" ht="12.75" customHeight="1" x14ac:dyDescent="0.2">
      <c r="A23" s="15"/>
      <c r="B23" s="91" t="s">
        <v>11</v>
      </c>
      <c r="C23" s="205">
        <v>3.7360190296953761</v>
      </c>
      <c r="D23" s="205">
        <v>3.9484290348493487</v>
      </c>
      <c r="E23" s="205">
        <v>4.4073087578065175</v>
      </c>
      <c r="F23" s="205">
        <v>3.8857887870287251</v>
      </c>
      <c r="G23" s="205">
        <v>3.2108269453857816</v>
      </c>
      <c r="H23" s="205">
        <v>3.7340214636182507</v>
      </c>
      <c r="I23" s="205">
        <v>4.0077399917101602</v>
      </c>
      <c r="J23" s="205">
        <v>4.1224687078429234</v>
      </c>
      <c r="K23" s="205">
        <v>4.5361109107170083</v>
      </c>
      <c r="L23" s="206">
        <v>4.4960369238288589</v>
      </c>
      <c r="M23" s="259">
        <f t="shared" si="2"/>
        <v>-0.88344371813022349</v>
      </c>
      <c r="N23" s="91" t="s">
        <v>11</v>
      </c>
      <c r="O23" s="312"/>
      <c r="P23" s="311"/>
    </row>
    <row r="24" spans="1:16" ht="12.75" customHeight="1" x14ac:dyDescent="0.2">
      <c r="A24" s="15"/>
      <c r="B24" s="17" t="s">
        <v>12</v>
      </c>
      <c r="C24" s="59">
        <v>4.3513532077765911</v>
      </c>
      <c r="D24" s="59">
        <v>5.0789104620356111</v>
      </c>
      <c r="E24" s="59">
        <v>5.8571309853276174</v>
      </c>
      <c r="F24" s="59">
        <v>5.4529833045731886</v>
      </c>
      <c r="G24" s="59">
        <v>5.0029435929245141</v>
      </c>
      <c r="H24" s="59">
        <v>5.0501879374649743</v>
      </c>
      <c r="I24" s="59">
        <v>5.3934583161207206</v>
      </c>
      <c r="J24" s="59">
        <v>5.9841807403578517</v>
      </c>
      <c r="K24" s="59">
        <v>6.6958343467749408</v>
      </c>
      <c r="L24" s="217">
        <v>6.7132790198255599</v>
      </c>
      <c r="M24" s="258">
        <f t="shared" si="2"/>
        <v>0.260530236370343</v>
      </c>
      <c r="N24" s="17" t="s">
        <v>12</v>
      </c>
      <c r="O24" s="312"/>
      <c r="P24" s="311"/>
    </row>
    <row r="25" spans="1:16" ht="12.75" customHeight="1" x14ac:dyDescent="0.2">
      <c r="A25" s="15"/>
      <c r="B25" s="91" t="s">
        <v>29</v>
      </c>
      <c r="C25" s="205">
        <v>1.8788998995106998</v>
      </c>
      <c r="D25" s="205">
        <v>1.8961685926874257</v>
      </c>
      <c r="E25" s="205">
        <v>2.0006935580327831</v>
      </c>
      <c r="F25" s="205">
        <v>2.1804820101599613</v>
      </c>
      <c r="G25" s="205">
        <v>1.9610770952484999</v>
      </c>
      <c r="H25" s="205">
        <v>2.1085679467363079</v>
      </c>
      <c r="I25" s="205">
        <v>2.15340936310941</v>
      </c>
      <c r="J25" s="205">
        <v>2.7284887610262771</v>
      </c>
      <c r="K25" s="205">
        <v>2.4530610589028616</v>
      </c>
      <c r="L25" s="206">
        <v>2.9102101025781164</v>
      </c>
      <c r="M25" s="259">
        <f t="shared" si="2"/>
        <v>18.63586077550454</v>
      </c>
      <c r="N25" s="91" t="s">
        <v>29</v>
      </c>
      <c r="O25" s="312"/>
      <c r="P25" s="311"/>
    </row>
    <row r="26" spans="1:16" ht="12.75" customHeight="1" x14ac:dyDescent="0.2">
      <c r="A26" s="15"/>
      <c r="B26" s="17" t="s">
        <v>10</v>
      </c>
      <c r="C26" s="208">
        <v>22.208822375569891</v>
      </c>
      <c r="D26" s="208">
        <v>24.254655709452589</v>
      </c>
      <c r="E26" s="208">
        <v>26.157507043904019</v>
      </c>
      <c r="F26" s="208">
        <v>27.20579472873975</v>
      </c>
      <c r="G26" s="208">
        <v>22.343334546697704</v>
      </c>
      <c r="H26" s="208">
        <v>21.284231504700372</v>
      </c>
      <c r="I26" s="208">
        <v>21.105402750850899</v>
      </c>
      <c r="J26" s="208">
        <v>19.758357859836419</v>
      </c>
      <c r="K26" s="208">
        <v>20.067254294733718</v>
      </c>
      <c r="L26" s="239">
        <v>20.747841556398548</v>
      </c>
      <c r="M26" s="258">
        <f t="shared" si="2"/>
        <v>3.3915315551835903</v>
      </c>
      <c r="N26" s="17" t="s">
        <v>10</v>
      </c>
      <c r="O26" s="312"/>
      <c r="P26" s="311"/>
    </row>
    <row r="27" spans="1:16" ht="12.75" customHeight="1" x14ac:dyDescent="0.2">
      <c r="A27" s="15"/>
      <c r="B27" s="58" t="s">
        <v>13</v>
      </c>
      <c r="C27" s="431"/>
      <c r="D27" s="433"/>
      <c r="E27" s="433"/>
      <c r="F27" s="433"/>
      <c r="G27" s="433"/>
      <c r="H27" s="433"/>
      <c r="I27" s="433"/>
      <c r="J27" s="433"/>
      <c r="K27" s="433"/>
      <c r="L27" s="432"/>
      <c r="M27" s="260"/>
      <c r="N27" s="58" t="s">
        <v>13</v>
      </c>
      <c r="O27" s="312"/>
      <c r="P27" s="311"/>
    </row>
    <row r="28" spans="1:16" ht="12.75" customHeight="1" x14ac:dyDescent="0.2">
      <c r="A28" s="15"/>
      <c r="B28" s="17" t="s">
        <v>21</v>
      </c>
      <c r="C28" s="59">
        <v>49.746290616969461</v>
      </c>
      <c r="D28" s="59">
        <v>50.083234522714591</v>
      </c>
      <c r="E28" s="59">
        <v>49.985052920931601</v>
      </c>
      <c r="F28" s="59">
        <v>51.369646436130203</v>
      </c>
      <c r="G28" s="59">
        <v>48.981111527442742</v>
      </c>
      <c r="H28" s="59">
        <v>52.029521576327099</v>
      </c>
      <c r="I28" s="59">
        <v>51.402654176388594</v>
      </c>
      <c r="J28" s="59">
        <v>48.568451479720018</v>
      </c>
      <c r="K28" s="59">
        <v>48.606636455198689</v>
      </c>
      <c r="L28" s="217">
        <v>50.332196250528384</v>
      </c>
      <c r="M28" s="258">
        <f t="shared" si="2"/>
        <v>3.5500497898474492</v>
      </c>
      <c r="N28" s="17" t="s">
        <v>21</v>
      </c>
      <c r="O28" s="312"/>
      <c r="P28" s="311"/>
    </row>
    <row r="29" spans="1:16" ht="12.75" customHeight="1" x14ac:dyDescent="0.2">
      <c r="A29" s="15"/>
      <c r="B29" s="91" t="s">
        <v>30</v>
      </c>
      <c r="C29" s="210">
        <v>32.381380726022428</v>
      </c>
      <c r="D29" s="210">
        <v>35.440497776109034</v>
      </c>
      <c r="E29" s="210">
        <v>38.547623944633933</v>
      </c>
      <c r="F29" s="210">
        <v>41.111043866369045</v>
      </c>
      <c r="G29" s="210">
        <v>35.72898571925888</v>
      </c>
      <c r="H29" s="210">
        <v>37.893753916461847</v>
      </c>
      <c r="I29" s="210">
        <v>39.140536425737196</v>
      </c>
      <c r="J29" s="210">
        <v>38.015514846569843</v>
      </c>
      <c r="K29" s="210">
        <v>38.596939677798829</v>
      </c>
      <c r="L29" s="264">
        <v>38.940817056337963</v>
      </c>
      <c r="M29" s="259">
        <f t="shared" si="2"/>
        <v>0.89094467439585401</v>
      </c>
      <c r="N29" s="91" t="s">
        <v>30</v>
      </c>
      <c r="O29" s="312"/>
      <c r="P29" s="311"/>
    </row>
    <row r="30" spans="1:16" ht="12.75" customHeight="1" x14ac:dyDescent="0.2">
      <c r="A30" s="15"/>
      <c r="B30" s="17" t="s">
        <v>14</v>
      </c>
      <c r="C30" s="59">
        <v>86.811539828735874</v>
      </c>
      <c r="D30" s="59">
        <v>91.000122864066057</v>
      </c>
      <c r="E30" s="59">
        <v>95.3348474163421</v>
      </c>
      <c r="F30" s="59">
        <v>101.63664418474924</v>
      </c>
      <c r="G30" s="59">
        <v>107.35587481029782</v>
      </c>
      <c r="H30" s="59">
        <v>116.95212096708937</v>
      </c>
      <c r="I30" s="59">
        <v>125.6071459774343</v>
      </c>
      <c r="J30" s="59">
        <v>127.87458260347492</v>
      </c>
      <c r="K30" s="59">
        <v>141.58975471831354</v>
      </c>
      <c r="L30" s="217">
        <v>138.55098427298705</v>
      </c>
      <c r="M30" s="258">
        <f t="shared" si="2"/>
        <v>-2.1461796097973291</v>
      </c>
      <c r="N30" s="17" t="s">
        <v>14</v>
      </c>
      <c r="O30" s="312"/>
      <c r="P30" s="311"/>
    </row>
    <row r="31" spans="1:16" ht="12.75" customHeight="1" x14ac:dyDescent="0.2">
      <c r="A31" s="15"/>
      <c r="B31" s="91" t="s">
        <v>31</v>
      </c>
      <c r="C31" s="205">
        <v>23.861106448547513</v>
      </c>
      <c r="D31" s="205">
        <v>24.434706019003297</v>
      </c>
      <c r="E31" s="205">
        <v>25.877326629317771</v>
      </c>
      <c r="F31" s="205">
        <v>23.675799061433665</v>
      </c>
      <c r="G31" s="205">
        <v>20.921435122121764</v>
      </c>
      <c r="H31" s="205">
        <v>18.95574670001055</v>
      </c>
      <c r="I31" s="205">
        <v>19.056386154327981</v>
      </c>
      <c r="J31" s="205">
        <v>16.458747623707765</v>
      </c>
      <c r="K31" s="205">
        <v>15.756549990474074</v>
      </c>
      <c r="L31" s="206">
        <v>16.649890290642968</v>
      </c>
      <c r="M31" s="259">
        <f t="shared" si="2"/>
        <v>5.6696440572903413</v>
      </c>
      <c r="N31" s="91" t="s">
        <v>31</v>
      </c>
      <c r="O31" s="312"/>
      <c r="P31" s="311"/>
    </row>
    <row r="32" spans="1:16" ht="12.75" customHeight="1" x14ac:dyDescent="0.2">
      <c r="A32" s="15"/>
      <c r="B32" s="17" t="s">
        <v>15</v>
      </c>
      <c r="C32" s="215">
        <v>32.50925754118051</v>
      </c>
      <c r="D32" s="215">
        <v>32.572396729346828</v>
      </c>
      <c r="E32" s="215">
        <v>33.914632044073144</v>
      </c>
      <c r="F32" s="215">
        <v>30.958933923373845</v>
      </c>
      <c r="G32" s="215">
        <v>25.14834193788769</v>
      </c>
      <c r="H32" s="215">
        <v>15.659564880492693</v>
      </c>
      <c r="I32" s="215">
        <v>15.44857612186858</v>
      </c>
      <c r="J32" s="215">
        <v>16.868799177246132</v>
      </c>
      <c r="K32" s="215">
        <v>17.016400182112754</v>
      </c>
      <c r="L32" s="216">
        <v>16.545805115282054</v>
      </c>
      <c r="M32" s="258">
        <f t="shared" si="2"/>
        <v>-2.7655383147687189</v>
      </c>
      <c r="N32" s="17" t="s">
        <v>15</v>
      </c>
      <c r="O32" s="312"/>
      <c r="P32" s="311"/>
    </row>
    <row r="33" spans="1:16" ht="12.75" customHeight="1" x14ac:dyDescent="0.2">
      <c r="A33" s="15"/>
      <c r="B33" s="91" t="s">
        <v>17</v>
      </c>
      <c r="C33" s="205">
        <v>7.3073122476044743</v>
      </c>
      <c r="D33" s="205">
        <v>8.0428943982190795</v>
      </c>
      <c r="E33" s="205">
        <v>8.4568880112995366</v>
      </c>
      <c r="F33" s="205">
        <v>8.4354199391810649</v>
      </c>
      <c r="G33" s="205">
        <v>7.3127216380563187</v>
      </c>
      <c r="H33" s="205">
        <v>7.3860023774185652</v>
      </c>
      <c r="I33" s="205">
        <v>7.3694455990121792</v>
      </c>
      <c r="J33" s="205">
        <v>7.1060295223692886</v>
      </c>
      <c r="K33" s="205">
        <v>7.1437141739704551</v>
      </c>
      <c r="L33" s="206">
        <v>7.3192519224726817</v>
      </c>
      <c r="M33" s="259">
        <f t="shared" si="2"/>
        <v>2.4572336494345279</v>
      </c>
      <c r="N33" s="91" t="s">
        <v>17</v>
      </c>
      <c r="O33" s="312"/>
      <c r="P33" s="311"/>
    </row>
    <row r="34" spans="1:16" ht="12.75" customHeight="1" x14ac:dyDescent="0.2">
      <c r="A34" s="15"/>
      <c r="B34" s="17" t="s">
        <v>16</v>
      </c>
      <c r="C34" s="215">
        <v>10.527937660073155</v>
      </c>
      <c r="D34" s="215">
        <v>10.399220059945735</v>
      </c>
      <c r="E34" s="215">
        <v>12.16331567337247</v>
      </c>
      <c r="F34" s="215">
        <v>12.672540648940206</v>
      </c>
      <c r="G34" s="215">
        <v>11.607004611092629</v>
      </c>
      <c r="H34" s="215">
        <v>11.741724804981505</v>
      </c>
      <c r="I34" s="215">
        <v>11.958585923704572</v>
      </c>
      <c r="J34" s="215">
        <v>12.198518968443377</v>
      </c>
      <c r="K34" s="215">
        <v>12.296781110684181</v>
      </c>
      <c r="L34" s="216">
        <v>12.981849114739205</v>
      </c>
      <c r="M34" s="258">
        <f t="shared" si="2"/>
        <v>5.5711165213780731</v>
      </c>
      <c r="N34" s="17" t="s">
        <v>16</v>
      </c>
      <c r="O34" s="312"/>
      <c r="P34" s="311"/>
    </row>
    <row r="35" spans="1:16" ht="12.75" customHeight="1" x14ac:dyDescent="0.2">
      <c r="A35" s="15"/>
      <c r="B35" s="91" t="s">
        <v>32</v>
      </c>
      <c r="C35" s="205">
        <v>28.808963842747477</v>
      </c>
      <c r="D35" s="205">
        <v>26.52365723807053</v>
      </c>
      <c r="E35" s="205">
        <v>27.050020167292349</v>
      </c>
      <c r="F35" s="205">
        <v>28.714320893272802</v>
      </c>
      <c r="G35" s="205">
        <v>25.397070133212612</v>
      </c>
      <c r="H35" s="205">
        <v>26.475714171044466</v>
      </c>
      <c r="I35" s="205">
        <v>24.595103449398536</v>
      </c>
      <c r="J35" s="205">
        <v>22.993981909099091</v>
      </c>
      <c r="K35" s="205">
        <v>21.890673072313945</v>
      </c>
      <c r="L35" s="206">
        <v>21.485649464593575</v>
      </c>
      <c r="M35" s="259">
        <f t="shared" si="2"/>
        <v>-1.8502108472517449</v>
      </c>
      <c r="N35" s="91" t="s">
        <v>32</v>
      </c>
      <c r="O35" s="312"/>
      <c r="P35" s="311"/>
    </row>
    <row r="36" spans="1:16" ht="12.75" customHeight="1" x14ac:dyDescent="0.2">
      <c r="A36" s="15"/>
      <c r="B36" s="17" t="s">
        <v>33</v>
      </c>
      <c r="C36" s="215">
        <v>45.115317917611733</v>
      </c>
      <c r="D36" s="215">
        <v>46.788474462111537</v>
      </c>
      <c r="E36" s="215">
        <v>47.93511056979689</v>
      </c>
      <c r="F36" s="215">
        <v>48.896852887309201</v>
      </c>
      <c r="G36" s="215">
        <v>40.78704589439581</v>
      </c>
      <c r="H36" s="215">
        <v>42.425677416517871</v>
      </c>
      <c r="I36" s="215">
        <v>42.892491524474877</v>
      </c>
      <c r="J36" s="215">
        <v>39.58360261762342</v>
      </c>
      <c r="K36" s="215">
        <v>41.252381604807603</v>
      </c>
      <c r="L36" s="216">
        <v>48.829049641639436</v>
      </c>
      <c r="M36" s="258">
        <f t="shared" si="2"/>
        <v>18.36661967644757</v>
      </c>
      <c r="N36" s="17" t="s">
        <v>33</v>
      </c>
      <c r="O36" s="312"/>
      <c r="P36" s="311"/>
    </row>
    <row r="37" spans="1:16" ht="12.75" customHeight="1" x14ac:dyDescent="0.2">
      <c r="A37" s="15"/>
      <c r="B37" s="94" t="s">
        <v>22</v>
      </c>
      <c r="C37" s="219">
        <v>167.29812396915941</v>
      </c>
      <c r="D37" s="219">
        <v>171.49776888484439</v>
      </c>
      <c r="E37" s="219">
        <v>178.13460293899621</v>
      </c>
      <c r="F37" s="219">
        <v>167.65821628614697</v>
      </c>
      <c r="G37" s="219">
        <v>145.00440997187189</v>
      </c>
      <c r="H37" s="219">
        <v>151.32753201967199</v>
      </c>
      <c r="I37" s="263">
        <v>157.4988786044716</v>
      </c>
      <c r="J37" s="263">
        <v>163.34984215905598</v>
      </c>
      <c r="K37" s="263">
        <v>152.35006435823695</v>
      </c>
      <c r="L37" s="246">
        <v>149.61350838413478</v>
      </c>
      <c r="M37" s="261">
        <f t="shared" si="2"/>
        <v>-1.7962289583727511</v>
      </c>
      <c r="N37" s="94" t="s">
        <v>22</v>
      </c>
      <c r="O37" s="312"/>
      <c r="P37" s="311"/>
    </row>
    <row r="38" spans="1:16" ht="12.75" customHeight="1" x14ac:dyDescent="0.2">
      <c r="A38" s="15"/>
      <c r="B38" s="17" t="s">
        <v>123</v>
      </c>
      <c r="C38" s="208"/>
      <c r="D38" s="208"/>
      <c r="E38" s="208"/>
      <c r="F38" s="208"/>
      <c r="G38" s="208"/>
      <c r="H38" s="208"/>
      <c r="I38" s="208"/>
      <c r="J38" s="208"/>
      <c r="K38" s="208"/>
      <c r="L38" s="239"/>
      <c r="M38" s="258"/>
      <c r="N38" s="17" t="s">
        <v>123</v>
      </c>
      <c r="O38" s="23"/>
    </row>
    <row r="39" spans="1:16" ht="12.75" customHeight="1" x14ac:dyDescent="0.2">
      <c r="A39" s="15"/>
      <c r="B39" s="279" t="s">
        <v>113</v>
      </c>
      <c r="C39" s="281"/>
      <c r="D39" s="281"/>
      <c r="E39" s="281"/>
      <c r="F39" s="281"/>
      <c r="G39" s="281"/>
      <c r="H39" s="281"/>
      <c r="I39" s="281"/>
      <c r="J39" s="281"/>
      <c r="K39" s="281"/>
      <c r="L39" s="295"/>
      <c r="M39" s="309"/>
      <c r="N39" s="279" t="s">
        <v>113</v>
      </c>
      <c r="O39" s="23"/>
    </row>
    <row r="40" spans="1:16" ht="12.75" customHeight="1" x14ac:dyDescent="0.2">
      <c r="A40" s="15"/>
      <c r="B40" s="17" t="s">
        <v>3</v>
      </c>
      <c r="C40" s="59"/>
      <c r="D40" s="59"/>
      <c r="E40" s="59"/>
      <c r="F40" s="59"/>
      <c r="G40" s="59"/>
      <c r="H40" s="59"/>
      <c r="I40" s="59"/>
      <c r="J40" s="59"/>
      <c r="K40" s="59"/>
      <c r="L40" s="217"/>
      <c r="M40" s="258"/>
      <c r="N40" s="17" t="s">
        <v>3</v>
      </c>
      <c r="O40" s="23"/>
    </row>
    <row r="41" spans="1:16" ht="12.75" customHeight="1" x14ac:dyDescent="0.2">
      <c r="A41" s="15"/>
      <c r="B41" s="279" t="s">
        <v>114</v>
      </c>
      <c r="C41" s="281"/>
      <c r="D41" s="281"/>
      <c r="E41" s="281"/>
      <c r="F41" s="281"/>
      <c r="G41" s="281"/>
      <c r="H41" s="281"/>
      <c r="I41" s="281"/>
      <c r="J41" s="281"/>
      <c r="K41" s="281"/>
      <c r="L41" s="295"/>
      <c r="M41" s="309"/>
      <c r="N41" s="279" t="s">
        <v>114</v>
      </c>
      <c r="O41" s="23"/>
    </row>
    <row r="42" spans="1:16" ht="12.75" customHeight="1" x14ac:dyDescent="0.2">
      <c r="A42" s="15"/>
      <c r="B42" s="18" t="s">
        <v>18</v>
      </c>
      <c r="C42" s="60"/>
      <c r="D42" s="60"/>
      <c r="E42" s="60"/>
      <c r="F42" s="60"/>
      <c r="G42" s="60"/>
      <c r="H42" s="60"/>
      <c r="I42" s="60"/>
      <c r="J42" s="60"/>
      <c r="K42" s="60"/>
      <c r="L42" s="221"/>
      <c r="M42" s="262"/>
      <c r="N42" s="18" t="s">
        <v>18</v>
      </c>
      <c r="O42" s="23"/>
    </row>
    <row r="43" spans="1:16" ht="12.75" customHeight="1" x14ac:dyDescent="0.2">
      <c r="A43" s="15"/>
      <c r="B43" s="297" t="s">
        <v>4</v>
      </c>
      <c r="C43" s="300"/>
      <c r="D43" s="300"/>
      <c r="E43" s="300"/>
      <c r="F43" s="300"/>
      <c r="G43" s="300"/>
      <c r="H43" s="300"/>
      <c r="I43" s="301"/>
      <c r="J43" s="301"/>
      <c r="K43" s="301"/>
      <c r="L43" s="302"/>
      <c r="M43" s="310"/>
      <c r="N43" s="297" t="s">
        <v>4</v>
      </c>
      <c r="O43" s="23"/>
    </row>
    <row r="44" spans="1:16" ht="12.75" customHeight="1" x14ac:dyDescent="0.2">
      <c r="A44" s="15"/>
      <c r="B44" s="17" t="s">
        <v>34</v>
      </c>
      <c r="C44" s="59">
        <v>17.146508685921173</v>
      </c>
      <c r="D44" s="59">
        <v>17.822798132876812</v>
      </c>
      <c r="E44" s="59">
        <v>17.911175138471659</v>
      </c>
      <c r="F44" s="59">
        <v>19.587450219743701</v>
      </c>
      <c r="G44" s="59">
        <v>17.868884368585746</v>
      </c>
      <c r="H44" s="59">
        <v>19.148742788028613</v>
      </c>
      <c r="I44" s="59">
        <v>19.108182861177742</v>
      </c>
      <c r="J44" s="59">
        <v>20.035016309499635</v>
      </c>
      <c r="K44" s="59">
        <v>22.035876508826249</v>
      </c>
      <c r="L44" s="217">
        <v>22.222539881747306</v>
      </c>
      <c r="M44" s="258">
        <f t="shared" ref="M44:M45" si="4">L44/K44*100-100</f>
        <v>0.84708848702383932</v>
      </c>
      <c r="N44" s="17" t="s">
        <v>34</v>
      </c>
      <c r="O44" s="23"/>
    </row>
    <row r="45" spans="1:16" ht="12.75" customHeight="1" x14ac:dyDescent="0.2">
      <c r="A45" s="15"/>
      <c r="B45" s="325" t="s">
        <v>5</v>
      </c>
      <c r="C45" s="284">
        <v>23.007696856879679</v>
      </c>
      <c r="D45" s="284">
        <v>23.258567549690142</v>
      </c>
      <c r="E45" s="284">
        <v>22.048322357583544</v>
      </c>
      <c r="F45" s="284">
        <v>22.285776574414683</v>
      </c>
      <c r="G45" s="284">
        <v>20.886453776546631</v>
      </c>
      <c r="H45" s="284">
        <v>21.659989361434885</v>
      </c>
      <c r="I45" s="284">
        <v>21.159721877871601</v>
      </c>
      <c r="J45" s="284">
        <v>20.841395631936457</v>
      </c>
      <c r="K45" s="284">
        <v>20.847078736533007</v>
      </c>
      <c r="L45" s="327">
        <v>21.724827592786937</v>
      </c>
      <c r="M45" s="369">
        <f t="shared" si="4"/>
        <v>4.2104165640998872</v>
      </c>
      <c r="N45" s="325" t="s">
        <v>5</v>
      </c>
      <c r="O45" s="23"/>
    </row>
    <row r="46" spans="1:16" ht="7.5" customHeight="1" x14ac:dyDescent="0.2">
      <c r="A46" s="15"/>
      <c r="B46" s="370"/>
      <c r="C46" s="370"/>
      <c r="D46" s="370"/>
      <c r="E46" s="370"/>
      <c r="F46" s="370"/>
      <c r="G46" s="370"/>
      <c r="H46" s="370"/>
      <c r="I46" s="370"/>
      <c r="J46" s="370"/>
      <c r="K46" s="370"/>
      <c r="L46" s="370"/>
      <c r="M46" s="370"/>
      <c r="N46" s="370"/>
      <c r="O46" s="23"/>
    </row>
    <row r="47" spans="1:16" ht="17.25" customHeight="1" x14ac:dyDescent="0.2">
      <c r="B47" s="494" t="s">
        <v>138</v>
      </c>
      <c r="C47" s="495"/>
      <c r="D47" s="495"/>
      <c r="E47" s="495"/>
      <c r="F47" s="495"/>
      <c r="G47" s="495"/>
      <c r="H47" s="495"/>
      <c r="I47" s="495"/>
      <c r="J47" s="495"/>
      <c r="K47" s="495"/>
      <c r="L47" s="495"/>
      <c r="M47" s="495"/>
      <c r="N47" s="495"/>
      <c r="O47" s="495"/>
    </row>
    <row r="48" spans="1:16" ht="12.75" customHeight="1" x14ac:dyDescent="0.2">
      <c r="B48" s="11" t="s">
        <v>2</v>
      </c>
    </row>
    <row r="49" spans="2:12" ht="12.75" customHeight="1" x14ac:dyDescent="0.2">
      <c r="B49" s="3" t="s">
        <v>85</v>
      </c>
    </row>
    <row r="50" spans="2:12" ht="11.25" customHeight="1" x14ac:dyDescent="0.2">
      <c r="B50" s="103" t="s">
        <v>88</v>
      </c>
    </row>
    <row r="51" spans="2:12" x14ac:dyDescent="0.2">
      <c r="B51" s="434" t="s">
        <v>148</v>
      </c>
      <c r="C51" s="3"/>
      <c r="D51" s="3"/>
      <c r="E51" s="3"/>
      <c r="F51" s="3"/>
      <c r="G51" s="3"/>
      <c r="H51" s="3"/>
      <c r="I51" s="3"/>
      <c r="J51" s="3"/>
      <c r="K51" s="3"/>
      <c r="L51" s="3"/>
    </row>
  </sheetData>
  <mergeCells count="3">
    <mergeCell ref="B2:O2"/>
    <mergeCell ref="B3:O3"/>
    <mergeCell ref="B47:O47"/>
  </mergeCells>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F79"/>
  <sheetViews>
    <sheetView topLeftCell="Q1" workbookViewId="0">
      <selection activeCell="AH17" sqref="AH17"/>
    </sheetView>
  </sheetViews>
  <sheetFormatPr defaultRowHeight="12.75" x14ac:dyDescent="0.2"/>
  <cols>
    <col min="1" max="1" width="3.5703125" customWidth="1"/>
    <col min="2" max="2" width="7.28515625" style="3" customWidth="1"/>
    <col min="3" max="20" width="6.7109375" style="3" customWidth="1"/>
    <col min="21" max="29" width="7.28515625" style="3" customWidth="1"/>
    <col min="30" max="30" width="6.28515625" style="3" customWidth="1"/>
    <col min="31" max="31" width="5.5703125" style="3" customWidth="1"/>
    <col min="32" max="32" width="9.28515625" style="3" customWidth="1"/>
    <col min="33" max="16384" width="9.140625" style="3"/>
  </cols>
  <sheetData>
    <row r="1" spans="1:31" ht="14.25" customHeight="1" x14ac:dyDescent="0.2">
      <c r="B1" s="42"/>
      <c r="C1" s="43"/>
      <c r="D1" s="43"/>
      <c r="E1" s="38"/>
      <c r="F1" s="38"/>
      <c r="G1" s="38"/>
      <c r="H1" s="38"/>
      <c r="I1" s="38"/>
      <c r="J1" s="38"/>
      <c r="K1" s="38"/>
      <c r="L1" s="38"/>
      <c r="M1" s="38"/>
      <c r="N1" s="38"/>
      <c r="O1" s="38"/>
      <c r="P1" s="38"/>
      <c r="Q1" s="38"/>
      <c r="U1" s="39"/>
      <c r="V1" s="39"/>
      <c r="W1" s="39"/>
      <c r="X1" s="39"/>
      <c r="Y1" s="39"/>
      <c r="Z1" s="39"/>
      <c r="AA1" s="39"/>
      <c r="AB1" s="39"/>
      <c r="AC1" s="39"/>
      <c r="AE1" s="39" t="s">
        <v>97</v>
      </c>
    </row>
    <row r="2" spans="1:31" s="48" customFormat="1" ht="30" customHeight="1" x14ac:dyDescent="0.2">
      <c r="A2" s="82"/>
      <c r="B2" s="497" t="s">
        <v>40</v>
      </c>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row>
    <row r="3" spans="1:31" x14ac:dyDescent="0.2">
      <c r="B3" s="4"/>
      <c r="C3" s="4"/>
      <c r="E3" s="28"/>
      <c r="F3" s="28"/>
      <c r="G3" s="28"/>
      <c r="H3" s="28"/>
      <c r="I3" s="28"/>
      <c r="K3" s="30"/>
      <c r="L3" s="30"/>
      <c r="M3" s="30"/>
      <c r="N3" s="30"/>
      <c r="O3" s="30"/>
      <c r="Q3" s="44"/>
      <c r="R3" s="44"/>
      <c r="X3" s="251" t="s">
        <v>112</v>
      </c>
      <c r="Y3" s="21"/>
      <c r="Z3" s="21"/>
      <c r="AA3" s="21"/>
      <c r="AB3" s="21"/>
      <c r="AC3" s="21"/>
      <c r="AD3" s="6"/>
      <c r="AE3" s="46"/>
    </row>
    <row r="4" spans="1:31" ht="20.100000000000001" customHeight="1" x14ac:dyDescent="0.2">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114" t="s">
        <v>131</v>
      </c>
      <c r="AE4" s="64"/>
    </row>
    <row r="5" spans="1:31" ht="9.9499999999999993" customHeight="1" x14ac:dyDescent="0.2">
      <c r="B5" s="181"/>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71" t="s">
        <v>73</v>
      </c>
      <c r="AE5" s="66"/>
    </row>
    <row r="6" spans="1:31" ht="12.75" customHeight="1" x14ac:dyDescent="0.2">
      <c r="B6" s="90" t="s">
        <v>120</v>
      </c>
      <c r="C6" s="148">
        <f>SUM(C9:C36)+55.9</f>
        <v>551.06899999999996</v>
      </c>
      <c r="D6" s="148">
        <f>SUM(D9:D36)+66.2</f>
        <v>641.43200000000002</v>
      </c>
      <c r="E6" s="146">
        <f>SUM(E9:E36)+59.4</f>
        <v>526.34299999999996</v>
      </c>
      <c r="F6" s="146">
        <f>SUM(F9:F36)+45.8</f>
        <v>443.929011</v>
      </c>
      <c r="G6" s="146">
        <f>SUM(G9:G36)+44</f>
        <v>394.46459099999998</v>
      </c>
      <c r="H6" s="146">
        <f>SUM(H9:H36)</f>
        <v>371.69550899999996</v>
      </c>
      <c r="I6" s="146">
        <f t="shared" ref="I6:AA6" si="0">SUM(I9:I36)</f>
        <v>380.15225799999996</v>
      </c>
      <c r="J6" s="146">
        <f t="shared" si="0"/>
        <v>388.11806800000005</v>
      </c>
      <c r="K6" s="146">
        <f t="shared" si="0"/>
        <v>393.86300000000011</v>
      </c>
      <c r="L6" s="146">
        <f t="shared" si="0"/>
        <v>411.2519999999999</v>
      </c>
      <c r="M6" s="146">
        <f t="shared" si="0"/>
        <v>394.33752500000003</v>
      </c>
      <c r="N6" s="146">
        <f t="shared" si="0"/>
        <v>385.31001500293985</v>
      </c>
      <c r="O6" s="146">
        <f t="shared" si="0"/>
        <v>405.4637546422241</v>
      </c>
      <c r="P6" s="146">
        <f t="shared" si="0"/>
        <v>388.04830225225697</v>
      </c>
      <c r="Q6" s="146">
        <f t="shared" si="0"/>
        <v>385.98319255303102</v>
      </c>
      <c r="R6" s="146">
        <f t="shared" si="0"/>
        <v>394.37526875462396</v>
      </c>
      <c r="S6" s="146">
        <f t="shared" si="0"/>
        <v>419.32637026043301</v>
      </c>
      <c r="T6" s="146">
        <f t="shared" si="0"/>
        <v>416.02418045013309</v>
      </c>
      <c r="U6" s="146">
        <f t="shared" si="0"/>
        <v>438.16492025294502</v>
      </c>
      <c r="V6" s="267">
        <f t="shared" si="0"/>
        <v>452</v>
      </c>
      <c r="W6" s="167">
        <f t="shared" si="0"/>
        <v>442.76299999999992</v>
      </c>
      <c r="X6" s="167">
        <f t="shared" si="0"/>
        <v>363.541</v>
      </c>
      <c r="Y6" s="167">
        <f t="shared" si="0"/>
        <v>393.53100000000001</v>
      </c>
      <c r="Z6" s="167">
        <f t="shared" si="0"/>
        <v>422.09699999999992</v>
      </c>
      <c r="AA6" s="146">
        <f t="shared" si="0"/>
        <v>406.661</v>
      </c>
      <c r="AB6" s="146">
        <f t="shared" ref="AB6" si="1">SUM(AB9:AB36)</f>
        <v>406.49900000000008</v>
      </c>
      <c r="AC6" s="146">
        <f t="shared" ref="AC6" si="2">SUM(AC9:AC36)</f>
        <v>410.79399999999998</v>
      </c>
      <c r="AD6" s="148">
        <f>AC6/AB6*100-100</f>
        <v>1.0565831650262112</v>
      </c>
      <c r="AE6" s="90" t="s">
        <v>120</v>
      </c>
    </row>
    <row r="7" spans="1:31" ht="12.75" customHeight="1" x14ac:dyDescent="0.2">
      <c r="A7" s="15"/>
      <c r="B7" s="91" t="s">
        <v>121</v>
      </c>
      <c r="C7" s="149">
        <f t="shared" ref="C7:D7" si="3">C9+C12+C13+SUM(C15:C20)+C24+C27+C28+C30+SUM(C34:C36)</f>
        <v>282.45900000000006</v>
      </c>
      <c r="D7" s="149">
        <f t="shared" si="3"/>
        <v>289.822</v>
      </c>
      <c r="E7" s="93">
        <f>E9+E12+E13+SUM(E15:E18)+E24+E27+E28+E30+SUM(E34:E36)+E20</f>
        <v>256.51100000000002</v>
      </c>
      <c r="F7" s="93">
        <f t="shared" ref="F7:H7" si="4">F9+F12+F13+SUM(F15:F18)+F24+F27+F28+F30+SUM(F34:F36)+F20</f>
        <v>235.66801100000001</v>
      </c>
      <c r="G7" s="93">
        <f t="shared" si="4"/>
        <v>223.08759099999997</v>
      </c>
      <c r="H7" s="93">
        <f t="shared" si="4"/>
        <v>205.43950900000002</v>
      </c>
      <c r="I7" s="93">
        <f t="shared" ref="I7:AA7" si="5">I9+I12+I13+SUM(I15:I18)+I24+I27+I28+I30+SUM(I34:I36)+I20</f>
        <v>219.61625800000002</v>
      </c>
      <c r="J7" s="93">
        <f t="shared" si="5"/>
        <v>222.73306799999997</v>
      </c>
      <c r="K7" s="93">
        <f t="shared" si="5"/>
        <v>223.77200000000002</v>
      </c>
      <c r="L7" s="93">
        <f t="shared" si="5"/>
        <v>240.20200000000003</v>
      </c>
      <c r="M7" s="93">
        <f t="shared" si="5"/>
        <v>239.98352500000004</v>
      </c>
      <c r="N7" s="93">
        <f t="shared" si="5"/>
        <v>243.43601500294002</v>
      </c>
      <c r="O7" s="93">
        <f t="shared" si="5"/>
        <v>257.06775464222397</v>
      </c>
      <c r="P7" s="93">
        <f t="shared" si="5"/>
        <v>248.42730225225699</v>
      </c>
      <c r="Q7" s="93">
        <f t="shared" si="5"/>
        <v>245.78019255303101</v>
      </c>
      <c r="R7" s="93">
        <f t="shared" si="5"/>
        <v>248.47926875462403</v>
      </c>
      <c r="S7" s="93">
        <f t="shared" si="5"/>
        <v>264.83337026043301</v>
      </c>
      <c r="T7" s="93">
        <f t="shared" si="5"/>
        <v>261.93318045013302</v>
      </c>
      <c r="U7" s="93">
        <f t="shared" si="5"/>
        <v>280.59892025294499</v>
      </c>
      <c r="V7" s="268">
        <f t="shared" si="5"/>
        <v>292.45700000000005</v>
      </c>
      <c r="W7" s="169">
        <f t="shared" si="5"/>
        <v>289.077</v>
      </c>
      <c r="X7" s="169">
        <f t="shared" si="5"/>
        <v>236.41699999999997</v>
      </c>
      <c r="Y7" s="169">
        <f t="shared" si="5"/>
        <v>255.416</v>
      </c>
      <c r="Z7" s="169">
        <f t="shared" si="5"/>
        <v>269.988</v>
      </c>
      <c r="AA7" s="93">
        <f t="shared" si="5"/>
        <v>263.32100000000003</v>
      </c>
      <c r="AB7" s="93">
        <f t="shared" ref="AB7" si="6">AB9+AB12+AB13+SUM(AB15:AB18)+AB24+AB27+AB28+AB30+SUM(AB34:AB36)+AB20</f>
        <v>263.76699999999994</v>
      </c>
      <c r="AC7" s="93">
        <f t="shared" ref="AC7" si="7">AC9+AC12+AC13+SUM(AC15:AC18)+AC24+AC27+AC28+AC30+SUM(AC34:AC36)+AC20</f>
        <v>268.22399999999999</v>
      </c>
      <c r="AD7" s="149">
        <f t="shared" ref="AD7:AD44" si="8">AC7/AB7*100-100</f>
        <v>1.6897489071794496</v>
      </c>
      <c r="AE7" s="91" t="s">
        <v>121</v>
      </c>
    </row>
    <row r="8" spans="1:31" ht="12.75" customHeight="1" x14ac:dyDescent="0.2">
      <c r="A8" s="15"/>
      <c r="B8" s="94" t="s">
        <v>122</v>
      </c>
      <c r="C8" s="150">
        <f t="shared" ref="C8:E8" si="9">C6-C7</f>
        <v>268.6099999999999</v>
      </c>
      <c r="D8" s="150">
        <f t="shared" si="9"/>
        <v>351.61</v>
      </c>
      <c r="E8" s="95">
        <f t="shared" si="9"/>
        <v>269.83199999999994</v>
      </c>
      <c r="F8" s="95">
        <f t="shared" ref="F8:H8" si="10">F6-F7</f>
        <v>208.261</v>
      </c>
      <c r="G8" s="95">
        <f t="shared" si="10"/>
        <v>171.37700000000001</v>
      </c>
      <c r="H8" s="95">
        <f t="shared" si="10"/>
        <v>166.25599999999994</v>
      </c>
      <c r="I8" s="95">
        <f t="shared" ref="I8:AA8" si="11">I6-I7</f>
        <v>160.53599999999994</v>
      </c>
      <c r="J8" s="95">
        <f t="shared" si="11"/>
        <v>165.38500000000008</v>
      </c>
      <c r="K8" s="95">
        <f t="shared" si="11"/>
        <v>170.09100000000009</v>
      </c>
      <c r="L8" s="95">
        <f t="shared" si="11"/>
        <v>171.04999999999987</v>
      </c>
      <c r="M8" s="95">
        <f t="shared" si="11"/>
        <v>154.35399999999998</v>
      </c>
      <c r="N8" s="95">
        <f t="shared" si="11"/>
        <v>141.87399999999982</v>
      </c>
      <c r="O8" s="95">
        <f t="shared" si="11"/>
        <v>148.39600000000013</v>
      </c>
      <c r="P8" s="95">
        <f t="shared" si="11"/>
        <v>139.62099999999998</v>
      </c>
      <c r="Q8" s="95">
        <f t="shared" si="11"/>
        <v>140.203</v>
      </c>
      <c r="R8" s="95">
        <f t="shared" si="11"/>
        <v>145.89599999999993</v>
      </c>
      <c r="S8" s="269">
        <f t="shared" si="11"/>
        <v>154.49299999999999</v>
      </c>
      <c r="T8" s="269">
        <f t="shared" si="11"/>
        <v>154.09100000000007</v>
      </c>
      <c r="U8" s="95">
        <f t="shared" si="11"/>
        <v>157.56600000000003</v>
      </c>
      <c r="V8" s="269">
        <f t="shared" si="11"/>
        <v>159.54299999999995</v>
      </c>
      <c r="W8" s="171">
        <f t="shared" si="11"/>
        <v>153.68599999999992</v>
      </c>
      <c r="X8" s="171">
        <f t="shared" si="11"/>
        <v>127.12400000000002</v>
      </c>
      <c r="Y8" s="171">
        <f t="shared" si="11"/>
        <v>138.11500000000001</v>
      </c>
      <c r="Z8" s="171">
        <f t="shared" si="11"/>
        <v>152.10899999999992</v>
      </c>
      <c r="AA8" s="171">
        <f t="shared" si="11"/>
        <v>143.33999999999997</v>
      </c>
      <c r="AB8" s="171">
        <f t="shared" ref="AB8" si="12">AB6-AB7</f>
        <v>142.73200000000014</v>
      </c>
      <c r="AC8" s="171">
        <f t="shared" ref="AC8" si="13">AC6-AC7</f>
        <v>142.57</v>
      </c>
      <c r="AD8" s="242">
        <f t="shared" si="8"/>
        <v>-0.11349942549684044</v>
      </c>
      <c r="AE8" s="94" t="s">
        <v>122</v>
      </c>
    </row>
    <row r="9" spans="1:31" ht="12.75" customHeight="1" x14ac:dyDescent="0.2">
      <c r="A9" s="15"/>
      <c r="B9" s="17" t="s">
        <v>23</v>
      </c>
      <c r="C9" s="201">
        <v>7.8760000000000003</v>
      </c>
      <c r="D9" s="201">
        <v>8.0370000000000008</v>
      </c>
      <c r="E9" s="201">
        <v>8.3699999999999992</v>
      </c>
      <c r="F9" s="238">
        <v>8.2029999999999994</v>
      </c>
      <c r="G9" s="238">
        <v>8.3610000000000007</v>
      </c>
      <c r="H9" s="238">
        <v>7.5960000000000001</v>
      </c>
      <c r="I9" s="238">
        <v>8.0969999999999995</v>
      </c>
      <c r="J9" s="202">
        <v>7.3040000000000003</v>
      </c>
      <c r="K9" s="202">
        <v>7.2439999999999998</v>
      </c>
      <c r="L9" s="202">
        <v>7.4649999999999999</v>
      </c>
      <c r="M9" s="202">
        <v>7.6</v>
      </c>
      <c r="N9" s="203">
        <v>7.3920000000000003</v>
      </c>
      <c r="O9" s="202">
        <v>7.6740000000000004</v>
      </c>
      <c r="P9" s="202">
        <v>7.0810000000000004</v>
      </c>
      <c r="Q9" s="202">
        <v>7.2969999999999997</v>
      </c>
      <c r="R9" s="202">
        <v>7.2930000000000001</v>
      </c>
      <c r="S9" s="202">
        <v>7.6909999999999998</v>
      </c>
      <c r="T9" s="202">
        <v>8.1300000000000008</v>
      </c>
      <c r="U9" s="202">
        <v>8.5719999999999992</v>
      </c>
      <c r="V9" s="202">
        <v>9.2579999999999991</v>
      </c>
      <c r="W9" s="202">
        <v>8.9269999999999996</v>
      </c>
      <c r="X9" s="202">
        <v>6.3739999999999997</v>
      </c>
      <c r="Y9" s="238">
        <v>7.476</v>
      </c>
      <c r="Z9" s="238">
        <v>7.593</v>
      </c>
      <c r="AA9" s="288">
        <f>(1700+1700+1600+1500)/1000+0.78</f>
        <v>7.28</v>
      </c>
      <c r="AB9" s="288">
        <v>7.28</v>
      </c>
      <c r="AC9" s="324">
        <v>7.28</v>
      </c>
      <c r="AD9" s="308">
        <f t="shared" si="8"/>
        <v>0</v>
      </c>
      <c r="AE9" s="17" t="s">
        <v>23</v>
      </c>
    </row>
    <row r="10" spans="1:31" ht="12.75" customHeight="1" x14ac:dyDescent="0.2">
      <c r="A10" s="15"/>
      <c r="B10" s="91" t="s">
        <v>6</v>
      </c>
      <c r="C10" s="204">
        <v>13.7</v>
      </c>
      <c r="D10" s="204">
        <v>17.68</v>
      </c>
      <c r="E10" s="204">
        <v>14.13</v>
      </c>
      <c r="F10" s="205">
        <v>8.6999999999999993</v>
      </c>
      <c r="G10" s="205">
        <v>7.76</v>
      </c>
      <c r="H10" s="205">
        <v>7.7</v>
      </c>
      <c r="I10" s="205">
        <v>7.77</v>
      </c>
      <c r="J10" s="205">
        <v>8.6</v>
      </c>
      <c r="K10" s="205">
        <v>7.5170000000000003</v>
      </c>
      <c r="L10" s="205">
        <v>7.4050000000000002</v>
      </c>
      <c r="M10" s="205">
        <v>6.1520000000000001</v>
      </c>
      <c r="N10" s="205">
        <v>5.2</v>
      </c>
      <c r="O10" s="205">
        <v>5.5380000000000003</v>
      </c>
      <c r="P10" s="205">
        <v>4.9000000000000004</v>
      </c>
      <c r="Q10" s="205">
        <v>4.6269999999999998</v>
      </c>
      <c r="R10" s="205">
        <v>5.274</v>
      </c>
      <c r="S10" s="205">
        <v>5.2110000000000003</v>
      </c>
      <c r="T10" s="205">
        <v>5.1630000000000003</v>
      </c>
      <c r="U10" s="205">
        <v>5.3959999999999999</v>
      </c>
      <c r="V10" s="205">
        <v>5.2409999999999997</v>
      </c>
      <c r="W10" s="205">
        <v>4.6929999999999996</v>
      </c>
      <c r="X10" s="205">
        <v>3.145</v>
      </c>
      <c r="Y10" s="205">
        <v>3.0640000000000001</v>
      </c>
      <c r="Z10" s="205">
        <v>3.2909999999999999</v>
      </c>
      <c r="AA10" s="205">
        <v>2.907</v>
      </c>
      <c r="AB10" s="205">
        <v>3.246</v>
      </c>
      <c r="AC10" s="206">
        <v>3.4390000000000001</v>
      </c>
      <c r="AD10" s="153">
        <f t="shared" si="8"/>
        <v>5.9457794208256303</v>
      </c>
      <c r="AE10" s="91" t="s">
        <v>6</v>
      </c>
    </row>
    <row r="11" spans="1:31" ht="12.75" customHeight="1" x14ac:dyDescent="0.2">
      <c r="A11" s="15"/>
      <c r="B11" s="17" t="s">
        <v>8</v>
      </c>
      <c r="C11" s="207"/>
      <c r="D11" s="207"/>
      <c r="E11" s="207"/>
      <c r="F11" s="208"/>
      <c r="G11" s="208"/>
      <c r="H11" s="208">
        <v>25.2</v>
      </c>
      <c r="I11" s="208">
        <v>22.8</v>
      </c>
      <c r="J11" s="208">
        <v>22.623000000000001</v>
      </c>
      <c r="K11" s="208">
        <v>22.338999999999999</v>
      </c>
      <c r="L11" s="208">
        <v>21.01</v>
      </c>
      <c r="M11" s="208">
        <v>18.709</v>
      </c>
      <c r="N11" s="208">
        <v>16.713000000000001</v>
      </c>
      <c r="O11" s="208">
        <v>17.495999999999999</v>
      </c>
      <c r="P11" s="208">
        <v>16.899999999999999</v>
      </c>
      <c r="Q11" s="208">
        <v>15.81</v>
      </c>
      <c r="R11" s="208">
        <v>15.862</v>
      </c>
      <c r="S11" s="208">
        <v>15.092000000000001</v>
      </c>
      <c r="T11" s="208">
        <v>14.866</v>
      </c>
      <c r="U11" s="208">
        <v>15.779</v>
      </c>
      <c r="V11" s="208">
        <v>16.303999999999998</v>
      </c>
      <c r="W11" s="208">
        <v>15.436999999999999</v>
      </c>
      <c r="X11" s="208">
        <v>12.791</v>
      </c>
      <c r="Y11" s="208">
        <v>13.77</v>
      </c>
      <c r="Z11" s="208">
        <v>14.316000000000001</v>
      </c>
      <c r="AA11" s="208">
        <v>14.266999999999999</v>
      </c>
      <c r="AB11" s="208">
        <v>13.965</v>
      </c>
      <c r="AC11" s="239">
        <v>14.574</v>
      </c>
      <c r="AD11" s="152">
        <f t="shared" si="8"/>
        <v>4.3609022556391039</v>
      </c>
      <c r="AE11" s="17" t="s">
        <v>8</v>
      </c>
    </row>
    <row r="12" spans="1:31" ht="12.75" customHeight="1" x14ac:dyDescent="0.2">
      <c r="A12" s="15"/>
      <c r="B12" s="91" t="s">
        <v>19</v>
      </c>
      <c r="C12" s="204">
        <v>1.7010000000000001</v>
      </c>
      <c r="D12" s="204">
        <v>1.619</v>
      </c>
      <c r="E12" s="204">
        <v>1.73</v>
      </c>
      <c r="F12" s="205">
        <v>1.8580000000000001</v>
      </c>
      <c r="G12" s="205">
        <v>1.87</v>
      </c>
      <c r="H12" s="205">
        <v>1.796</v>
      </c>
      <c r="I12" s="205">
        <v>2.008</v>
      </c>
      <c r="J12" s="205">
        <v>1.9850000000000001</v>
      </c>
      <c r="K12" s="205">
        <v>1.7569999999999999</v>
      </c>
      <c r="L12" s="205">
        <v>1.9830000000000001</v>
      </c>
      <c r="M12" s="205">
        <v>2.0579999999999998</v>
      </c>
      <c r="N12" s="205">
        <v>1.9379999999999999</v>
      </c>
      <c r="O12" s="205">
        <v>2.0249999999999999</v>
      </c>
      <c r="P12" s="205">
        <v>2.0910000000000002</v>
      </c>
      <c r="Q12" s="205">
        <v>1.877</v>
      </c>
      <c r="R12" s="205">
        <v>1.9850000000000001</v>
      </c>
      <c r="S12" s="205">
        <v>2.3210000000000002</v>
      </c>
      <c r="T12" s="205">
        <v>1.976</v>
      </c>
      <c r="U12" s="205">
        <v>1.8919999999999999</v>
      </c>
      <c r="V12" s="205">
        <v>1.7789999999999999</v>
      </c>
      <c r="W12" s="205">
        <v>1.8660000000000001</v>
      </c>
      <c r="X12" s="205">
        <v>1.7</v>
      </c>
      <c r="Y12" s="205">
        <v>2.2389999999999999</v>
      </c>
      <c r="Z12" s="205">
        <v>2.6150000000000002</v>
      </c>
      <c r="AA12" s="205">
        <v>2.278</v>
      </c>
      <c r="AB12" s="205">
        <v>2.448</v>
      </c>
      <c r="AC12" s="407">
        <v>2.4529999999999998</v>
      </c>
      <c r="AD12" s="153">
        <f t="shared" si="8"/>
        <v>0.20424836601307561</v>
      </c>
      <c r="AE12" s="91" t="s">
        <v>19</v>
      </c>
    </row>
    <row r="13" spans="1:31" ht="12.75" customHeight="1" x14ac:dyDescent="0.2">
      <c r="A13" s="15"/>
      <c r="B13" s="17" t="s">
        <v>24</v>
      </c>
      <c r="C13" s="207">
        <v>113</v>
      </c>
      <c r="D13" s="207">
        <v>121.3</v>
      </c>
      <c r="E13" s="207">
        <v>101.7</v>
      </c>
      <c r="F13" s="208">
        <v>82.2</v>
      </c>
      <c r="G13" s="208">
        <v>72.8</v>
      </c>
      <c r="H13" s="208">
        <v>65.599999999999994</v>
      </c>
      <c r="I13" s="208">
        <v>70.7</v>
      </c>
      <c r="J13" s="208">
        <v>70.5</v>
      </c>
      <c r="K13" s="208">
        <v>70</v>
      </c>
      <c r="L13" s="208">
        <v>73.900000000000006</v>
      </c>
      <c r="M13" s="208">
        <v>74.2</v>
      </c>
      <c r="N13" s="208">
        <v>76.822000000000003</v>
      </c>
      <c r="O13" s="208">
        <v>82.674999999999997</v>
      </c>
      <c r="P13" s="208">
        <v>81.042000000000002</v>
      </c>
      <c r="Q13" s="208">
        <v>81.058999999999997</v>
      </c>
      <c r="R13" s="208">
        <v>85.128</v>
      </c>
      <c r="S13" s="208">
        <v>91.921000000000006</v>
      </c>
      <c r="T13" s="208">
        <v>95.42</v>
      </c>
      <c r="U13" s="208">
        <v>107.00700000000001</v>
      </c>
      <c r="V13" s="208">
        <v>114.61499999999999</v>
      </c>
      <c r="W13" s="208">
        <v>115.652</v>
      </c>
      <c r="X13" s="208">
        <v>95.834000000000003</v>
      </c>
      <c r="Y13" s="208">
        <v>107.31699999999999</v>
      </c>
      <c r="Z13" s="208">
        <v>113.31699999999999</v>
      </c>
      <c r="AA13" s="208">
        <v>110.065</v>
      </c>
      <c r="AB13" s="208">
        <v>112.613</v>
      </c>
      <c r="AC13" s="239">
        <v>112.629</v>
      </c>
      <c r="AD13" s="152">
        <f t="shared" si="8"/>
        <v>1.4207951124660667E-2</v>
      </c>
      <c r="AE13" s="17" t="s">
        <v>24</v>
      </c>
    </row>
    <row r="14" spans="1:31" ht="12.75" customHeight="1" x14ac:dyDescent="0.2">
      <c r="A14" s="15"/>
      <c r="B14" s="91" t="s">
        <v>9</v>
      </c>
      <c r="C14" s="209">
        <v>5.7</v>
      </c>
      <c r="D14" s="209">
        <v>6.5</v>
      </c>
      <c r="E14" s="209">
        <v>6.98</v>
      </c>
      <c r="F14" s="210">
        <v>6.5</v>
      </c>
      <c r="G14" s="210">
        <v>3.4</v>
      </c>
      <c r="H14" s="210">
        <v>4.2</v>
      </c>
      <c r="I14" s="210">
        <v>3.6</v>
      </c>
      <c r="J14" s="210">
        <v>3.8450000000000002</v>
      </c>
      <c r="K14" s="210">
        <v>4.1980000000000004</v>
      </c>
      <c r="L14" s="210">
        <v>5.1020000000000003</v>
      </c>
      <c r="M14" s="210">
        <v>6.0789999999999997</v>
      </c>
      <c r="N14" s="210">
        <v>7.2949999999999999</v>
      </c>
      <c r="O14" s="210">
        <v>8.1020000000000003</v>
      </c>
      <c r="P14" s="205">
        <v>8.5570000000000004</v>
      </c>
      <c r="Q14" s="211">
        <v>9.6969999999999992</v>
      </c>
      <c r="R14" s="205">
        <v>9.67</v>
      </c>
      <c r="S14" s="210">
        <v>10.488</v>
      </c>
      <c r="T14" s="210">
        <v>10.638999999999999</v>
      </c>
      <c r="U14" s="210">
        <v>10.417999999999999</v>
      </c>
      <c r="V14" s="210">
        <v>8.43</v>
      </c>
      <c r="W14" s="210">
        <v>5.9429999999999996</v>
      </c>
      <c r="X14" s="210">
        <v>5.9470000000000001</v>
      </c>
      <c r="Y14" s="210">
        <v>6.6379999999999999</v>
      </c>
      <c r="Z14" s="210">
        <v>6.2709999999999999</v>
      </c>
      <c r="AA14" s="210">
        <v>5.1289999999999996</v>
      </c>
      <c r="AB14" s="210">
        <v>4.7220000000000004</v>
      </c>
      <c r="AC14" s="264">
        <v>3.2559999999999998</v>
      </c>
      <c r="AD14" s="153">
        <f t="shared" si="8"/>
        <v>-31.046166878441355</v>
      </c>
      <c r="AE14" s="91" t="s">
        <v>9</v>
      </c>
    </row>
    <row r="15" spans="1:31" ht="12.75" customHeight="1" x14ac:dyDescent="0.2">
      <c r="A15" s="15"/>
      <c r="B15" s="17" t="s">
        <v>27</v>
      </c>
      <c r="C15" s="201">
        <v>0.54500000000000004</v>
      </c>
      <c r="D15" s="201">
        <v>0.63700000000000001</v>
      </c>
      <c r="E15" s="201">
        <v>0.58899999999999997</v>
      </c>
      <c r="F15" s="202">
        <v>0.60299999999999998</v>
      </c>
      <c r="G15" s="202">
        <v>0.63300000000000001</v>
      </c>
      <c r="H15" s="202">
        <v>0.57499999999999996</v>
      </c>
      <c r="I15" s="202">
        <v>0.56899999999999995</v>
      </c>
      <c r="J15" s="202">
        <v>0.60199999999999998</v>
      </c>
      <c r="K15" s="202">
        <v>0.56999999999999995</v>
      </c>
      <c r="L15" s="202">
        <v>0.52200000000000002</v>
      </c>
      <c r="M15" s="202">
        <v>0.46600000000000003</v>
      </c>
      <c r="N15" s="202">
        <v>0.52600000000000002</v>
      </c>
      <c r="O15" s="202">
        <v>0.49099999999999999</v>
      </c>
      <c r="P15" s="202">
        <v>0.51600000000000001</v>
      </c>
      <c r="Q15" s="202">
        <v>0.42599999999999999</v>
      </c>
      <c r="R15" s="202">
        <v>0.39800000000000002</v>
      </c>
      <c r="S15" s="202">
        <v>0.39900000000000002</v>
      </c>
      <c r="T15" s="202">
        <v>0.30299999999999999</v>
      </c>
      <c r="U15" s="202">
        <v>0.20499999999999999</v>
      </c>
      <c r="V15" s="202">
        <v>0.129</v>
      </c>
      <c r="W15" s="202">
        <v>0.10299999999999999</v>
      </c>
      <c r="X15" s="202">
        <v>7.9000000000000001E-2</v>
      </c>
      <c r="Y15" s="202">
        <v>9.1999999999999998E-2</v>
      </c>
      <c r="Z15" s="202">
        <v>0.105</v>
      </c>
      <c r="AA15" s="202">
        <v>9.0999999999999998E-2</v>
      </c>
      <c r="AB15" s="202">
        <v>9.9000000000000005E-2</v>
      </c>
      <c r="AC15" s="265">
        <v>0.1</v>
      </c>
      <c r="AD15" s="152">
        <f t="shared" si="8"/>
        <v>1.0101010101010104</v>
      </c>
      <c r="AE15" s="17" t="s">
        <v>27</v>
      </c>
    </row>
    <row r="16" spans="1:31" ht="12.75" customHeight="1" x14ac:dyDescent="0.2">
      <c r="A16" s="15"/>
      <c r="B16" s="91" t="s">
        <v>20</v>
      </c>
      <c r="C16" s="212">
        <v>0.68799999999999994</v>
      </c>
      <c r="D16" s="212">
        <v>0.81399999999999995</v>
      </c>
      <c r="E16" s="212">
        <v>0.60899999999999999</v>
      </c>
      <c r="F16" s="213">
        <v>0.56100000000000005</v>
      </c>
      <c r="G16" s="213">
        <v>0.52700000000000002</v>
      </c>
      <c r="H16" s="213">
        <v>0.503</v>
      </c>
      <c r="I16" s="213">
        <v>0.31</v>
      </c>
      <c r="J16" s="213">
        <v>0.29199999999999998</v>
      </c>
      <c r="K16" s="213">
        <v>0.33700000000000002</v>
      </c>
      <c r="L16" s="213">
        <v>0.317</v>
      </c>
      <c r="M16" s="213">
        <v>0.32600000000000001</v>
      </c>
      <c r="N16" s="213">
        <v>0.32600000000000001</v>
      </c>
      <c r="O16" s="213">
        <v>0.42699999999999999</v>
      </c>
      <c r="P16" s="213">
        <v>0.38</v>
      </c>
      <c r="Q16" s="213">
        <v>0.32700000000000001</v>
      </c>
      <c r="R16" s="205">
        <v>0.45600000000000002</v>
      </c>
      <c r="S16" s="213">
        <v>0.59199999999999997</v>
      </c>
      <c r="T16" s="213">
        <v>0.61299999999999999</v>
      </c>
      <c r="U16" s="213">
        <v>0.66200000000000003</v>
      </c>
      <c r="V16" s="205">
        <v>0.83499999999999996</v>
      </c>
      <c r="W16" s="205">
        <v>0.78600000000000003</v>
      </c>
      <c r="X16" s="205">
        <v>0.55200000000000005</v>
      </c>
      <c r="Y16" s="205">
        <v>0.61399999999999999</v>
      </c>
      <c r="Z16" s="205">
        <v>0.35199999999999998</v>
      </c>
      <c r="AA16" s="205">
        <v>0.28299999999999997</v>
      </c>
      <c r="AB16" s="205">
        <v>0.23699999999999999</v>
      </c>
      <c r="AC16" s="206">
        <v>0.311</v>
      </c>
      <c r="AD16" s="153">
        <f t="shared" si="8"/>
        <v>31.223628691983123</v>
      </c>
      <c r="AE16" s="91" t="s">
        <v>20</v>
      </c>
    </row>
    <row r="17" spans="1:31" ht="12.75" customHeight="1" x14ac:dyDescent="0.2">
      <c r="A17" s="15"/>
      <c r="B17" s="17" t="s">
        <v>25</v>
      </c>
      <c r="C17" s="214">
        <v>9.7409999999999997</v>
      </c>
      <c r="D17" s="214">
        <v>11.281000000000001</v>
      </c>
      <c r="E17" s="214">
        <v>11.153</v>
      </c>
      <c r="F17" s="215">
        <v>10.462</v>
      </c>
      <c r="G17" s="215">
        <v>9.2050000000000001</v>
      </c>
      <c r="H17" s="215">
        <v>7.8360000000000003</v>
      </c>
      <c r="I17" s="215">
        <v>9.0890000000000004</v>
      </c>
      <c r="J17" s="215">
        <v>10.955</v>
      </c>
      <c r="K17" s="215">
        <v>11.125</v>
      </c>
      <c r="L17" s="215">
        <v>12.510999999999999</v>
      </c>
      <c r="M17" s="215">
        <v>11.321999999999999</v>
      </c>
      <c r="N17" s="215">
        <v>11.487</v>
      </c>
      <c r="O17" s="215">
        <v>11.614000000000001</v>
      </c>
      <c r="P17" s="215">
        <v>11.717000000000001</v>
      </c>
      <c r="Q17" s="215">
        <v>11.569000000000001</v>
      </c>
      <c r="R17" s="215">
        <v>11.743</v>
      </c>
      <c r="S17" s="215">
        <v>12.436</v>
      </c>
      <c r="T17" s="215">
        <v>11.585000000000001</v>
      </c>
      <c r="U17" s="215">
        <v>11.541</v>
      </c>
      <c r="V17" s="215">
        <v>11.237</v>
      </c>
      <c r="W17" s="215">
        <v>10.971</v>
      </c>
      <c r="X17" s="215">
        <v>7.806</v>
      </c>
      <c r="Y17" s="215">
        <v>8.9130000000000003</v>
      </c>
      <c r="Z17" s="215">
        <v>9.4510000000000005</v>
      </c>
      <c r="AA17" s="215">
        <v>9.4580000000000002</v>
      </c>
      <c r="AB17" s="215">
        <v>9.3379999999999992</v>
      </c>
      <c r="AC17" s="216">
        <v>10.821</v>
      </c>
      <c r="AD17" s="152">
        <f t="shared" si="8"/>
        <v>15.881345041764831</v>
      </c>
      <c r="AE17" s="17" t="s">
        <v>25</v>
      </c>
    </row>
    <row r="18" spans="1:31" ht="12.75" customHeight="1" x14ac:dyDescent="0.2">
      <c r="A18" s="15"/>
      <c r="B18" s="91" t="s">
        <v>26</v>
      </c>
      <c r="C18" s="209">
        <v>67.585999999999999</v>
      </c>
      <c r="D18" s="209">
        <v>68.814999999999998</v>
      </c>
      <c r="E18" s="209">
        <v>52.24</v>
      </c>
      <c r="F18" s="210">
        <v>52.430011</v>
      </c>
      <c r="G18" s="210">
        <v>51.180591</v>
      </c>
      <c r="H18" s="210">
        <v>45.582509000000002</v>
      </c>
      <c r="I18" s="210">
        <v>48.871257999999997</v>
      </c>
      <c r="J18" s="210">
        <v>48.266067999999997</v>
      </c>
      <c r="K18" s="210">
        <v>50.113</v>
      </c>
      <c r="L18" s="210">
        <v>54.246000000000002</v>
      </c>
      <c r="M18" s="210">
        <v>54.099525000000007</v>
      </c>
      <c r="N18" s="210">
        <v>54.53801500294</v>
      </c>
      <c r="O18" s="210">
        <v>57.72575464222399</v>
      </c>
      <c r="P18" s="210">
        <v>51.718302252257004</v>
      </c>
      <c r="Q18" s="210">
        <v>51.288192553031003</v>
      </c>
      <c r="R18" s="210">
        <v>48.057268754624005</v>
      </c>
      <c r="S18" s="210">
        <v>46.348370260433001</v>
      </c>
      <c r="T18" s="210">
        <v>40.701180450133002</v>
      </c>
      <c r="U18" s="210">
        <v>41.178920252945012</v>
      </c>
      <c r="V18" s="210">
        <v>42.622999999999998</v>
      </c>
      <c r="W18" s="210">
        <v>40.436</v>
      </c>
      <c r="X18" s="210">
        <v>32.130000000000003</v>
      </c>
      <c r="Y18" s="210">
        <v>29.965</v>
      </c>
      <c r="Z18" s="210">
        <v>34.201999999999998</v>
      </c>
      <c r="AA18" s="210">
        <v>32.552</v>
      </c>
      <c r="AB18" s="210">
        <v>32.01</v>
      </c>
      <c r="AC18" s="264">
        <v>32.216999999999999</v>
      </c>
      <c r="AD18" s="153">
        <f t="shared" si="8"/>
        <v>0.64667291471415922</v>
      </c>
      <c r="AE18" s="91" t="s">
        <v>26</v>
      </c>
    </row>
    <row r="19" spans="1:31" ht="12.75" customHeight="1" x14ac:dyDescent="0.2">
      <c r="A19" s="15"/>
      <c r="B19" s="17" t="s">
        <v>37</v>
      </c>
      <c r="C19" s="144"/>
      <c r="D19" s="144"/>
      <c r="E19" s="144" t="s">
        <v>35</v>
      </c>
      <c r="F19" s="59"/>
      <c r="G19" s="59"/>
      <c r="H19" s="59"/>
      <c r="I19" s="59"/>
      <c r="J19" s="59">
        <v>1.974</v>
      </c>
      <c r="K19" s="59">
        <v>1.7170000000000001</v>
      </c>
      <c r="L19" s="59">
        <v>1.7150000000000001</v>
      </c>
      <c r="M19" s="190">
        <v>1.831</v>
      </c>
      <c r="N19" s="59">
        <v>1.6850000000000001</v>
      </c>
      <c r="O19" s="59">
        <v>1.788</v>
      </c>
      <c r="P19" s="59">
        <v>2.0739999999999998</v>
      </c>
      <c r="Q19" s="59">
        <v>2.206</v>
      </c>
      <c r="R19" s="59">
        <v>2.4870000000000001</v>
      </c>
      <c r="S19" s="59">
        <v>2.4929999999999999</v>
      </c>
      <c r="T19" s="59">
        <v>2.835</v>
      </c>
      <c r="U19" s="59">
        <v>3.3050000000000002</v>
      </c>
      <c r="V19" s="59">
        <v>3.5739999999999998</v>
      </c>
      <c r="W19" s="59">
        <v>3.3119999999999998</v>
      </c>
      <c r="X19" s="59">
        <v>2.641</v>
      </c>
      <c r="Y19" s="59">
        <v>2.6179999999999999</v>
      </c>
      <c r="Z19" s="59">
        <v>2.4380000000000002</v>
      </c>
      <c r="AA19" s="59">
        <v>2.3319999999999999</v>
      </c>
      <c r="AB19" s="59">
        <v>2.0859999999999999</v>
      </c>
      <c r="AC19" s="217">
        <v>2.1190000000000002</v>
      </c>
      <c r="AD19" s="152">
        <f t="shared" si="8"/>
        <v>1.5819750719079764</v>
      </c>
      <c r="AE19" s="17" t="s">
        <v>37</v>
      </c>
    </row>
    <row r="20" spans="1:31" ht="12.75" customHeight="1" x14ac:dyDescent="0.2">
      <c r="A20" s="15"/>
      <c r="B20" s="91" t="s">
        <v>28</v>
      </c>
      <c r="C20" s="212">
        <v>18.068999999999999</v>
      </c>
      <c r="D20" s="212">
        <v>18.384</v>
      </c>
      <c r="E20" s="212">
        <v>19.361000000000001</v>
      </c>
      <c r="F20" s="213">
        <v>19.963000000000001</v>
      </c>
      <c r="G20" s="213">
        <v>19.266999999999999</v>
      </c>
      <c r="H20" s="213">
        <v>18.12</v>
      </c>
      <c r="I20" s="213">
        <v>20.425000000000001</v>
      </c>
      <c r="J20" s="213">
        <v>21.69</v>
      </c>
      <c r="K20" s="213">
        <v>21.033999999999999</v>
      </c>
      <c r="L20" s="213">
        <v>22.902999999999999</v>
      </c>
      <c r="M20" s="213">
        <v>22.454000000000001</v>
      </c>
      <c r="N20" s="213">
        <v>21.548999999999999</v>
      </c>
      <c r="O20" s="213">
        <v>22.817</v>
      </c>
      <c r="P20" s="213">
        <v>21.762</v>
      </c>
      <c r="Q20" s="205">
        <v>20.678999999999998</v>
      </c>
      <c r="R20" s="205">
        <v>20.298999999999999</v>
      </c>
      <c r="S20" s="205">
        <v>22.183</v>
      </c>
      <c r="T20" s="205">
        <v>22.760999999999999</v>
      </c>
      <c r="U20" s="205">
        <v>24.151</v>
      </c>
      <c r="V20" s="205">
        <v>25.285</v>
      </c>
      <c r="W20" s="205">
        <v>23.831</v>
      </c>
      <c r="X20" s="205">
        <v>17.791</v>
      </c>
      <c r="Y20" s="205">
        <v>18.616</v>
      </c>
      <c r="Z20" s="205">
        <v>19.786999999999999</v>
      </c>
      <c r="AA20" s="205">
        <v>20.244</v>
      </c>
      <c r="AB20" s="205">
        <v>19.036999999999999</v>
      </c>
      <c r="AC20" s="206">
        <v>20.071999999999999</v>
      </c>
      <c r="AD20" s="153">
        <f t="shared" si="8"/>
        <v>5.4367810054105234</v>
      </c>
      <c r="AE20" s="91" t="s">
        <v>28</v>
      </c>
    </row>
    <row r="21" spans="1:31" ht="12.75" customHeight="1" x14ac:dyDescent="0.2">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8" t="s">
        <v>36</v>
      </c>
      <c r="AC21" s="239" t="s">
        <v>36</v>
      </c>
      <c r="AD21" s="152" t="s">
        <v>36</v>
      </c>
      <c r="AE21" s="17" t="s">
        <v>7</v>
      </c>
    </row>
    <row r="22" spans="1:31" ht="12.75" customHeight="1" x14ac:dyDescent="0.2">
      <c r="A22" s="15"/>
      <c r="B22" s="91" t="s">
        <v>11</v>
      </c>
      <c r="C22" s="204">
        <v>15.52</v>
      </c>
      <c r="D22" s="204">
        <v>17.59</v>
      </c>
      <c r="E22" s="204">
        <v>18.54</v>
      </c>
      <c r="F22" s="205">
        <v>16.7</v>
      </c>
      <c r="G22" s="205">
        <v>10.119999999999999</v>
      </c>
      <c r="H22" s="205">
        <v>9.85</v>
      </c>
      <c r="I22" s="205">
        <v>9.52</v>
      </c>
      <c r="J22" s="205">
        <v>9.76</v>
      </c>
      <c r="K22" s="205">
        <v>12.413</v>
      </c>
      <c r="L22" s="205">
        <v>13.97</v>
      </c>
      <c r="M22" s="205">
        <v>12.996</v>
      </c>
      <c r="N22" s="205">
        <v>12.21</v>
      </c>
      <c r="O22" s="205">
        <v>13.31</v>
      </c>
      <c r="P22" s="205">
        <v>14.18</v>
      </c>
      <c r="Q22" s="205">
        <v>15.02</v>
      </c>
      <c r="R22" s="205">
        <v>17.954999999999998</v>
      </c>
      <c r="S22" s="205">
        <v>18.617999999999999</v>
      </c>
      <c r="T22" s="205">
        <v>19.779</v>
      </c>
      <c r="U22" s="205">
        <v>16.831</v>
      </c>
      <c r="V22" s="205">
        <v>18.312999999999999</v>
      </c>
      <c r="W22" s="205">
        <v>19.581</v>
      </c>
      <c r="X22" s="205">
        <v>18.725000000000001</v>
      </c>
      <c r="Y22" s="205">
        <v>17.178999999999998</v>
      </c>
      <c r="Z22" s="205">
        <v>21.41</v>
      </c>
      <c r="AA22" s="205">
        <v>21.867000000000001</v>
      </c>
      <c r="AB22" s="205">
        <v>19.532</v>
      </c>
      <c r="AC22" s="206">
        <v>19.440999999999999</v>
      </c>
      <c r="AD22" s="153">
        <f t="shared" si="8"/>
        <v>-0.465902109359007</v>
      </c>
      <c r="AE22" s="91" t="s">
        <v>11</v>
      </c>
    </row>
    <row r="23" spans="1:31" ht="12.75" customHeight="1" x14ac:dyDescent="0.2">
      <c r="A23" s="15"/>
      <c r="B23" s="17" t="s">
        <v>12</v>
      </c>
      <c r="C23" s="144">
        <v>13.57</v>
      </c>
      <c r="D23" s="144">
        <v>18.239999999999998</v>
      </c>
      <c r="E23" s="144">
        <v>19.260000000000002</v>
      </c>
      <c r="F23" s="59">
        <v>17.7</v>
      </c>
      <c r="G23" s="59">
        <v>11.34</v>
      </c>
      <c r="H23" s="59">
        <v>9.9</v>
      </c>
      <c r="I23" s="59">
        <v>8</v>
      </c>
      <c r="J23" s="59">
        <v>7.2</v>
      </c>
      <c r="K23" s="59">
        <v>8.1029999999999998</v>
      </c>
      <c r="L23" s="59">
        <v>8.6219999999999999</v>
      </c>
      <c r="M23" s="59">
        <v>8.2650000000000006</v>
      </c>
      <c r="N23" s="59">
        <v>7.8490000000000002</v>
      </c>
      <c r="O23" s="59">
        <v>8.9179999999999993</v>
      </c>
      <c r="P23" s="59">
        <v>7.7409999999999997</v>
      </c>
      <c r="Q23" s="59">
        <v>9.7669999999999995</v>
      </c>
      <c r="R23" s="59">
        <v>11.457000000000001</v>
      </c>
      <c r="S23" s="59">
        <v>11.637</v>
      </c>
      <c r="T23" s="59">
        <v>12.457000000000001</v>
      </c>
      <c r="U23" s="59">
        <v>12.896000000000001</v>
      </c>
      <c r="V23" s="59">
        <v>14.372999999999999</v>
      </c>
      <c r="W23" s="59">
        <v>14.747999999999999</v>
      </c>
      <c r="X23" s="59">
        <v>11.888</v>
      </c>
      <c r="Y23" s="59">
        <v>13.430999999999999</v>
      </c>
      <c r="Z23" s="59">
        <v>15.087999999999999</v>
      </c>
      <c r="AA23" s="59">
        <v>14.172000000000001</v>
      </c>
      <c r="AB23" s="59">
        <v>13.343999999999999</v>
      </c>
      <c r="AC23" s="217">
        <v>14.307</v>
      </c>
      <c r="AD23" s="152">
        <f t="shared" si="8"/>
        <v>7.2167266187050529</v>
      </c>
      <c r="AE23" s="17" t="s">
        <v>12</v>
      </c>
    </row>
    <row r="24" spans="1:31" ht="12.75" customHeight="1" x14ac:dyDescent="0.2">
      <c r="A24" s="15"/>
      <c r="B24" s="91" t="s">
        <v>29</v>
      </c>
      <c r="C24" s="204">
        <v>0.76300000000000001</v>
      </c>
      <c r="D24" s="204">
        <v>0.66500000000000004</v>
      </c>
      <c r="E24" s="204">
        <v>0.61499999999999999</v>
      </c>
      <c r="F24" s="205">
        <v>0.622</v>
      </c>
      <c r="G24" s="205">
        <v>0.59699999999999998</v>
      </c>
      <c r="H24" s="205">
        <v>0.60699999999999998</v>
      </c>
      <c r="I24" s="205">
        <v>0.64500000000000002</v>
      </c>
      <c r="J24" s="205">
        <v>0.52900000000000003</v>
      </c>
      <c r="K24" s="205">
        <v>0.53</v>
      </c>
      <c r="L24" s="205">
        <v>0.56599999999999995</v>
      </c>
      <c r="M24" s="205">
        <v>0.57399999999999995</v>
      </c>
      <c r="N24" s="205">
        <v>0.60799999999999998</v>
      </c>
      <c r="O24" s="205">
        <v>0.63200000000000001</v>
      </c>
      <c r="P24" s="205">
        <v>0.58499999999999996</v>
      </c>
      <c r="Q24" s="205">
        <v>0.55000000000000004</v>
      </c>
      <c r="R24" s="205">
        <v>0.52500000000000002</v>
      </c>
      <c r="S24" s="205">
        <v>0.55900000000000005</v>
      </c>
      <c r="T24" s="205">
        <v>0.39200000000000002</v>
      </c>
      <c r="U24" s="205">
        <v>0.441</v>
      </c>
      <c r="V24" s="205">
        <v>0.57399999999999995</v>
      </c>
      <c r="W24" s="205">
        <v>0.27900000000000003</v>
      </c>
      <c r="X24" s="205">
        <v>0.2</v>
      </c>
      <c r="Y24" s="205">
        <v>0.32300000000000001</v>
      </c>
      <c r="Z24" s="205">
        <v>0.28799999999999998</v>
      </c>
      <c r="AA24" s="210">
        <v>0.23100000000000001</v>
      </c>
      <c r="AB24" s="210">
        <v>0.218</v>
      </c>
      <c r="AC24" s="264">
        <v>0.20799999999999999</v>
      </c>
      <c r="AD24" s="247">
        <f t="shared" si="8"/>
        <v>-4.587155963302763</v>
      </c>
      <c r="AE24" s="91" t="s">
        <v>29</v>
      </c>
    </row>
    <row r="25" spans="1:31" ht="12.75" customHeight="1" x14ac:dyDescent="0.2">
      <c r="A25" s="15"/>
      <c r="B25" s="17" t="s">
        <v>10</v>
      </c>
      <c r="C25" s="207">
        <v>19.82</v>
      </c>
      <c r="D25" s="207">
        <v>24.4</v>
      </c>
      <c r="E25" s="207">
        <v>16.8</v>
      </c>
      <c r="F25" s="208">
        <v>11.9</v>
      </c>
      <c r="G25" s="208">
        <v>10</v>
      </c>
      <c r="H25" s="208">
        <v>7.7</v>
      </c>
      <c r="I25" s="208">
        <v>7.7</v>
      </c>
      <c r="J25" s="208">
        <v>8.4</v>
      </c>
      <c r="K25" s="208">
        <v>7.6</v>
      </c>
      <c r="L25" s="208">
        <v>8.1470000000000002</v>
      </c>
      <c r="M25" s="208">
        <v>8.15</v>
      </c>
      <c r="N25" s="208">
        <v>8.5</v>
      </c>
      <c r="O25" s="208">
        <v>8.8000000000000007</v>
      </c>
      <c r="P25" s="208">
        <v>7.7</v>
      </c>
      <c r="Q25" s="208">
        <v>7.8</v>
      </c>
      <c r="R25" s="208">
        <v>7.6139999999999999</v>
      </c>
      <c r="S25" s="208">
        <v>8.7490000000000006</v>
      </c>
      <c r="T25" s="208">
        <v>9.09</v>
      </c>
      <c r="U25" s="208">
        <v>10.167</v>
      </c>
      <c r="V25" s="208">
        <v>10.048</v>
      </c>
      <c r="W25" s="208">
        <v>9.8740000000000006</v>
      </c>
      <c r="X25" s="208">
        <v>7.673</v>
      </c>
      <c r="Y25" s="208">
        <v>8.8089999999999993</v>
      </c>
      <c r="Z25" s="208">
        <v>9.1180000000000003</v>
      </c>
      <c r="AA25" s="208">
        <v>9.23</v>
      </c>
      <c r="AB25" s="208">
        <v>9.7219999999999995</v>
      </c>
      <c r="AC25" s="239">
        <v>10.157999999999999</v>
      </c>
      <c r="AD25" s="152">
        <f t="shared" si="8"/>
        <v>4.4846739354042313</v>
      </c>
      <c r="AE25" s="17" t="s">
        <v>10</v>
      </c>
    </row>
    <row r="26" spans="1:31" ht="12.75" customHeight="1" x14ac:dyDescent="0.2">
      <c r="A26" s="15"/>
      <c r="B26" s="58" t="s">
        <v>13</v>
      </c>
      <c r="C26" s="212" t="s">
        <v>36</v>
      </c>
      <c r="D26" s="212" t="s">
        <v>36</v>
      </c>
      <c r="E26" s="212" t="s">
        <v>36</v>
      </c>
      <c r="F26" s="213" t="s">
        <v>36</v>
      </c>
      <c r="G26" s="213" t="s">
        <v>36</v>
      </c>
      <c r="H26" s="213" t="s">
        <v>36</v>
      </c>
      <c r="I26" s="213" t="s">
        <v>36</v>
      </c>
      <c r="J26" s="213" t="s">
        <v>36</v>
      </c>
      <c r="K26" s="213" t="s">
        <v>36</v>
      </c>
      <c r="L26" s="213" t="s">
        <v>36</v>
      </c>
      <c r="M26" s="213" t="s">
        <v>36</v>
      </c>
      <c r="N26" s="213" t="s">
        <v>36</v>
      </c>
      <c r="O26" s="213" t="s">
        <v>36</v>
      </c>
      <c r="P26" s="213" t="s">
        <v>36</v>
      </c>
      <c r="Q26" s="213" t="s">
        <v>36</v>
      </c>
      <c r="R26" s="213" t="s">
        <v>36</v>
      </c>
      <c r="S26" s="213" t="s">
        <v>36</v>
      </c>
      <c r="T26" s="213" t="s">
        <v>36</v>
      </c>
      <c r="U26" s="213" t="s">
        <v>36</v>
      </c>
      <c r="V26" s="213" t="s">
        <v>36</v>
      </c>
      <c r="W26" s="213" t="s">
        <v>36</v>
      </c>
      <c r="X26" s="213" t="s">
        <v>36</v>
      </c>
      <c r="Y26" s="213" t="s">
        <v>36</v>
      </c>
      <c r="Z26" s="213" t="s">
        <v>36</v>
      </c>
      <c r="AA26" s="213" t="s">
        <v>36</v>
      </c>
      <c r="AB26" s="213" t="s">
        <v>36</v>
      </c>
      <c r="AC26" s="252" t="s">
        <v>36</v>
      </c>
      <c r="AD26" s="247" t="s">
        <v>36</v>
      </c>
      <c r="AE26" s="58" t="s">
        <v>13</v>
      </c>
    </row>
    <row r="27" spans="1:31" ht="12.75" customHeight="1" x14ac:dyDescent="0.2">
      <c r="A27" s="15"/>
      <c r="B27" s="17" t="s">
        <v>21</v>
      </c>
      <c r="C27" s="144">
        <v>3.7149999999999999</v>
      </c>
      <c r="D27" s="144">
        <v>3.468</v>
      </c>
      <c r="E27" s="144">
        <v>3.07</v>
      </c>
      <c r="F27" s="59">
        <v>3.0379999999999998</v>
      </c>
      <c r="G27" s="59">
        <v>2.76</v>
      </c>
      <c r="H27" s="59">
        <v>2.68</v>
      </c>
      <c r="I27" s="59">
        <v>2.83</v>
      </c>
      <c r="J27" s="59">
        <v>3.1</v>
      </c>
      <c r="K27" s="59">
        <v>3.1230000000000002</v>
      </c>
      <c r="L27" s="59">
        <v>3.4060000000000001</v>
      </c>
      <c r="M27" s="59">
        <v>3.778</v>
      </c>
      <c r="N27" s="59">
        <v>3.988</v>
      </c>
      <c r="O27" s="59">
        <v>4.5220000000000002</v>
      </c>
      <c r="P27" s="59">
        <v>4.2930000000000001</v>
      </c>
      <c r="Q27" s="59">
        <v>4.024</v>
      </c>
      <c r="R27" s="59">
        <v>4.7050000000000001</v>
      </c>
      <c r="S27" s="59">
        <v>5.8310000000000004</v>
      </c>
      <c r="T27" s="59">
        <v>5.8650000000000002</v>
      </c>
      <c r="U27" s="59">
        <v>6.2889999999999997</v>
      </c>
      <c r="V27" s="59">
        <v>7.2160000000000002</v>
      </c>
      <c r="W27" s="59">
        <v>6.984</v>
      </c>
      <c r="X27" s="59">
        <v>5.5780000000000003</v>
      </c>
      <c r="Y27" s="59">
        <v>5.9249999999999998</v>
      </c>
      <c r="Z27" s="59">
        <v>6.3780000000000001</v>
      </c>
      <c r="AA27" s="208">
        <v>6.157</v>
      </c>
      <c r="AB27" s="208">
        <v>6.0780000000000003</v>
      </c>
      <c r="AC27" s="239">
        <v>6.1689999999999996</v>
      </c>
      <c r="AD27" s="152">
        <f t="shared" si="8"/>
        <v>1.497203027311599</v>
      </c>
      <c r="AE27" s="17" t="s">
        <v>21</v>
      </c>
    </row>
    <row r="28" spans="1:31" ht="12.75" customHeight="1" x14ac:dyDescent="0.2">
      <c r="A28" s="15"/>
      <c r="B28" s="91" t="s">
        <v>30</v>
      </c>
      <c r="C28" s="204">
        <v>9.8680000000000003</v>
      </c>
      <c r="D28" s="204">
        <v>11.002000000000001</v>
      </c>
      <c r="E28" s="204">
        <v>12.157999999999999</v>
      </c>
      <c r="F28" s="205">
        <v>12.321999999999999</v>
      </c>
      <c r="G28" s="205">
        <v>11.57</v>
      </c>
      <c r="H28" s="205">
        <v>11.24</v>
      </c>
      <c r="I28" s="205">
        <v>12.42</v>
      </c>
      <c r="J28" s="205">
        <v>13.2</v>
      </c>
      <c r="K28" s="205">
        <v>13.33</v>
      </c>
      <c r="L28" s="205">
        <v>14.199</v>
      </c>
      <c r="M28" s="205">
        <v>14.71</v>
      </c>
      <c r="N28" s="205">
        <v>15.04</v>
      </c>
      <c r="O28" s="213">
        <v>16.600000000000001</v>
      </c>
      <c r="P28" s="213">
        <v>16.893000000000001</v>
      </c>
      <c r="Q28" s="213">
        <v>17.13</v>
      </c>
      <c r="R28" s="213">
        <v>16.866</v>
      </c>
      <c r="S28" s="205">
        <v>18.757000000000001</v>
      </c>
      <c r="T28" s="205">
        <v>18.957000000000001</v>
      </c>
      <c r="U28" s="205">
        <v>20.98</v>
      </c>
      <c r="V28" s="205">
        <v>21.370999999999999</v>
      </c>
      <c r="W28" s="205">
        <v>21.914999999999999</v>
      </c>
      <c r="X28" s="205">
        <v>17.766999999999999</v>
      </c>
      <c r="Y28" s="205">
        <v>19.832999999999998</v>
      </c>
      <c r="Z28" s="205">
        <v>20.344999999999999</v>
      </c>
      <c r="AA28" s="210">
        <v>19.498999999999999</v>
      </c>
      <c r="AB28" s="210">
        <v>19.277999999999999</v>
      </c>
      <c r="AC28" s="264">
        <v>20.494</v>
      </c>
      <c r="AD28" s="153">
        <f t="shared" si="8"/>
        <v>6.3077082684925898</v>
      </c>
      <c r="AE28" s="91" t="s">
        <v>30</v>
      </c>
    </row>
    <row r="29" spans="1:31" ht="12.75" customHeight="1" x14ac:dyDescent="0.2">
      <c r="A29" s="15"/>
      <c r="B29" s="17" t="s">
        <v>14</v>
      </c>
      <c r="C29" s="195">
        <v>98</v>
      </c>
      <c r="D29" s="195">
        <v>132.4</v>
      </c>
      <c r="E29" s="195">
        <v>81.599999999999994</v>
      </c>
      <c r="F29" s="190">
        <v>65.2</v>
      </c>
      <c r="G29" s="190">
        <v>57.8</v>
      </c>
      <c r="H29" s="190">
        <v>63.2</v>
      </c>
      <c r="I29" s="190">
        <v>64.7</v>
      </c>
      <c r="J29" s="190">
        <v>68.2</v>
      </c>
      <c r="K29" s="190">
        <v>67.400000000000006</v>
      </c>
      <c r="L29" s="190">
        <v>67.7</v>
      </c>
      <c r="M29" s="190">
        <v>60.9</v>
      </c>
      <c r="N29" s="190">
        <v>55.1</v>
      </c>
      <c r="O29" s="190">
        <v>54</v>
      </c>
      <c r="P29" s="190">
        <v>47.7</v>
      </c>
      <c r="Q29" s="190">
        <v>46.6</v>
      </c>
      <c r="R29" s="190">
        <v>47.406999999999996</v>
      </c>
      <c r="S29" s="59">
        <v>52.332000000000001</v>
      </c>
      <c r="T29" s="59">
        <v>49.972000000000001</v>
      </c>
      <c r="U29" s="59">
        <v>53.622</v>
      </c>
      <c r="V29" s="59">
        <v>54.253</v>
      </c>
      <c r="W29" s="59">
        <v>52.042999999999999</v>
      </c>
      <c r="X29" s="59">
        <v>43.445</v>
      </c>
      <c r="Y29" s="59">
        <v>48.704999999999998</v>
      </c>
      <c r="Z29" s="59">
        <v>53.746000000000002</v>
      </c>
      <c r="AA29" s="208">
        <v>48.902999999999999</v>
      </c>
      <c r="AB29" s="208">
        <v>50.881</v>
      </c>
      <c r="AC29" s="239">
        <v>50.073</v>
      </c>
      <c r="AD29" s="152">
        <f t="shared" si="8"/>
        <v>-1.5880191033981248</v>
      </c>
      <c r="AE29" s="17" t="s">
        <v>14</v>
      </c>
    </row>
    <row r="30" spans="1:31" ht="12.75" customHeight="1" x14ac:dyDescent="0.2">
      <c r="A30" s="15"/>
      <c r="B30" s="91" t="s">
        <v>31</v>
      </c>
      <c r="C30" s="204">
        <v>0.77600000000000002</v>
      </c>
      <c r="D30" s="204">
        <v>1.0009999999999999</v>
      </c>
      <c r="E30" s="204">
        <v>1.4590000000000001</v>
      </c>
      <c r="F30" s="205">
        <v>1.66</v>
      </c>
      <c r="G30" s="205">
        <v>1.7669999999999999</v>
      </c>
      <c r="H30" s="205">
        <v>1.6659999999999999</v>
      </c>
      <c r="I30" s="205">
        <v>1.635</v>
      </c>
      <c r="J30" s="205">
        <v>2.0190000000000001</v>
      </c>
      <c r="K30" s="205">
        <v>1.857</v>
      </c>
      <c r="L30" s="205">
        <v>2.2469999999999999</v>
      </c>
      <c r="M30" s="205">
        <v>2.048</v>
      </c>
      <c r="N30" s="205">
        <v>2.1789999999999998</v>
      </c>
      <c r="O30" s="205">
        <v>2.1829999999999998</v>
      </c>
      <c r="P30" s="205">
        <v>2.1379999999999999</v>
      </c>
      <c r="Q30" s="205">
        <v>2.1930000000000001</v>
      </c>
      <c r="R30" s="205">
        <v>2.073</v>
      </c>
      <c r="S30" s="205">
        <v>2.282</v>
      </c>
      <c r="T30" s="205">
        <v>2.4220000000000002</v>
      </c>
      <c r="U30" s="205">
        <v>2.4300000000000002</v>
      </c>
      <c r="V30" s="205">
        <v>2.5859999999999999</v>
      </c>
      <c r="W30" s="205">
        <v>2.5489999999999999</v>
      </c>
      <c r="X30" s="205">
        <v>2.1739999999999999</v>
      </c>
      <c r="Y30" s="205">
        <v>2.3130000000000002</v>
      </c>
      <c r="Z30" s="205">
        <v>2.3220000000000001</v>
      </c>
      <c r="AA30" s="210">
        <v>2.4209999999999998</v>
      </c>
      <c r="AB30" s="210">
        <v>2.29</v>
      </c>
      <c r="AC30" s="264">
        <v>2.4340000000000002</v>
      </c>
      <c r="AD30" s="153">
        <f t="shared" si="8"/>
        <v>6.2882096069869107</v>
      </c>
      <c r="AE30" s="91" t="s">
        <v>31</v>
      </c>
    </row>
    <row r="31" spans="1:31" ht="12.75" customHeight="1" x14ac:dyDescent="0.2">
      <c r="A31" s="15"/>
      <c r="B31" s="17" t="s">
        <v>15</v>
      </c>
      <c r="C31" s="214">
        <v>43.1</v>
      </c>
      <c r="D31" s="214">
        <v>64.8</v>
      </c>
      <c r="E31" s="214">
        <v>48.911999999999999</v>
      </c>
      <c r="F31" s="215">
        <v>32.561</v>
      </c>
      <c r="G31" s="215">
        <v>24.387</v>
      </c>
      <c r="H31" s="215">
        <v>22.045999999999999</v>
      </c>
      <c r="I31" s="215">
        <v>21.745999999999999</v>
      </c>
      <c r="J31" s="215">
        <v>17.907</v>
      </c>
      <c r="K31" s="215">
        <v>24.254000000000001</v>
      </c>
      <c r="L31" s="215">
        <v>22.111000000000001</v>
      </c>
      <c r="M31" s="215">
        <v>16.619</v>
      </c>
      <c r="N31" s="215">
        <v>14.679</v>
      </c>
      <c r="O31" s="222">
        <v>16.353999999999999</v>
      </c>
      <c r="P31" s="215">
        <v>16.102</v>
      </c>
      <c r="Q31" s="215">
        <v>15.218</v>
      </c>
      <c r="R31" s="215">
        <v>15.039</v>
      </c>
      <c r="S31" s="215">
        <v>17.021999999999998</v>
      </c>
      <c r="T31" s="215">
        <v>16.582000000000001</v>
      </c>
      <c r="U31" s="215">
        <v>15.791</v>
      </c>
      <c r="V31" s="215">
        <v>15.757</v>
      </c>
      <c r="W31" s="215">
        <v>15.236000000000001</v>
      </c>
      <c r="X31" s="215">
        <v>11.087999999999999</v>
      </c>
      <c r="Y31" s="215">
        <v>12.375</v>
      </c>
      <c r="Z31" s="215">
        <v>14.718999999999999</v>
      </c>
      <c r="AA31" s="202">
        <v>13.472</v>
      </c>
      <c r="AB31" s="202">
        <v>12.941000000000001</v>
      </c>
      <c r="AC31" s="265">
        <v>12.263999999999999</v>
      </c>
      <c r="AD31" s="152">
        <f t="shared" si="8"/>
        <v>-5.2314349741132844</v>
      </c>
      <c r="AE31" s="17" t="s">
        <v>15</v>
      </c>
    </row>
    <row r="32" spans="1:31" ht="12.75" customHeight="1" x14ac:dyDescent="0.2">
      <c r="A32" s="15"/>
      <c r="B32" s="91" t="s">
        <v>17</v>
      </c>
      <c r="C32" s="204">
        <v>3.3</v>
      </c>
      <c r="D32" s="204">
        <v>3.8</v>
      </c>
      <c r="E32" s="204">
        <v>4.21</v>
      </c>
      <c r="F32" s="205">
        <v>3.2</v>
      </c>
      <c r="G32" s="205">
        <v>2.57</v>
      </c>
      <c r="H32" s="205">
        <v>2.2599999999999998</v>
      </c>
      <c r="I32" s="205">
        <v>2.5</v>
      </c>
      <c r="J32" s="205">
        <v>3.0760000000000001</v>
      </c>
      <c r="K32" s="205">
        <v>2.5499999999999998</v>
      </c>
      <c r="L32" s="205">
        <v>2.9</v>
      </c>
      <c r="M32" s="205">
        <v>2.9</v>
      </c>
      <c r="N32" s="205">
        <v>2.7839999999999998</v>
      </c>
      <c r="O32" s="205">
        <v>2.8570000000000002</v>
      </c>
      <c r="P32" s="205">
        <v>2.8370000000000002</v>
      </c>
      <c r="Q32" s="205">
        <v>3.0779999999999998</v>
      </c>
      <c r="R32" s="205">
        <v>3.0179999999999998</v>
      </c>
      <c r="S32" s="205">
        <v>3.149</v>
      </c>
      <c r="T32" s="205">
        <v>3.2450000000000001</v>
      </c>
      <c r="U32" s="205">
        <v>3.3730000000000002</v>
      </c>
      <c r="V32" s="205">
        <v>3.6030000000000002</v>
      </c>
      <c r="W32" s="205">
        <v>3.52</v>
      </c>
      <c r="X32" s="205">
        <v>2.8170000000000002</v>
      </c>
      <c r="Y32" s="205">
        <v>3.4209999999999998</v>
      </c>
      <c r="Z32" s="205">
        <v>3.7519999999999998</v>
      </c>
      <c r="AA32" s="210">
        <v>3.47</v>
      </c>
      <c r="AB32" s="210">
        <v>3.7989999999999999</v>
      </c>
      <c r="AC32" s="264">
        <v>4.1100000000000003</v>
      </c>
      <c r="AD32" s="153">
        <f t="shared" si="8"/>
        <v>8.1863648328507566</v>
      </c>
      <c r="AE32" s="91" t="s">
        <v>17</v>
      </c>
    </row>
    <row r="33" spans="1:32" ht="12.75" customHeight="1" x14ac:dyDescent="0.2">
      <c r="A33" s="15"/>
      <c r="B33" s="17" t="s">
        <v>16</v>
      </c>
      <c r="C33" s="214"/>
      <c r="D33" s="214"/>
      <c r="E33" s="214"/>
      <c r="F33" s="215"/>
      <c r="G33" s="215"/>
      <c r="H33" s="215">
        <v>14.2</v>
      </c>
      <c r="I33" s="215">
        <v>12.2</v>
      </c>
      <c r="J33" s="215">
        <v>13.8</v>
      </c>
      <c r="K33" s="215">
        <v>12</v>
      </c>
      <c r="L33" s="215">
        <v>12.368</v>
      </c>
      <c r="M33" s="215">
        <v>11.753</v>
      </c>
      <c r="N33" s="215">
        <v>9.859</v>
      </c>
      <c r="O33" s="215">
        <v>11.233000000000001</v>
      </c>
      <c r="P33" s="215">
        <v>10.93</v>
      </c>
      <c r="Q33" s="215">
        <v>10.38</v>
      </c>
      <c r="R33" s="215">
        <v>10.113</v>
      </c>
      <c r="S33" s="215">
        <v>9.702</v>
      </c>
      <c r="T33" s="215">
        <v>9.4629999999999992</v>
      </c>
      <c r="U33" s="215">
        <v>9.9879999999999995</v>
      </c>
      <c r="V33" s="215">
        <v>9.6470000000000002</v>
      </c>
      <c r="W33" s="215">
        <v>9.2989999999999995</v>
      </c>
      <c r="X33" s="215">
        <v>6.9640000000000004</v>
      </c>
      <c r="Y33" s="215">
        <v>8.1050000000000004</v>
      </c>
      <c r="Z33" s="215">
        <v>7.96</v>
      </c>
      <c r="AA33" s="202">
        <v>7.5910000000000002</v>
      </c>
      <c r="AB33" s="202">
        <v>8.4939999999999998</v>
      </c>
      <c r="AC33" s="265">
        <v>8.8290000000000006</v>
      </c>
      <c r="AD33" s="152">
        <f t="shared" si="8"/>
        <v>3.9439604426654284</v>
      </c>
      <c r="AE33" s="17" t="s">
        <v>16</v>
      </c>
    </row>
    <row r="34" spans="1:32" ht="12.75" customHeight="1" x14ac:dyDescent="0.2">
      <c r="A34" s="15"/>
      <c r="B34" s="91" t="s">
        <v>32</v>
      </c>
      <c r="C34" s="204">
        <v>6.27</v>
      </c>
      <c r="D34" s="204">
        <v>8.3350000000000009</v>
      </c>
      <c r="E34" s="204">
        <v>8.3569999999999993</v>
      </c>
      <c r="F34" s="205">
        <v>7.63</v>
      </c>
      <c r="G34" s="205">
        <v>7.8479999999999999</v>
      </c>
      <c r="H34" s="205">
        <v>9.26</v>
      </c>
      <c r="I34" s="205">
        <v>9.9480000000000004</v>
      </c>
      <c r="J34" s="205">
        <v>9.6</v>
      </c>
      <c r="K34" s="205">
        <v>8.8059999999999992</v>
      </c>
      <c r="L34" s="205">
        <v>9.8559999999999999</v>
      </c>
      <c r="M34" s="205">
        <v>9.8849999999999998</v>
      </c>
      <c r="N34" s="205">
        <v>9.7530000000000001</v>
      </c>
      <c r="O34" s="205">
        <v>10.106999999999999</v>
      </c>
      <c r="P34" s="205">
        <v>9.8569999999999993</v>
      </c>
      <c r="Q34" s="205">
        <v>9.6639999999999997</v>
      </c>
      <c r="R34" s="205">
        <v>10.047000000000001</v>
      </c>
      <c r="S34" s="205">
        <v>10.105</v>
      </c>
      <c r="T34" s="205">
        <v>9.7059999999999995</v>
      </c>
      <c r="U34" s="205">
        <v>11.06</v>
      </c>
      <c r="V34" s="205">
        <v>10.433999999999999</v>
      </c>
      <c r="W34" s="205">
        <v>10.776999999999999</v>
      </c>
      <c r="X34" s="205">
        <v>8.8719999999999999</v>
      </c>
      <c r="Y34" s="205">
        <v>9.75</v>
      </c>
      <c r="Z34" s="205">
        <v>9.3949999999999996</v>
      </c>
      <c r="AA34" s="210">
        <v>9.2750000000000004</v>
      </c>
      <c r="AB34" s="210">
        <v>9.4700000000000006</v>
      </c>
      <c r="AC34" s="264">
        <v>9.5969999999999995</v>
      </c>
      <c r="AD34" s="153">
        <f t="shared" si="8"/>
        <v>1.3410770855332572</v>
      </c>
      <c r="AE34" s="91" t="s">
        <v>32</v>
      </c>
    </row>
    <row r="35" spans="1:32" ht="12.75" customHeight="1" x14ac:dyDescent="0.2">
      <c r="A35" s="15"/>
      <c r="B35" s="17" t="s">
        <v>33</v>
      </c>
      <c r="C35" s="214">
        <v>17.311</v>
      </c>
      <c r="D35" s="214">
        <v>16.648</v>
      </c>
      <c r="E35" s="214">
        <v>19.100000000000001</v>
      </c>
      <c r="F35" s="215">
        <v>18.815999999999999</v>
      </c>
      <c r="G35" s="215">
        <v>19.202000000000002</v>
      </c>
      <c r="H35" s="215">
        <v>18.577999999999999</v>
      </c>
      <c r="I35" s="215">
        <v>19.068999999999999</v>
      </c>
      <c r="J35" s="215">
        <v>19.390999999999998</v>
      </c>
      <c r="K35" s="215">
        <v>18.846</v>
      </c>
      <c r="L35" s="215">
        <v>19.181000000000001</v>
      </c>
      <c r="M35" s="215">
        <v>19.163</v>
      </c>
      <c r="N35" s="215">
        <v>19.09</v>
      </c>
      <c r="O35" s="215">
        <v>19.475000000000001</v>
      </c>
      <c r="P35" s="215">
        <v>18.954000000000001</v>
      </c>
      <c r="Q35" s="215">
        <v>19.196999999999999</v>
      </c>
      <c r="R35" s="215">
        <v>20.170000000000002</v>
      </c>
      <c r="S35" s="215">
        <v>20.856000000000002</v>
      </c>
      <c r="T35" s="215">
        <v>21.675000000000001</v>
      </c>
      <c r="U35" s="215">
        <v>22.271000000000001</v>
      </c>
      <c r="V35" s="215">
        <v>23.25</v>
      </c>
      <c r="W35" s="215">
        <v>22.923999999999999</v>
      </c>
      <c r="X35" s="215">
        <v>20.388999999999999</v>
      </c>
      <c r="Y35" s="215">
        <v>23.463999999999999</v>
      </c>
      <c r="Z35" s="215">
        <v>22.864000000000001</v>
      </c>
      <c r="AA35" s="202">
        <v>22.042999999999999</v>
      </c>
      <c r="AB35" s="202">
        <v>20.97</v>
      </c>
      <c r="AC35" s="265">
        <v>21.295999999999999</v>
      </c>
      <c r="AD35" s="152">
        <f t="shared" si="8"/>
        <v>1.5546018121125513</v>
      </c>
      <c r="AE35" s="17" t="s">
        <v>33</v>
      </c>
    </row>
    <row r="36" spans="1:32" ht="12.75" customHeight="1" x14ac:dyDescent="0.2">
      <c r="A36" s="15"/>
      <c r="B36" s="94" t="s">
        <v>22</v>
      </c>
      <c r="C36" s="218">
        <v>24.55</v>
      </c>
      <c r="D36" s="218">
        <v>17.815999999999999</v>
      </c>
      <c r="E36" s="218">
        <v>16</v>
      </c>
      <c r="F36" s="219">
        <v>15.3</v>
      </c>
      <c r="G36" s="219">
        <v>15.5</v>
      </c>
      <c r="H36" s="219">
        <v>13.8</v>
      </c>
      <c r="I36" s="219">
        <v>13</v>
      </c>
      <c r="J36" s="219">
        <v>13.3</v>
      </c>
      <c r="K36" s="219">
        <v>15.1</v>
      </c>
      <c r="L36" s="219">
        <v>16.899999999999999</v>
      </c>
      <c r="M36" s="219">
        <v>17.3</v>
      </c>
      <c r="N36" s="219">
        <v>18.2</v>
      </c>
      <c r="O36" s="219">
        <v>18.100000000000001</v>
      </c>
      <c r="P36" s="219">
        <v>19.399999999999999</v>
      </c>
      <c r="Q36" s="219">
        <v>18.5</v>
      </c>
      <c r="R36" s="219">
        <v>18.734000000000002</v>
      </c>
      <c r="S36" s="219">
        <v>22.552</v>
      </c>
      <c r="T36" s="219">
        <v>21.427</v>
      </c>
      <c r="U36" s="219">
        <v>21.919</v>
      </c>
      <c r="V36" s="219">
        <v>21.265000000000001</v>
      </c>
      <c r="W36" s="219">
        <v>21.077000000000002</v>
      </c>
      <c r="X36" s="219">
        <v>19.170999999999999</v>
      </c>
      <c r="Y36" s="219">
        <v>18.576000000000001</v>
      </c>
      <c r="Z36" s="263">
        <v>20.974</v>
      </c>
      <c r="AA36" s="263">
        <v>21.443999999999999</v>
      </c>
      <c r="AB36" s="263">
        <v>22.401</v>
      </c>
      <c r="AC36" s="246">
        <v>22.143000000000001</v>
      </c>
      <c r="AD36" s="154">
        <f t="shared" si="8"/>
        <v>-1.1517342975759988</v>
      </c>
      <c r="AE36" s="94" t="s">
        <v>22</v>
      </c>
    </row>
    <row r="37" spans="1:32" ht="12.75" customHeight="1" x14ac:dyDescent="0.2">
      <c r="A37" s="15"/>
      <c r="B37" s="17" t="s">
        <v>123</v>
      </c>
      <c r="C37" s="144">
        <v>0.16</v>
      </c>
      <c r="D37" s="328">
        <v>0.47699999999999998</v>
      </c>
      <c r="E37" s="328">
        <v>0.58399999999999996</v>
      </c>
      <c r="F37" s="220">
        <v>0.27800000000000002</v>
      </c>
      <c r="G37" s="330">
        <v>0.06</v>
      </c>
      <c r="H37" s="220">
        <v>5.3999999999999999E-2</v>
      </c>
      <c r="I37" s="220">
        <v>5.2999999999999999E-2</v>
      </c>
      <c r="J37" s="220">
        <v>5.2999999999999999E-2</v>
      </c>
      <c r="K37" s="59">
        <v>4.2000000000000003E-2</v>
      </c>
      <c r="L37" s="59">
        <v>2.3E-2</v>
      </c>
      <c r="M37" s="59">
        <v>2.5000000000000001E-2</v>
      </c>
      <c r="N37" s="59">
        <v>2.5999999999999999E-2</v>
      </c>
      <c r="O37" s="59">
        <v>2.8000000000000001E-2</v>
      </c>
      <c r="P37" s="59">
        <v>1.9E-2</v>
      </c>
      <c r="Q37" s="59">
        <v>2.1000000000000001E-2</v>
      </c>
      <c r="R37" s="59">
        <v>3.2000000000000001E-2</v>
      </c>
      <c r="S37" s="59">
        <v>3.2000000000000001E-2</v>
      </c>
      <c r="T37" s="59">
        <v>2.5999999999999999E-2</v>
      </c>
      <c r="U37" s="59">
        <v>3.5999999999999997E-2</v>
      </c>
      <c r="V37" s="59">
        <v>5.2999999999999999E-2</v>
      </c>
      <c r="W37" s="59">
        <v>5.1999999999999998E-2</v>
      </c>
      <c r="X37" s="59">
        <v>4.5999999999999999E-2</v>
      </c>
      <c r="Y37" s="59">
        <v>6.6177E-2</v>
      </c>
      <c r="Z37" s="208">
        <v>5.0122E-2</v>
      </c>
      <c r="AA37" s="208">
        <v>2.5307E-2</v>
      </c>
      <c r="AB37" s="208">
        <v>2.2974999999999999E-2</v>
      </c>
      <c r="AC37" s="239">
        <v>3.9889000000000001E-2</v>
      </c>
      <c r="AD37" s="152">
        <f t="shared" si="8"/>
        <v>73.619151251360194</v>
      </c>
      <c r="AE37" s="17" t="s">
        <v>123</v>
      </c>
    </row>
    <row r="38" spans="1:32" ht="12.75" customHeight="1" x14ac:dyDescent="0.2">
      <c r="A38" s="15"/>
      <c r="B38" s="279" t="s">
        <v>113</v>
      </c>
      <c r="C38" s="280"/>
      <c r="D38" s="280"/>
      <c r="E38" s="281"/>
      <c r="F38" s="281"/>
      <c r="G38" s="281"/>
      <c r="H38" s="281"/>
      <c r="I38" s="281"/>
      <c r="J38" s="281"/>
      <c r="K38" s="281"/>
      <c r="L38" s="281"/>
      <c r="M38" s="281"/>
      <c r="N38" s="281"/>
      <c r="O38" s="281"/>
      <c r="P38" s="281"/>
      <c r="Q38" s="281"/>
      <c r="R38" s="281"/>
      <c r="S38" s="281"/>
      <c r="T38" s="281"/>
      <c r="U38" s="281"/>
      <c r="V38" s="281">
        <v>0.185</v>
      </c>
      <c r="W38" s="281">
        <v>0.183</v>
      </c>
      <c r="X38" s="281">
        <v>0.1</v>
      </c>
      <c r="Y38" s="281">
        <v>0.15</v>
      </c>
      <c r="Z38" s="281">
        <v>0.13600000000000001</v>
      </c>
      <c r="AA38" s="281">
        <v>7.2999999999999995E-2</v>
      </c>
      <c r="AB38" s="281">
        <v>0.105</v>
      </c>
      <c r="AC38" s="295">
        <v>9.4E-2</v>
      </c>
      <c r="AD38" s="332">
        <f t="shared" si="8"/>
        <v>-10.476190476190467</v>
      </c>
      <c r="AE38" s="279" t="s">
        <v>113</v>
      </c>
    </row>
    <row r="39" spans="1:32" ht="12.75" customHeight="1" x14ac:dyDescent="0.2">
      <c r="A39" s="15"/>
      <c r="B39" s="17" t="s">
        <v>3</v>
      </c>
      <c r="C39" s="106" t="s">
        <v>35</v>
      </c>
      <c r="D39" s="106" t="s">
        <v>35</v>
      </c>
      <c r="E39" s="59" t="s">
        <v>35</v>
      </c>
      <c r="F39" s="59"/>
      <c r="G39" s="59"/>
      <c r="H39" s="59"/>
      <c r="I39" s="59"/>
      <c r="J39" s="59"/>
      <c r="K39" s="59"/>
      <c r="L39" s="59"/>
      <c r="M39" s="59"/>
      <c r="N39" s="59"/>
      <c r="O39" s="59">
        <v>0.5</v>
      </c>
      <c r="P39" s="59">
        <v>0.46200000000000002</v>
      </c>
      <c r="Q39" s="59">
        <v>0.33400000000000002</v>
      </c>
      <c r="R39" s="59">
        <v>0.373</v>
      </c>
      <c r="S39" s="59">
        <v>0.42599999999999999</v>
      </c>
      <c r="T39" s="59">
        <v>0.53100000000000003</v>
      </c>
      <c r="U39" s="59">
        <v>0.61399999999999999</v>
      </c>
      <c r="V39" s="59">
        <v>0.77800000000000002</v>
      </c>
      <c r="W39" s="59">
        <v>0.74299999999999999</v>
      </c>
      <c r="X39" s="59">
        <v>0.497</v>
      </c>
      <c r="Y39" s="59">
        <v>0.52500000000000002</v>
      </c>
      <c r="Z39" s="59">
        <v>0.47899999999999998</v>
      </c>
      <c r="AA39" s="59">
        <v>0.42299999999999999</v>
      </c>
      <c r="AB39" s="59">
        <v>0.42099999999999999</v>
      </c>
      <c r="AC39" s="217">
        <v>0.41099999999999998</v>
      </c>
      <c r="AD39" s="152">
        <f t="shared" si="8"/>
        <v>-2.3752969121140097</v>
      </c>
      <c r="AE39" s="17" t="s">
        <v>3</v>
      </c>
    </row>
    <row r="40" spans="1:32" ht="12.75" customHeight="1" x14ac:dyDescent="0.2">
      <c r="A40" s="15"/>
      <c r="B40" s="279" t="s">
        <v>114</v>
      </c>
      <c r="C40" s="280"/>
      <c r="D40" s="280"/>
      <c r="E40" s="281"/>
      <c r="F40" s="281"/>
      <c r="G40" s="281"/>
      <c r="H40" s="281"/>
      <c r="I40" s="281"/>
      <c r="J40" s="281"/>
      <c r="K40" s="281"/>
      <c r="L40" s="281"/>
      <c r="M40" s="281"/>
      <c r="N40" s="281"/>
      <c r="O40" s="281"/>
      <c r="P40" s="281"/>
      <c r="Q40" s="281"/>
      <c r="R40" s="281"/>
      <c r="S40" s="281"/>
      <c r="T40" s="281"/>
      <c r="U40" s="281"/>
      <c r="V40" s="281"/>
      <c r="W40" s="281">
        <v>4.3390000000000004</v>
      </c>
      <c r="X40" s="281">
        <v>2.9670000000000001</v>
      </c>
      <c r="Y40" s="281">
        <v>3.5219999999999998</v>
      </c>
      <c r="Z40" s="281">
        <v>3.6110000000000002</v>
      </c>
      <c r="AA40" s="281">
        <v>2.7690000000000001</v>
      </c>
      <c r="AB40" s="281">
        <v>3.0219999999999998</v>
      </c>
      <c r="AC40" s="295">
        <v>2.988</v>
      </c>
      <c r="AD40" s="332">
        <f t="shared" si="8"/>
        <v>-1.1250827266710672</v>
      </c>
      <c r="AE40" s="279" t="s">
        <v>114</v>
      </c>
    </row>
    <row r="41" spans="1:32" ht="12.75" customHeight="1" x14ac:dyDescent="0.2">
      <c r="A41" s="15"/>
      <c r="B41" s="18" t="s">
        <v>18</v>
      </c>
      <c r="C41" s="108">
        <v>5.5</v>
      </c>
      <c r="D41" s="108">
        <v>5</v>
      </c>
      <c r="E41" s="60">
        <v>7.8940000000000001</v>
      </c>
      <c r="F41" s="60">
        <v>7.9770000000000003</v>
      </c>
      <c r="G41" s="60">
        <v>8.2309999999999999</v>
      </c>
      <c r="H41" s="60">
        <v>8.3960000000000008</v>
      </c>
      <c r="I41" s="60">
        <v>8.2029999999999994</v>
      </c>
      <c r="J41" s="60">
        <v>8.5060000000000002</v>
      </c>
      <c r="K41" s="60">
        <v>8.9039999999999999</v>
      </c>
      <c r="L41" s="60">
        <v>9.6059999999999999</v>
      </c>
      <c r="M41" s="60">
        <v>8.3689999999999998</v>
      </c>
      <c r="N41" s="60">
        <v>8.23</v>
      </c>
      <c r="O41" s="60">
        <v>9.7569999999999997</v>
      </c>
      <c r="P41" s="60">
        <v>7.4829999999999997</v>
      </c>
      <c r="Q41" s="60">
        <v>7.1760000000000002</v>
      </c>
      <c r="R41" s="60">
        <v>8.6120000000000001</v>
      </c>
      <c r="S41" s="60">
        <v>9.3320000000000007</v>
      </c>
      <c r="T41" s="60">
        <v>9.077</v>
      </c>
      <c r="U41" s="60">
        <v>9.5440000000000005</v>
      </c>
      <c r="V41" s="60">
        <v>9.7550000000000008</v>
      </c>
      <c r="W41" s="60">
        <v>10.552</v>
      </c>
      <c r="X41" s="60">
        <v>10.163</v>
      </c>
      <c r="Y41" s="60">
        <v>11.3</v>
      </c>
      <c r="Z41" s="60">
        <v>11.303000000000001</v>
      </c>
      <c r="AA41" s="60">
        <v>11.223000000000001</v>
      </c>
      <c r="AB41" s="60">
        <v>10.75</v>
      </c>
      <c r="AC41" s="221">
        <v>11.601000000000001</v>
      </c>
      <c r="AD41" s="333">
        <f t="shared" si="8"/>
        <v>7.916279069767441</v>
      </c>
      <c r="AE41" s="18" t="s">
        <v>18</v>
      </c>
    </row>
    <row r="42" spans="1:32" ht="12.75" customHeight="1" x14ac:dyDescent="0.2">
      <c r="A42" s="15"/>
      <c r="B42" s="279" t="s">
        <v>4</v>
      </c>
      <c r="C42" s="280" t="s">
        <v>36</v>
      </c>
      <c r="D42" s="280" t="s">
        <v>36</v>
      </c>
      <c r="E42" s="299" t="s">
        <v>36</v>
      </c>
      <c r="F42" s="299" t="s">
        <v>36</v>
      </c>
      <c r="G42" s="299" t="s">
        <v>36</v>
      </c>
      <c r="H42" s="299" t="s">
        <v>36</v>
      </c>
      <c r="I42" s="299" t="s">
        <v>36</v>
      </c>
      <c r="J42" s="299" t="s">
        <v>36</v>
      </c>
      <c r="K42" s="299" t="s">
        <v>36</v>
      </c>
      <c r="L42" s="299" t="s">
        <v>36</v>
      </c>
      <c r="M42" s="299" t="s">
        <v>36</v>
      </c>
      <c r="N42" s="299" t="s">
        <v>36</v>
      </c>
      <c r="O42" s="299" t="s">
        <v>36</v>
      </c>
      <c r="P42" s="300" t="s">
        <v>36</v>
      </c>
      <c r="Q42" s="300" t="s">
        <v>36</v>
      </c>
      <c r="R42" s="300" t="s">
        <v>36</v>
      </c>
      <c r="S42" s="300" t="s">
        <v>36</v>
      </c>
      <c r="T42" s="300" t="s">
        <v>36</v>
      </c>
      <c r="U42" s="300" t="s">
        <v>36</v>
      </c>
      <c r="V42" s="300" t="s">
        <v>36</v>
      </c>
      <c r="W42" s="300" t="s">
        <v>36</v>
      </c>
      <c r="X42" s="300" t="s">
        <v>36</v>
      </c>
      <c r="Y42" s="300" t="s">
        <v>36</v>
      </c>
      <c r="Z42" s="306" t="s">
        <v>36</v>
      </c>
      <c r="AA42" s="306" t="s">
        <v>36</v>
      </c>
      <c r="AB42" s="306" t="s">
        <v>36</v>
      </c>
      <c r="AC42" s="307" t="s">
        <v>36</v>
      </c>
      <c r="AD42" s="355" t="s">
        <v>36</v>
      </c>
      <c r="AE42" s="297" t="s">
        <v>4</v>
      </c>
    </row>
    <row r="43" spans="1:32" ht="12.75" customHeight="1" x14ac:dyDescent="0.2">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2.6269999999999998</v>
      </c>
      <c r="S43" s="59">
        <v>2.8450000000000002</v>
      </c>
      <c r="T43" s="59">
        <v>3.149</v>
      </c>
      <c r="U43" s="59">
        <v>3.351</v>
      </c>
      <c r="V43" s="59">
        <v>3.5019999999999998</v>
      </c>
      <c r="W43" s="59">
        <v>3.621</v>
      </c>
      <c r="X43" s="59">
        <v>3.6659999999999999</v>
      </c>
      <c r="Y43" s="59">
        <v>3.496</v>
      </c>
      <c r="Z43" s="59">
        <v>3.5739999999999998</v>
      </c>
      <c r="AA43" s="59">
        <v>3.4889999999999999</v>
      </c>
      <c r="AB43" s="59">
        <v>3.383</v>
      </c>
      <c r="AC43" s="217">
        <v>3.5390000000000001</v>
      </c>
      <c r="AD43" s="152">
        <f t="shared" si="8"/>
        <v>4.6112917528820674</v>
      </c>
      <c r="AE43" s="17" t="s">
        <v>34</v>
      </c>
    </row>
    <row r="44" spans="1:32" ht="12.75" customHeight="1" x14ac:dyDescent="0.2">
      <c r="A44" s="15"/>
      <c r="B44" s="325" t="s">
        <v>5</v>
      </c>
      <c r="C44" s="326">
        <v>6.9</v>
      </c>
      <c r="D44" s="326">
        <v>7.8</v>
      </c>
      <c r="E44" s="284">
        <v>9.0449999999999999</v>
      </c>
      <c r="F44" s="284">
        <v>8.9169999999999998</v>
      </c>
      <c r="G44" s="284">
        <v>8.4580000000000002</v>
      </c>
      <c r="H44" s="284">
        <v>8.0510000000000002</v>
      </c>
      <c r="I44" s="284">
        <v>8.8190000000000008</v>
      </c>
      <c r="J44" s="284">
        <v>8.8559999999999999</v>
      </c>
      <c r="K44" s="284">
        <v>8.0310000000000006</v>
      </c>
      <c r="L44" s="284">
        <v>8.8360000000000003</v>
      </c>
      <c r="M44" s="284">
        <v>9.4109999999999996</v>
      </c>
      <c r="N44" s="284">
        <v>9.8309999999999995</v>
      </c>
      <c r="O44" s="284">
        <v>11.08</v>
      </c>
      <c r="P44" s="284">
        <v>11.172000000000001</v>
      </c>
      <c r="Q44" s="284">
        <v>10.746</v>
      </c>
      <c r="R44" s="284">
        <v>10.598000000000001</v>
      </c>
      <c r="S44" s="284">
        <v>11.489000000000001</v>
      </c>
      <c r="T44" s="284">
        <v>11.677</v>
      </c>
      <c r="U44" s="284">
        <v>12.465999999999999</v>
      </c>
      <c r="V44" s="282">
        <v>11.952</v>
      </c>
      <c r="W44" s="284">
        <v>12.265000000000001</v>
      </c>
      <c r="X44" s="284">
        <v>10.565</v>
      </c>
      <c r="Y44" s="284">
        <v>11.074</v>
      </c>
      <c r="Z44" s="284">
        <v>11.526</v>
      </c>
      <c r="AA44" s="284">
        <v>11.061</v>
      </c>
      <c r="AB44" s="284">
        <v>11.811999999999999</v>
      </c>
      <c r="AC44" s="327">
        <v>12.313000000000001</v>
      </c>
      <c r="AD44" s="331">
        <f t="shared" si="8"/>
        <v>4.2414493735184635</v>
      </c>
      <c r="AE44" s="325" t="s">
        <v>5</v>
      </c>
    </row>
    <row r="45" spans="1:32" ht="27" customHeight="1" x14ac:dyDescent="0.2">
      <c r="B45" s="498" t="s">
        <v>81</v>
      </c>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180"/>
    </row>
    <row r="46" spans="1:32" ht="44.25" customHeight="1" x14ac:dyDescent="0.2">
      <c r="B46" s="266" t="s">
        <v>84</v>
      </c>
      <c r="C46" s="499" t="s">
        <v>132</v>
      </c>
      <c r="D46" s="499"/>
      <c r="E46" s="499"/>
      <c r="F46" s="499"/>
      <c r="G46" s="499"/>
      <c r="H46" s="499"/>
      <c r="I46" s="499"/>
      <c r="J46" s="499"/>
      <c r="K46" s="499"/>
      <c r="L46" s="499"/>
      <c r="M46" s="499"/>
      <c r="N46" s="499"/>
      <c r="O46" s="499"/>
      <c r="P46" s="499"/>
      <c r="Q46" s="499"/>
      <c r="R46" s="499"/>
      <c r="S46" s="165"/>
      <c r="T46" s="165"/>
      <c r="U46" s="165"/>
      <c r="V46" s="165"/>
      <c r="W46" s="165"/>
      <c r="X46" s="165"/>
      <c r="Y46" s="165"/>
      <c r="Z46" s="165"/>
      <c r="AA46" s="165"/>
      <c r="AB46" s="165"/>
      <c r="AC46" s="165"/>
      <c r="AD46" s="165"/>
    </row>
    <row r="47" spans="1:32" x14ac:dyDescent="0.2">
      <c r="C47" s="165"/>
    </row>
    <row r="48" spans="1:32" x14ac:dyDescent="0.2">
      <c r="U48"/>
      <c r="V48"/>
      <c r="W48"/>
      <c r="X48"/>
    </row>
    <row r="53" ht="12.75" customHeight="1" x14ac:dyDescent="0.2"/>
    <row r="69" spans="16:21" x14ac:dyDescent="0.2">
      <c r="P69" s="236"/>
      <c r="Q69"/>
      <c r="R69"/>
      <c r="S69"/>
      <c r="T69"/>
      <c r="U69"/>
    </row>
    <row r="70" spans="16:21" x14ac:dyDescent="0.2">
      <c r="P70" s="236"/>
      <c r="Q70" s="236"/>
      <c r="R70"/>
      <c r="S70"/>
      <c r="T70"/>
      <c r="U70"/>
    </row>
    <row r="71" spans="16:21" x14ac:dyDescent="0.2">
      <c r="P71"/>
      <c r="Q71"/>
      <c r="R71"/>
      <c r="S71"/>
      <c r="T71"/>
      <c r="U71"/>
    </row>
    <row r="72" spans="16:21" x14ac:dyDescent="0.2">
      <c r="P72"/>
      <c r="Q72"/>
      <c r="R72"/>
      <c r="S72"/>
      <c r="T72"/>
      <c r="U72"/>
    </row>
    <row r="73" spans="16:21" x14ac:dyDescent="0.2">
      <c r="P73"/>
      <c r="Q73"/>
      <c r="R73"/>
      <c r="S73"/>
      <c r="T73"/>
      <c r="U73"/>
    </row>
    <row r="74" spans="16:21" x14ac:dyDescent="0.2">
      <c r="P74"/>
      <c r="Q74"/>
      <c r="R74"/>
      <c r="S74"/>
      <c r="T74"/>
      <c r="U74"/>
    </row>
    <row r="75" spans="16:21" x14ac:dyDescent="0.2">
      <c r="P75"/>
      <c r="Q75"/>
      <c r="R75"/>
      <c r="S75"/>
      <c r="T75"/>
      <c r="U75"/>
    </row>
    <row r="76" spans="16:21" x14ac:dyDescent="0.2">
      <c r="P76"/>
      <c r="Q76"/>
      <c r="R76"/>
      <c r="S76"/>
      <c r="T76"/>
      <c r="U76"/>
    </row>
    <row r="77" spans="16:21" x14ac:dyDescent="0.2">
      <c r="P77"/>
      <c r="Q77"/>
      <c r="R77"/>
      <c r="S77"/>
      <c r="T77"/>
      <c r="U77"/>
    </row>
    <row r="78" spans="16:21" x14ac:dyDescent="0.2">
      <c r="P78"/>
      <c r="Q78"/>
      <c r="R78"/>
      <c r="S78"/>
      <c r="T78"/>
      <c r="U78"/>
    </row>
    <row r="79" spans="16:21" x14ac:dyDescent="0.2">
      <c r="P79"/>
      <c r="Q79"/>
      <c r="R79"/>
      <c r="S79"/>
      <c r="T79"/>
      <c r="U79"/>
    </row>
  </sheetData>
  <mergeCells count="3">
    <mergeCell ref="B2:AE2"/>
    <mergeCell ref="B45:AE45"/>
    <mergeCell ref="C46:R46"/>
  </mergeCells>
  <phoneticPr fontId="7" type="noConversion"/>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37" top="0.51181102362204722" bottom="0.27559055118110237" header="0" footer="0"/>
  <pageSetup paperSize="9"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T2.2</vt:lpstr>
      <vt:lpstr>freight_graph</vt:lpstr>
      <vt:lpstr>perf_mode_tkm</vt:lpstr>
      <vt:lpstr>perf_land _tkm</vt:lpstr>
      <vt:lpstr>road_by_nat</vt:lpstr>
      <vt:lpstr>road_by_int</vt:lpstr>
      <vt:lpstr>road_by_tot</vt:lpstr>
      <vt:lpstr>road_ter</vt:lpstr>
      <vt:lpstr>rail_tkm</vt:lpstr>
      <vt:lpstr>iww</vt:lpstr>
      <vt:lpstr>pipeline</vt:lpstr>
      <vt:lpstr>usa_goods</vt:lpstr>
      <vt:lpstr>T2.2!A</vt:lpstr>
      <vt:lpstr>freight_graph!Print_Area</vt:lpstr>
      <vt:lpstr>iww!Print_Area</vt:lpstr>
      <vt:lpstr>'perf_land _tkm'!Print_Area</vt:lpstr>
      <vt:lpstr>perf_mode_tkm!Print_Area</vt:lpstr>
      <vt:lpstr>pipeline!Print_Area</vt:lpstr>
      <vt:lpstr>rail_tkm!Print_Area</vt:lpstr>
      <vt:lpstr>road_by_int!Print_Area</vt:lpstr>
      <vt:lpstr>road_by_nat!Print_Area</vt:lpstr>
      <vt:lpstr>road_by_tot!Print_Area</vt:lpstr>
      <vt:lpstr>road_ter!Print_Area</vt:lpstr>
      <vt:lpstr>T2.2!Print_Area</vt:lpstr>
      <vt:lpstr>usa_goods!Print_Area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 A3</cp:lastModifiedBy>
  <cp:lastPrinted>2012-03-28T15:28:45Z</cp:lastPrinted>
  <dcterms:created xsi:type="dcterms:W3CDTF">2003-09-05T14:33:05Z</dcterms:created>
  <dcterms:modified xsi:type="dcterms:W3CDTF">2016-07-12T08:55:41Z</dcterms:modified>
</cp:coreProperties>
</file>