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0" yWindow="270" windowWidth="11505" windowHeight="12225" tabRatio="882" firstSheet="2" activeTab="7"/>
  </bookViews>
  <sheets>
    <sheet name="T2.3" sheetId="1" r:id="rId1"/>
    <sheet name="passeng_graph" sheetId="2" r:id="rId2"/>
    <sheet name="perf_mode_pkm" sheetId="3" r:id="rId3"/>
    <sheet name="split_mode_pkm" sheetId="4" r:id="rId4"/>
    <sheet name="cars" sheetId="5" r:id="rId5"/>
    <sheet name="bus_coach" sheetId="6" r:id="rId6"/>
    <sheet name="tram_metro" sheetId="7" r:id="rId7"/>
    <sheet name="rail_pkm" sheetId="8" r:id="rId8"/>
    <sheet name="hs_rail" sheetId="9" r:id="rId9"/>
    <sheet name="USA" sheetId="10" r:id="rId10"/>
  </sheets>
  <definedNames>
    <definedName name="A" localSheetId="0">'T2.3'!$A$65500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'bus_coach'!$B$1:$AH$50</definedName>
    <definedName name="_xlnm.Print_Area" localSheetId="4">'cars'!$B$1:$AH$47</definedName>
    <definedName name="_xlnm.Print_Area" localSheetId="8">'hs_rail'!#REF!</definedName>
    <definedName name="_xlnm.Print_Area" localSheetId="1">'passeng_graph'!$B$1:$N$32</definedName>
    <definedName name="_xlnm.Print_Area" localSheetId="2">'perf_mode_pkm'!$B$1:$J$60</definedName>
    <definedName name="_xlnm.Print_Area" localSheetId="7">'rail_pkm'!$B$1:$AN$43</definedName>
    <definedName name="_xlnm.Print_Area" localSheetId="3">'split_mode_pkm'!#REF!</definedName>
    <definedName name="_xlnm.Print_Area" localSheetId="0">'T2.3'!$B$1:$E$25</definedName>
    <definedName name="_xlnm.Print_Area" localSheetId="6">'tram_metro'!$B$1:$AG$47</definedName>
    <definedName name="_xlnm.Print_Area" localSheetId="9">'USA'!$B$1:$I$78</definedName>
    <definedName name="Z_534C28F4_E90D_11D3_A4B3_0050041AE0D6_.wvu.PrintArea" localSheetId="3" hidden="1">'split_mode_pkm'!#REF!</definedName>
  </definedNames>
  <calcPr fullCalcOnLoad="1"/>
</workbook>
</file>

<file path=xl/sharedStrings.xml><?xml version="1.0" encoding="utf-8"?>
<sst xmlns="http://schemas.openxmlformats.org/spreadsheetml/2006/main" count="1293" uniqueCount="160">
  <si>
    <t>Passenger Transport</t>
  </si>
  <si>
    <t>Tram &amp; Metro</t>
  </si>
  <si>
    <t>Bus &amp; Coach</t>
  </si>
  <si>
    <t>passenger-km in %</t>
  </si>
  <si>
    <t>Buses and Coaches</t>
  </si>
  <si>
    <t>Notes:</t>
  </si>
  <si>
    <t>MK</t>
  </si>
  <si>
    <r>
      <t>Notes:</t>
    </r>
    <r>
      <rPr>
        <sz val="8"/>
        <rFont val="Arial"/>
        <family val="2"/>
      </rPr>
      <t xml:space="preserve"> </t>
    </r>
  </si>
  <si>
    <t>Powered 2-wheelers</t>
  </si>
  <si>
    <t>P2W</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</si>
  <si>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</si>
  <si>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</si>
  <si>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</si>
  <si>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</si>
  <si>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</si>
  <si>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</si>
  <si>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</si>
  <si>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</si>
  <si>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</si>
  <si>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</si>
  <si>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</si>
  <si>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</si>
  <si>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</si>
  <si>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</si>
  <si>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</si>
  <si>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</si>
  <si>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</si>
  <si>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</si>
  <si>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</si>
  <si>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</si>
  <si>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</si>
  <si>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</si>
  <si>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</si>
  <si>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</si>
  <si>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</si>
  <si>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</si>
  <si>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</si>
  <si>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</si>
  <si>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</si>
  <si>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</si>
  <si>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</si>
  <si>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</si>
  <si>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</si>
  <si>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</si>
  <si>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</si>
  <si>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Passenger Cars</t>
  </si>
  <si>
    <t>Buses &amp; Coaches</t>
  </si>
  <si>
    <t>Railways</t>
  </si>
  <si>
    <t>Sea</t>
  </si>
  <si>
    <t>Air</t>
  </si>
  <si>
    <t>Total</t>
  </si>
  <si>
    <t>Share of high speed rail transport in total passenger-kilometres in rail transport</t>
  </si>
  <si>
    <t>per year</t>
  </si>
  <si>
    <t>Modal split</t>
  </si>
  <si>
    <t>EUROPEAN UNION</t>
  </si>
  <si>
    <t>European Commission</t>
  </si>
  <si>
    <t>Performance by Mode (graph)</t>
  </si>
  <si>
    <r>
      <t xml:space="preserve">in co-operation with </t>
    </r>
    <r>
      <rPr>
        <b/>
        <sz val="10"/>
        <rFont val="Arial"/>
        <family val="2"/>
      </rPr>
      <t>Eurostat</t>
    </r>
  </si>
  <si>
    <t xml:space="preserve">Performance by Mode and Year </t>
  </si>
  <si>
    <t>Modal Split of Land Transport by Country</t>
  </si>
  <si>
    <t>Rail : High Speed Rail Transport</t>
  </si>
  <si>
    <t>Performance of Passenger Transport</t>
  </si>
  <si>
    <t>expressed in passenger-kilometres</t>
  </si>
  <si>
    <t>USA</t>
  </si>
  <si>
    <t>Performance by Mode of Transport : Passengers</t>
  </si>
  <si>
    <t>Passenger Cars *</t>
  </si>
  <si>
    <t>Motor- cycles</t>
  </si>
  <si>
    <t>Railway</t>
  </si>
  <si>
    <t>Bus</t>
  </si>
  <si>
    <t>Light and Commuter rail</t>
  </si>
  <si>
    <t>Average annual change</t>
  </si>
  <si>
    <t>% per year</t>
  </si>
  <si>
    <t>1990- 1995</t>
  </si>
  <si>
    <r>
      <t>UK:</t>
    </r>
    <r>
      <rPr>
        <sz val="8"/>
        <rFont val="Arial"/>
        <family val="2"/>
      </rPr>
      <t xml:space="preserve"> data refer to Great Britain only; include pkm by vans</t>
    </r>
  </si>
  <si>
    <t>Rail: High Speed Rail Transport</t>
  </si>
  <si>
    <t>USA: Performance by Mode of Transport: Passengers</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</si>
  <si>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</si>
  <si>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Source</t>
    </r>
    <r>
      <rPr>
        <sz val="8"/>
        <rFont val="Arial"/>
        <family val="2"/>
      </rPr>
      <t>: Union Internationale des Chemins de Fer, national statistics, estimates</t>
    </r>
    <r>
      <rPr>
        <i/>
        <sz val="8"/>
        <rFont val="Arial"/>
        <family val="2"/>
      </rPr>
      <t xml:space="preserve"> (in italics)</t>
    </r>
  </si>
  <si>
    <t>change %</t>
  </si>
  <si>
    <t>Pass -enger Cars</t>
  </si>
  <si>
    <t>Rail -way</t>
  </si>
  <si>
    <t>Modal Split of Passenger Transport on Land by Country</t>
  </si>
  <si>
    <r>
      <t>UK:</t>
    </r>
    <r>
      <rPr>
        <sz val="8"/>
        <rFont val="Arial"/>
        <family val="2"/>
      </rPr>
      <t xml:space="preserve"> GB data + 1.5 bln pkm throughout to account for Northern Ireland</t>
    </r>
  </si>
  <si>
    <t>2.3.1</t>
  </si>
  <si>
    <r>
      <t>Source</t>
    </r>
    <r>
      <rPr>
        <sz val="8"/>
        <rFont val="Arial"/>
        <family val="2"/>
      </rPr>
      <t xml:space="preserve">: tables 2.3.4, 2.3.5, 2.3.6, 2.3.7, estimates </t>
    </r>
  </si>
  <si>
    <t>2.3.3</t>
  </si>
  <si>
    <t>2.3.2</t>
  </si>
  <si>
    <t>2.3.4</t>
  </si>
  <si>
    <t>2.3.5</t>
  </si>
  <si>
    <t>2.3.6</t>
  </si>
  <si>
    <t>2.3.7</t>
  </si>
  <si>
    <t>2.3.8</t>
  </si>
  <si>
    <t>2.3.9</t>
  </si>
  <si>
    <t>Directorate-General for Mobility and Transport</t>
  </si>
  <si>
    <t>TRANSPORT IN FIGURES</t>
  </si>
  <si>
    <t>Chapter 2.3  :</t>
  </si>
  <si>
    <t>Part 2 :  TRANSPORT</t>
  </si>
  <si>
    <r>
      <t>Source:</t>
    </r>
    <r>
      <rPr>
        <sz val="8"/>
        <rFont val="Arial"/>
        <family val="2"/>
      </rPr>
      <t xml:space="preserve"> tables 2.3.4, 2.3.5, 2.3.6, 2.3.7</t>
    </r>
  </si>
  <si>
    <r>
      <t xml:space="preserve">Note: </t>
    </r>
    <r>
      <rPr>
        <sz val="8"/>
        <rFont val="Arial"/>
        <family val="2"/>
      </rPr>
      <t xml:space="preserve">In this table, high-speed rail transport covers all traffic with high-speed rolling stock (incl. tilting trains able to run 200 km/h). This does not necessarily require high-speed infrastructure as defined in table 2.5.4.   </t>
    </r>
  </si>
  <si>
    <t>*: It includes: light duty vehicles, short wheel base and long wheel base</t>
  </si>
  <si>
    <r>
      <t>Source</t>
    </r>
    <r>
      <rPr>
        <sz val="8"/>
        <rFont val="Arial"/>
        <family val="2"/>
      </rPr>
      <t xml:space="preserve">: table 2.3.7. </t>
    </r>
  </si>
  <si>
    <r>
      <t>Source</t>
    </r>
    <r>
      <rPr>
        <sz val="8"/>
        <rFont val="Arial"/>
        <family val="2"/>
      </rPr>
      <t>: national statistics, International Transport Forum, Eurostat, estimates</t>
    </r>
    <r>
      <rPr>
        <i/>
        <sz val="8"/>
        <rFont val="Arial"/>
        <family val="2"/>
      </rPr>
      <t xml:space="preserve"> (in italics)</t>
    </r>
  </si>
  <si>
    <r>
      <t>Source</t>
    </r>
    <r>
      <rPr>
        <sz val="8"/>
        <rFont val="Arial"/>
        <family val="2"/>
      </rPr>
      <t xml:space="preserve">: national statistics, International Transport Forum, Eurostat, study for DG Energy and Transport, estimates </t>
    </r>
    <r>
      <rPr>
        <i/>
        <sz val="8"/>
        <rFont val="Arial"/>
        <family val="2"/>
      </rPr>
      <t>(in italics)</t>
    </r>
  </si>
  <si>
    <t>ME</t>
  </si>
  <si>
    <t>RS</t>
  </si>
  <si>
    <t>billion pkm</t>
  </si>
  <si>
    <t>pkm</t>
  </si>
  <si>
    <t>Billion passenger-kilometres</t>
  </si>
  <si>
    <t>Billion pkm</t>
  </si>
  <si>
    <t>1995- 2000</t>
  </si>
  <si>
    <t>EU-28 Performance by Mode</t>
  </si>
  <si>
    <t>% under PSO (*)</t>
  </si>
  <si>
    <t>AL</t>
  </si>
  <si>
    <t>EU-28</t>
  </si>
  <si>
    <r>
      <t>FR:</t>
    </r>
    <r>
      <rPr>
        <sz val="8"/>
        <rFont val="Arial"/>
        <family val="2"/>
      </rPr>
      <t xml:space="preserve"> passenger-km include transport activity on the territory of vehicles not registered in France. Includes foreign vans.</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</si>
  <si>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</si>
  <si>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</si>
  <si>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rPr>
        <b/>
        <sz val="8"/>
        <rFont val="Arial"/>
        <family val="2"/>
      </rPr>
      <t xml:space="preserve">ES: </t>
    </r>
    <r>
      <rPr>
        <sz val="8"/>
        <rFont val="Arial"/>
        <family val="2"/>
      </rPr>
      <t>including metro of Malaga since 2014.</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</si>
  <si>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</si>
  <si>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</si>
  <si>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rPr>
        <b/>
        <sz val="8"/>
        <rFont val="Arial"/>
        <family val="2"/>
      </rPr>
      <t xml:space="preserve">AT: </t>
    </r>
    <r>
      <rPr>
        <sz val="8"/>
        <rFont val="Arial"/>
        <family val="2"/>
      </rPr>
      <t>the times series includes an estimate for trolleybuses.</t>
    </r>
  </si>
  <si>
    <r>
      <t xml:space="preserve">AT: </t>
    </r>
    <r>
      <rPr>
        <sz val="8"/>
        <rFont val="Arial"/>
        <family val="2"/>
      </rPr>
      <t>it includes regional rail transport activity.</t>
    </r>
  </si>
  <si>
    <r>
      <t xml:space="preserve">PL: </t>
    </r>
    <r>
      <rPr>
        <sz val="8"/>
        <rFont val="Arial"/>
        <family val="2"/>
      </rPr>
      <t>estimated activity</t>
    </r>
  </si>
  <si>
    <r>
      <rPr>
        <b/>
        <sz val="8"/>
        <rFont val="Arial"/>
        <family val="2"/>
      </rPr>
      <t>PL:</t>
    </r>
    <r>
      <rPr>
        <sz val="8"/>
        <rFont val="Arial"/>
        <family val="2"/>
      </rPr>
      <t xml:space="preserve"> includes long-distance transport and estimated data for urban transport.</t>
    </r>
  </si>
  <si>
    <t>Public pkm</t>
  </si>
  <si>
    <t>Buses seats</t>
  </si>
  <si>
    <t>Trolleybuses seats</t>
  </si>
  <si>
    <t>Trams seats</t>
  </si>
  <si>
    <t>Weights</t>
  </si>
  <si>
    <t>pkm public bus</t>
  </si>
  <si>
    <t>Total pkm bus</t>
  </si>
  <si>
    <t>Total pkm tram</t>
  </si>
  <si>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</si>
  <si>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</si>
  <si>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r>
      <t xml:space="preserve">NL: </t>
    </r>
    <r>
      <rPr>
        <sz val="8"/>
        <rFont val="Arial"/>
        <family val="2"/>
      </rPr>
      <t>the time series from 2010 estimates the share of tram &amp; metro over the aggregate "bus/tram/metro" published in the OViN Travel Survey. Previous years' estimates have been retrofitted until 2010.</t>
    </r>
  </si>
  <si>
    <r>
      <t xml:space="preserve">CS: </t>
    </r>
    <r>
      <rPr>
        <sz val="8"/>
        <rFont val="Arial"/>
        <family val="2"/>
      </rPr>
      <t>1990: 43.4</t>
    </r>
  </si>
  <si>
    <r>
      <t xml:space="preserve">DK: </t>
    </r>
    <r>
      <rPr>
        <sz val="8"/>
        <rFont val="Arial"/>
        <family val="2"/>
      </rPr>
      <t>figures exclude activity of vans with a mass higher than 2 000 kg.</t>
    </r>
  </si>
  <si>
    <r>
      <t xml:space="preserve">Air </t>
    </r>
    <r>
      <rPr>
        <sz val="8"/>
        <rFont val="Arial"/>
        <family val="2"/>
      </rPr>
      <t>and</t>
    </r>
    <r>
      <rPr>
        <b/>
        <sz val="8"/>
        <rFont val="Arial"/>
        <family val="2"/>
      </rPr>
      <t xml:space="preserve"> Sea</t>
    </r>
    <r>
      <rPr>
        <sz val="8"/>
        <rFont val="Arial"/>
        <family val="2"/>
      </rPr>
      <t>: only domestic and intra-EU-28 transport; provisional estimates.</t>
    </r>
  </si>
  <si>
    <r>
      <t>P2W</t>
    </r>
    <r>
      <rPr>
        <sz val="8"/>
        <rFont val="Arial"/>
        <family val="2"/>
      </rPr>
      <t>: Powered two-wheelers.</t>
    </r>
  </si>
  <si>
    <r>
      <t>Source :</t>
    </r>
    <r>
      <rPr>
        <sz val="8"/>
        <rFont val="Arial"/>
        <family val="2"/>
      </rPr>
      <t xml:space="preserve"> tables 2.3.4, 2.3.5, 2.3.6, 2.3.7, estimates (</t>
    </r>
    <r>
      <rPr>
        <i/>
        <sz val="8"/>
        <rFont val="Arial"/>
        <family val="2"/>
      </rPr>
      <t>in italics</t>
    </r>
    <r>
      <rPr>
        <sz val="8"/>
        <rFont val="Arial"/>
        <family val="2"/>
      </rPr>
      <t>).</t>
    </r>
  </si>
  <si>
    <r>
      <t>Source</t>
    </r>
    <r>
      <rPr>
        <sz val="8"/>
        <rFont val="Arial"/>
        <family val="2"/>
      </rPr>
      <t>: U.S. Department of Transportation, Bureau of Transportation Statistics.</t>
    </r>
  </si>
  <si>
    <t>change 16/17</t>
  </si>
  <si>
    <r>
      <t xml:space="preserve">DE: </t>
    </r>
    <r>
      <rPr>
        <sz val="8"/>
        <rFont val="Arial"/>
        <family val="2"/>
      </rPr>
      <t xml:space="preserve">includes </t>
    </r>
    <r>
      <rPr>
        <b/>
        <sz val="8"/>
        <rFont val="Arial"/>
        <family val="2"/>
      </rPr>
      <t>DE-E:</t>
    </r>
    <r>
      <rPr>
        <sz val="8"/>
        <rFont val="Arial"/>
        <family val="2"/>
      </rPr>
      <t xml:space="preserve"> 1970=24.5, 1980=56.0, 1990=90.3. In 2019: data revision back to 2015. </t>
    </r>
  </si>
  <si>
    <t>1995 -2017</t>
  </si>
  <si>
    <t>2000 -2017</t>
  </si>
  <si>
    <t>2016- 2017</t>
  </si>
  <si>
    <t>Note: passenger car and motorcycle data was revised back to 2009</t>
  </si>
  <si>
    <t>2000- 2017</t>
  </si>
  <si>
    <r>
      <rPr>
        <b/>
        <sz val="8"/>
        <rFont val="Arial"/>
        <family val="2"/>
      </rPr>
      <t xml:space="preserve">PT: </t>
    </r>
    <r>
      <rPr>
        <sz val="8"/>
        <rFont val="Arial"/>
        <family val="2"/>
      </rPr>
      <t xml:space="preserve">data revision back to 2015 </t>
    </r>
  </si>
  <si>
    <r>
      <rPr>
        <b/>
        <sz val="8"/>
        <rFont val="Arial"/>
        <family val="2"/>
      </rPr>
      <t xml:space="preserve">IE: </t>
    </r>
    <r>
      <rPr>
        <sz val="8"/>
        <rFont val="Arial"/>
        <family val="2"/>
      </rPr>
      <t xml:space="preserve"> data revision back to 2015 </t>
    </r>
  </si>
  <si>
    <t xml:space="preserve">Data is not harmonised and therefore not fully comparable. 2017 data may be provisional. Data sometimes includes activity of foreign vehicles performed within the country, therefore  EU aggregates might be affected by double-counting. </t>
  </si>
  <si>
    <r>
      <rPr>
        <b/>
        <sz val="8"/>
        <rFont val="Arial"/>
        <family val="2"/>
      </rPr>
      <t>ES:</t>
    </r>
    <r>
      <rPr>
        <sz val="8"/>
        <rFont val="Arial"/>
        <family val="2"/>
      </rPr>
      <t xml:space="preserve"> break in series between 2013 and 2014 and between 2016 and 2017 due to a change in methodology. </t>
    </r>
  </si>
  <si>
    <t xml:space="preserve">If powered two-wheelers are included, they account for 2,02 % of the total in EU-28, while the share of the other modes becomes: </t>
  </si>
  <si>
    <t>-36,1*</t>
  </si>
  <si>
    <r>
      <rPr>
        <b/>
        <sz val="8"/>
        <rFont val="Arial"/>
        <family val="2"/>
      </rPr>
      <t xml:space="preserve">*: </t>
    </r>
    <r>
      <rPr>
        <sz val="8"/>
        <rFont val="Arial"/>
        <family val="2"/>
      </rPr>
      <t>ES: the two years are not comparable due to a change in the methodology.</t>
    </r>
  </si>
  <si>
    <t>Data is not harmonised and therefore not fully comparable. 2017 data may be provisional. Data sometimes includes activity of foreign vehicles performed within the country, therefore  EU aggregates might be affected by double-counting. Generally vans are not considered in this table, but there may be exceptions.</t>
  </si>
  <si>
    <t>Data are not harmonised and therefore not fully comparable across countries. Data for 2017 are mostly provisional.</t>
  </si>
  <si>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In 2018 revision of data from 2000 onwards following change in the methodology. </t>
    </r>
  </si>
  <si>
    <r>
      <t>Notes:</t>
    </r>
    <r>
      <rPr>
        <sz val="8"/>
        <rFont val="Arial"/>
        <family val="2"/>
      </rPr>
      <t xml:space="preserve">  </t>
    </r>
    <r>
      <rPr>
        <b/>
        <sz val="8"/>
        <rFont val="Arial"/>
        <family val="2"/>
      </rPr>
      <t>BE</t>
    </r>
    <r>
      <rPr>
        <sz val="8"/>
        <rFont val="Arial"/>
        <family val="2"/>
      </rPr>
      <t xml:space="preserve"> as of 2014, data are ITF estimates. </t>
    </r>
    <r>
      <rPr>
        <b/>
        <sz val="8"/>
        <rFont val="Arial"/>
        <family val="2"/>
      </rPr>
      <t>UK</t>
    </r>
    <r>
      <rPr>
        <sz val="8"/>
        <rFont val="Arial"/>
        <family val="2"/>
      </rPr>
      <t xml:space="preserve"> share of PSO excludes Northern Ireland. EU-28 shares of PSO estimated on the basis of the available data. </t>
    </r>
    <r>
      <rPr>
        <b/>
        <sz val="8"/>
        <rFont val="Arial"/>
        <family val="2"/>
      </rPr>
      <t>FR</t>
    </r>
    <r>
      <rPr>
        <sz val="8"/>
        <rFont val="Arial"/>
        <family val="2"/>
      </rPr>
      <t xml:space="preserve">: in 2018 the methodology has changed, data back to 2015 were revised; recalibration of time serie back to 1990; </t>
    </r>
  </si>
  <si>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national statistics, estimates (</t>
    </r>
    <r>
      <rPr>
        <i/>
        <sz val="8"/>
        <rFont val="Arial"/>
        <family val="2"/>
      </rPr>
      <t>in italics</t>
    </r>
    <r>
      <rPr>
        <sz val="8"/>
        <rFont val="Arial"/>
        <family val="2"/>
      </rPr>
      <t>). Shares under PSO from Rail Market Monitoring (DG MOVE) and DG MOVE estimates, based on different volumes than Eurostat.</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</si>
</sst>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0.0"/>
    <numFmt numFmtId="166" formatCode="#\ ##0"/>
    <numFmt numFmtId="167" formatCode="0.0\ \ \ "/>
    <numFmt numFmtId="168" formatCode="0.0%"/>
    <numFmt numFmtId="169" formatCode="0.0\ "/>
    <numFmt numFmtId="170" formatCode="0.0%;\-0.0%"/>
    <numFmt numFmtId="171" formatCode="General_)"/>
    <numFmt numFmtId="172" formatCode="[&gt;0.5]#,##0;[&lt;-0.5]\-#,##0;\-"/>
    <numFmt numFmtId="173" formatCode="_-* #,##0.00\ [$€]_-;\-* #,##0.00\ [$€]_-;_-* &quot;-&quot;??\ [$€]_-;_-@_-"/>
    <numFmt numFmtId="174" formatCode="#\ ##0.0"/>
    <numFmt numFmtId="175" formatCode="_(* #,##0.00_);_(* \(#,##0.00\);_(* &quot;-&quot;??_);_(@_)"/>
    <numFmt numFmtId="176" formatCode="###0.00_)"/>
    <numFmt numFmtId="177" formatCode="#,##0_)"/>
    <numFmt numFmtId="178" formatCode="0.000"/>
    <numFmt numFmtId="179" formatCode="0.00000"/>
    <numFmt numFmtId="180" formatCode="_(&quot;$&quot;* #,##0.00_);_(&quot;$&quot;* \(#,##0.00\);_(&quot;$&quot;* &quot;-&quot;??_);_(@_)"/>
    <numFmt numFmtId="181" formatCode="&quot; &quot;General"/>
    <numFmt numFmtId="182" formatCode="_-* #,##0.00\ &quot;zł&quot;_-;\-* #,##0.00\ &quot;zł&quot;_-;_-* &quot;-&quot;??\ &quot;zł&quot;_-;_-@_-"/>
    <numFmt numFmtId="183" formatCode="_-* #,##0.00,&quot;DM&quot;_-;\-* #,##0.00,&quot;DM&quot;_-;_-* \-??&quot; DM&quot;_-;_-@_-"/>
    <numFmt numFmtId="184" formatCode="#,##0.000_);[Red]\(#,##0.000\);\-_)"/>
    <numFmt numFmtId="185" formatCode="#,##0.0%;[Red]\(#,##0.0%\);\-"/>
  </numFmts>
  <fonts count="121">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b/>
      <sz val="9"/>
      <name val="Arial"/>
      <family val="2"/>
    </font>
    <font>
      <sz val="8"/>
      <name val="Times"/>
      <family val="1"/>
    </font>
    <font>
      <i/>
      <sz val="8"/>
      <name val="Times"/>
      <family val="1"/>
    </font>
    <font>
      <sz val="9"/>
      <name val="Arial"/>
      <family val="2"/>
    </font>
    <font>
      <i/>
      <sz val="8"/>
      <name val="Arial"/>
      <family val="2"/>
    </font>
    <font>
      <b/>
      <i/>
      <sz val="8"/>
      <name val="Arial"/>
      <family val="2"/>
    </font>
    <font>
      <b/>
      <sz val="10"/>
      <color indexed="18"/>
      <name val="Arial"/>
      <family val="2"/>
    </font>
    <font>
      <b/>
      <sz val="10"/>
      <color indexed="8"/>
      <name val="Arial"/>
      <family val="2"/>
    </font>
    <font>
      <sz val="10"/>
      <name val="Helvetica"/>
      <family val="2"/>
    </font>
    <font>
      <sz val="14"/>
      <name val="Arial"/>
      <family val="2"/>
    </font>
    <font>
      <b/>
      <sz val="7"/>
      <name val="Arial"/>
      <family val="2"/>
    </font>
    <font>
      <sz val="7"/>
      <name val="Arial"/>
      <family val="2"/>
    </font>
    <font>
      <sz val="8"/>
      <name val="Helvetica"/>
      <family val="2"/>
    </font>
    <font>
      <sz val="8"/>
      <name val="Helv"/>
      <family val="2"/>
    </font>
    <font>
      <sz val="10"/>
      <color indexed="8"/>
      <name val="Arial"/>
      <family val="2"/>
    </font>
    <font>
      <sz val="11"/>
      <name val="Arial"/>
      <family val="2"/>
    </font>
    <font>
      <sz val="10"/>
      <name val="Times New Roman"/>
      <family val="1"/>
    </font>
    <font>
      <sz val="16"/>
      <name val="Helvetica"/>
      <family val="2"/>
    </font>
    <font>
      <i/>
      <sz val="12"/>
      <name val="Times New Roman"/>
      <family val="1"/>
    </font>
    <font>
      <sz val="9"/>
      <name val="Verdana"/>
      <family val="2"/>
    </font>
    <font>
      <i/>
      <sz val="9"/>
      <color indexed="60"/>
      <name val="Verdana"/>
      <family val="2"/>
    </font>
    <font>
      <b/>
      <sz val="9"/>
      <name val="Verdana"/>
      <family val="2"/>
    </font>
    <font>
      <u val="single"/>
      <sz val="10"/>
      <color indexed="12"/>
      <name val="Times New Roman"/>
      <family val="1"/>
    </font>
    <font>
      <sz val="12"/>
      <name val="Helv"/>
      <family val="0"/>
    </font>
    <font>
      <b/>
      <sz val="12"/>
      <name val="Helv"/>
      <family val="0"/>
    </font>
    <font>
      <sz val="10"/>
      <name val="Helv"/>
      <family val="0"/>
    </font>
    <font>
      <sz val="9"/>
      <name val="Helv"/>
      <family val="0"/>
    </font>
    <font>
      <vertAlign val="superscript"/>
      <sz val="12"/>
      <name val="Helv"/>
      <family val="0"/>
    </font>
    <font>
      <b/>
      <sz val="10"/>
      <name val="Helv"/>
      <family val="0"/>
    </font>
    <font>
      <b/>
      <sz val="9"/>
      <name val="Helv"/>
      <family val="0"/>
    </font>
    <font>
      <sz val="8.5"/>
      <name val="Helv"/>
      <family val="0"/>
    </font>
    <font>
      <b/>
      <sz val="14"/>
      <name val="Helv"/>
      <family val="0"/>
    </font>
    <font>
      <u val="single"/>
      <sz val="8"/>
      <color indexed="12"/>
      <name val="Arial"/>
      <family val="2"/>
    </font>
    <font>
      <u val="single"/>
      <sz val="10"/>
      <color indexed="3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name val="P-AVGARD"/>
      <family val="0"/>
    </font>
    <font>
      <b/>
      <sz val="15"/>
      <color indexed="56"/>
      <name val="Calibri"/>
      <family val="2"/>
    </font>
    <font>
      <b/>
      <sz val="13"/>
      <color indexed="56"/>
      <name val="Calibri"/>
      <family val="2"/>
    </font>
    <font>
      <b/>
      <sz val="11"/>
      <color indexed="56"/>
      <name val="Calibri"/>
      <family val="2"/>
    </font>
    <font>
      <b/>
      <sz val="18"/>
      <color indexed="56"/>
      <name val="Cambria"/>
      <family val="2"/>
    </font>
    <font>
      <u val="single"/>
      <sz val="10"/>
      <color indexed="12"/>
      <name val="Arial"/>
      <family val="2"/>
    </font>
    <font>
      <sz val="10"/>
      <color indexed="8"/>
      <name val="Times New Roman"/>
      <family val="1"/>
    </font>
    <font>
      <sz val="16"/>
      <color indexed="8"/>
      <name val="Helvetica"/>
      <family val="2"/>
    </font>
    <font>
      <u val="single"/>
      <sz val="7"/>
      <color indexed="12"/>
      <name val="Arial"/>
      <family val="2"/>
    </font>
    <font>
      <u val="single"/>
      <sz val="8"/>
      <color indexed="12"/>
      <name val="Times New Roman"/>
      <family val="1"/>
    </font>
    <font>
      <sz val="8"/>
      <color indexed="8"/>
      <name val="Arial"/>
      <family val="2"/>
    </font>
    <font>
      <i/>
      <sz val="12"/>
      <color indexed="8"/>
      <name val="Times New Roman"/>
      <family val="1"/>
    </font>
    <font>
      <u val="single"/>
      <sz val="11"/>
      <color indexed="30"/>
      <name val="Calibri"/>
      <family val="2"/>
    </font>
    <font>
      <sz val="10"/>
      <color indexed="24"/>
      <name val="Arial"/>
      <family val="2"/>
    </font>
    <font>
      <sz val="12"/>
      <color indexed="24"/>
      <name val="Arial"/>
      <family val="2"/>
    </font>
    <font>
      <sz val="11"/>
      <color indexed="8"/>
      <name val="Czcionka tekstu podstawowego"/>
      <family val="2"/>
    </font>
    <font>
      <b/>
      <sz val="13"/>
      <color indexed="9"/>
      <name val="Calibri"/>
      <family val="2"/>
    </font>
    <font>
      <b/>
      <sz val="12"/>
      <name val="Calibri"/>
      <family val="2"/>
    </font>
    <font>
      <sz val="10"/>
      <name val="Calibri"/>
      <family val="2"/>
    </font>
    <font>
      <sz val="18"/>
      <color indexed="62"/>
      <name val="Cambria"/>
      <family val="2"/>
    </font>
    <font>
      <u val="single"/>
      <sz val="11"/>
      <color indexed="12"/>
      <name val="Calibri"/>
      <family val="2"/>
    </font>
    <font>
      <b/>
      <sz val="12"/>
      <name val="Times New Roman"/>
      <family val="1"/>
    </font>
    <font>
      <sz val="10"/>
      <color indexed="56"/>
      <name val="Arial"/>
      <family val="2"/>
    </font>
    <font>
      <i/>
      <sz val="8"/>
      <color indexed="21"/>
      <name val="Arial"/>
      <family val="2"/>
    </font>
    <font>
      <b/>
      <sz val="8"/>
      <color indexed="8"/>
      <name val="Arial"/>
      <family val="0"/>
    </font>
    <font>
      <b/>
      <sz val="12"/>
      <color indexed="8"/>
      <name val="Arial"/>
      <family val="0"/>
    </font>
    <font>
      <sz val="7.35"/>
      <color indexed="8"/>
      <name val="Arial"/>
      <family val="0"/>
    </font>
    <font>
      <sz val="11"/>
      <color theme="1"/>
      <name val="Calibri"/>
      <family val="2"/>
    </font>
    <font>
      <sz val="11"/>
      <color theme="0"/>
      <name val="Calibri"/>
      <family val="2"/>
    </font>
    <font>
      <b/>
      <sz val="13"/>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6"/>
      <color rgb="FF000000"/>
      <name val="Helvetica"/>
      <family val="2"/>
    </font>
    <font>
      <u val="single"/>
      <sz val="8"/>
      <color rgb="FF0000FF"/>
      <name val="Times New Roman"/>
      <family val="1"/>
    </font>
    <font>
      <u val="single"/>
      <sz val="7"/>
      <color rgb="FF0000FF"/>
      <name val="Arial"/>
      <family val="2"/>
    </font>
    <font>
      <u val="single"/>
      <sz val="11"/>
      <color rgb="FF0563C1"/>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sz val="11"/>
      <color theme="1"/>
      <name val="Czcionka tekstu podstawowego"/>
      <family val="2"/>
    </font>
    <font>
      <sz val="10"/>
      <color theme="1"/>
      <name val="Arial"/>
      <family val="2"/>
    </font>
    <font>
      <sz val="8"/>
      <color rgb="FF000000"/>
      <name val="Arial"/>
      <family val="2"/>
    </font>
    <font>
      <b/>
      <sz val="11"/>
      <color rgb="FF3F3F3F"/>
      <name val="Calibri"/>
      <family val="2"/>
    </font>
    <font>
      <sz val="10"/>
      <color rgb="FF000000"/>
      <name val="Arial"/>
      <family val="2"/>
    </font>
    <font>
      <i/>
      <sz val="12"/>
      <color rgb="FF000000"/>
      <name val="Times New Roman"/>
      <family val="1"/>
    </font>
    <font>
      <b/>
      <sz val="18"/>
      <color theme="3"/>
      <name val="Cambria"/>
      <family val="2"/>
    </font>
    <font>
      <sz val="18"/>
      <color theme="3"/>
      <name val="Cambria"/>
      <family val="2"/>
    </font>
    <font>
      <b/>
      <sz val="11"/>
      <color theme="1"/>
      <name val="Calibri"/>
      <family val="2"/>
    </font>
    <font>
      <sz val="11"/>
      <color rgb="FFFF0000"/>
      <name val="Calibri"/>
      <family val="2"/>
    </font>
  </fonts>
  <fills count="75">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57626E"/>
        <bgColor indexed="64"/>
      </patternFill>
    </fill>
    <fill>
      <patternFill patternType="solid">
        <fgColor rgb="FFA2A5AD"/>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4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64"/>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mediumGray">
        <fgColor indexed="9"/>
        <bgColor indexed="52"/>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34"/>
        <bgColor indexed="64"/>
      </patternFill>
    </fill>
    <fill>
      <patternFill patternType="solid">
        <fgColor indexed="9"/>
        <bgColor indexed="64"/>
      </patternFill>
    </fill>
    <fill>
      <patternFill patternType="solid">
        <fgColor rgb="FFCCFFCC"/>
        <bgColor indexed="64"/>
      </patternFill>
    </fill>
    <fill>
      <patternFill patternType="solid">
        <fgColor rgb="FF00B0F0"/>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n">
        <color indexed="22"/>
      </bottom>
    </border>
    <border>
      <left style="thin">
        <color indexed="30"/>
      </left>
      <right style="thin">
        <color indexed="30"/>
      </right>
      <top style="thin">
        <color indexed="30"/>
      </top>
      <bottom style="thin">
        <color indexed="30"/>
      </bottom>
    </border>
    <border>
      <left style="thin">
        <color indexed="56"/>
      </left>
      <right style="thin">
        <color indexed="56"/>
      </right>
      <top style="thin">
        <color indexed="56"/>
      </top>
      <bottom style="thin">
        <color indexed="56"/>
      </bottom>
    </border>
    <border>
      <left style="thin">
        <color indexed="8"/>
      </left>
      <right style="thin">
        <color indexed="8"/>
      </right>
      <top style="thin">
        <color indexed="8"/>
      </top>
      <bottom style="thin">
        <color indexed="8"/>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hair"/>
    </border>
    <border>
      <left/>
      <right/>
      <top/>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hair">
        <color indexed="8"/>
      </bottom>
    </border>
    <border>
      <left style="thin">
        <color indexed="24"/>
      </left>
      <right style="thin">
        <color indexed="24"/>
      </right>
      <top style="thin">
        <color indexed="24"/>
      </top>
      <bottom style="thin">
        <color indexed="24"/>
      </bottom>
    </border>
    <border>
      <left style="thin"/>
      <right style="thin"/>
      <top style="thin"/>
      <bottom/>
    </border>
    <border>
      <left style="thin"/>
      <right style="thin"/>
      <top style="thin"/>
      <bottom style="thin"/>
    </border>
    <border>
      <left style="thin"/>
      <right/>
      <top style="thin"/>
      <bottom style="thin"/>
    </border>
    <border>
      <left/>
      <right/>
      <top style="thin">
        <color theme="4"/>
      </top>
      <bottom style="double">
        <color theme="4"/>
      </bottom>
    </border>
    <border>
      <left/>
      <right/>
      <top style="thin">
        <color indexed="62"/>
      </top>
      <bottom style="double">
        <color indexed="62"/>
      </bottom>
    </border>
    <border>
      <left style="thin"/>
      <right style="thin"/>
      <top/>
      <bottom/>
    </border>
    <border>
      <left/>
      <right style="thin"/>
      <top/>
      <bottom/>
    </border>
    <border>
      <left style="thin"/>
      <right/>
      <top/>
      <bottom/>
    </border>
    <border>
      <left/>
      <right/>
      <top style="thin"/>
      <bottom style="thin"/>
    </border>
    <border>
      <left/>
      <right/>
      <top style="thin"/>
      <bottom/>
    </border>
    <border>
      <left style="thin"/>
      <right/>
      <top style="thin"/>
      <bottom/>
    </border>
    <border>
      <left/>
      <right style="thin"/>
      <top style="thin"/>
      <bottom/>
    </border>
    <border>
      <left/>
      <right style="thin"/>
      <top style="thin"/>
      <bottom style="thin"/>
    </border>
    <border>
      <left/>
      <right/>
      <top style="thick"/>
      <bottom/>
    </border>
    <border>
      <left style="thin"/>
      <right style="thin"/>
      <top/>
      <bottom style="thin"/>
    </border>
    <border>
      <left style="thick"/>
      <right/>
      <top/>
      <bottom style="thin"/>
    </border>
    <border>
      <left/>
      <right style="thick"/>
      <top/>
      <bottom style="thin"/>
    </border>
    <border>
      <left style="thick"/>
      <right/>
      <top/>
      <bottom/>
    </border>
    <border>
      <left/>
      <right style="thick"/>
      <top/>
      <bottom/>
    </border>
    <border>
      <left/>
      <right style="thin"/>
      <top/>
      <bottom style="thin"/>
    </border>
    <border>
      <left style="thin"/>
      <right/>
      <top style="thick"/>
      <bottom/>
    </border>
    <border>
      <left/>
      <right style="thin"/>
      <top style="thick"/>
      <bottom/>
    </border>
    <border>
      <left style="thin"/>
      <right/>
      <top/>
      <bottom style="thin"/>
    </border>
    <border>
      <left style="thick"/>
      <right/>
      <top style="thin"/>
      <bottom/>
    </border>
    <border>
      <left/>
      <right/>
      <top/>
      <bottom style="thick"/>
    </border>
    <border>
      <left style="thin"/>
      <right/>
      <top/>
      <bottom style="thick"/>
    </border>
    <border>
      <left/>
      <right/>
      <top style="medium"/>
      <bottom/>
    </border>
  </borders>
  <cellStyleXfs count="3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Font="0" applyBorder="0" applyAlignment="0" applyProtection="0"/>
    <xf numFmtId="0" fontId="90" fillId="3" borderId="0" applyNumberFormat="0" applyBorder="0" applyAlignment="0" applyProtection="0"/>
    <xf numFmtId="0" fontId="1" fillId="4" borderId="0" applyNumberFormat="0" applyBorder="0" applyAlignment="0" applyProtection="0"/>
    <xf numFmtId="0" fontId="90" fillId="3" borderId="0" applyNumberFormat="0" applyBorder="0" applyAlignment="0" applyProtection="0"/>
    <xf numFmtId="0" fontId="90" fillId="5" borderId="0" applyNumberFormat="0" applyBorder="0" applyAlignment="0" applyProtection="0"/>
    <xf numFmtId="0" fontId="1" fillId="6" borderId="0" applyNumberFormat="0" applyBorder="0" applyAlignment="0" applyProtection="0"/>
    <xf numFmtId="0" fontId="90" fillId="5" borderId="0" applyNumberFormat="0" applyBorder="0" applyAlignment="0" applyProtection="0"/>
    <xf numFmtId="0" fontId="90" fillId="7" borderId="0" applyNumberFormat="0" applyBorder="0" applyAlignment="0" applyProtection="0"/>
    <xf numFmtId="0" fontId="1" fillId="8" borderId="0" applyNumberFormat="0" applyBorder="0" applyAlignment="0" applyProtection="0"/>
    <xf numFmtId="0" fontId="90" fillId="7" borderId="0" applyNumberFormat="0" applyBorder="0" applyAlignment="0" applyProtection="0"/>
    <xf numFmtId="0" fontId="90" fillId="9" borderId="0" applyNumberFormat="0" applyBorder="0" applyAlignment="0" applyProtection="0"/>
    <xf numFmtId="0" fontId="1" fillId="10" borderId="0" applyNumberFormat="0" applyBorder="0" applyAlignment="0" applyProtection="0"/>
    <xf numFmtId="0" fontId="90" fillId="9" borderId="0" applyNumberFormat="0" applyBorder="0" applyAlignment="0" applyProtection="0"/>
    <xf numFmtId="0" fontId="90" fillId="11" borderId="0" applyNumberFormat="0" applyBorder="0" applyAlignment="0" applyProtection="0"/>
    <xf numFmtId="0" fontId="1" fillId="12" borderId="0" applyNumberFormat="0" applyBorder="0" applyAlignment="0" applyProtection="0"/>
    <xf numFmtId="0" fontId="90" fillId="11" borderId="0" applyNumberFormat="0" applyBorder="0" applyAlignment="0" applyProtection="0"/>
    <xf numFmtId="0" fontId="90" fillId="13" borderId="0" applyNumberFormat="0" applyBorder="0" applyAlignment="0" applyProtection="0"/>
    <xf numFmtId="0" fontId="1" fillId="2" borderId="0" applyNumberFormat="0" applyBorder="0" applyAlignment="0" applyProtection="0"/>
    <xf numFmtId="0" fontId="90" fillId="13" borderId="0" applyNumberFormat="0" applyBorder="0" applyAlignment="0" applyProtection="0"/>
    <xf numFmtId="0" fontId="90" fillId="14" borderId="0" applyNumberFormat="0" applyBorder="0" applyAlignment="0" applyProtection="0"/>
    <xf numFmtId="0" fontId="1" fillId="15" borderId="0" applyNumberFormat="0" applyBorder="0" applyAlignment="0" applyProtection="0"/>
    <xf numFmtId="0" fontId="90" fillId="14" borderId="0" applyNumberFormat="0" applyBorder="0" applyAlignment="0" applyProtection="0"/>
    <xf numFmtId="0" fontId="90" fillId="16" borderId="0" applyNumberFormat="0" applyBorder="0" applyAlignment="0" applyProtection="0"/>
    <xf numFmtId="0" fontId="1" fillId="17" borderId="0" applyNumberFormat="0" applyBorder="0" applyAlignment="0" applyProtection="0"/>
    <xf numFmtId="0" fontId="90" fillId="16" borderId="0" applyNumberFormat="0" applyBorder="0" applyAlignment="0" applyProtection="0"/>
    <xf numFmtId="0" fontId="90" fillId="18" borderId="0" applyNumberFormat="0" applyBorder="0" applyAlignment="0" applyProtection="0"/>
    <xf numFmtId="0" fontId="1" fillId="19" borderId="0" applyNumberFormat="0" applyBorder="0" applyAlignment="0" applyProtection="0"/>
    <xf numFmtId="0" fontId="90" fillId="18" borderId="0" applyNumberFormat="0" applyBorder="0" applyAlignment="0" applyProtection="0"/>
    <xf numFmtId="0" fontId="90" fillId="20" borderId="0" applyNumberFormat="0" applyBorder="0" applyAlignment="0" applyProtection="0"/>
    <xf numFmtId="0" fontId="1" fillId="10"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1" fillId="15"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1" fillId="23" borderId="0" applyNumberFormat="0" applyBorder="0" applyAlignment="0" applyProtection="0"/>
    <xf numFmtId="0" fontId="90" fillId="22" borderId="0" applyNumberFormat="0" applyBorder="0" applyAlignment="0" applyProtection="0"/>
    <xf numFmtId="0" fontId="91" fillId="24" borderId="0" applyNumberFormat="0" applyBorder="0" applyAlignment="0" applyProtection="0"/>
    <xf numFmtId="0" fontId="62" fillId="25" borderId="0" applyNumberFormat="0" applyBorder="0" applyAlignment="0" applyProtection="0"/>
    <xf numFmtId="0" fontId="91" fillId="26" borderId="0" applyNumberFormat="0" applyBorder="0" applyAlignment="0" applyProtection="0"/>
    <xf numFmtId="0" fontId="62" fillId="17" borderId="0" applyNumberFormat="0" applyBorder="0" applyAlignment="0" applyProtection="0"/>
    <xf numFmtId="0" fontId="91" fillId="27" borderId="0" applyNumberFormat="0" applyBorder="0" applyAlignment="0" applyProtection="0"/>
    <xf numFmtId="0" fontId="62" fillId="19" borderId="0" applyNumberFormat="0" applyBorder="0" applyAlignment="0" applyProtection="0"/>
    <xf numFmtId="0" fontId="91" fillId="28" borderId="0" applyNumberFormat="0" applyBorder="0" applyAlignment="0" applyProtection="0"/>
    <xf numFmtId="0" fontId="62" fillId="29" borderId="0" applyNumberFormat="0" applyBorder="0" applyAlignment="0" applyProtection="0"/>
    <xf numFmtId="0" fontId="91" fillId="30" borderId="0" applyNumberFormat="0" applyBorder="0" applyAlignment="0" applyProtection="0"/>
    <xf numFmtId="0" fontId="62" fillId="31" borderId="0" applyNumberFormat="0" applyBorder="0" applyAlignment="0" applyProtection="0"/>
    <xf numFmtId="0" fontId="91" fillId="32" borderId="0" applyNumberFormat="0" applyBorder="0" applyAlignment="0" applyProtection="0"/>
    <xf numFmtId="0" fontId="62" fillId="33" borderId="0" applyNumberFormat="0" applyBorder="0" applyAlignment="0" applyProtection="0"/>
    <xf numFmtId="0" fontId="92" fillId="34" borderId="0" applyProtection="0">
      <alignment vertical="center"/>
    </xf>
    <xf numFmtId="0" fontId="80" fillId="35" borderId="0" applyProtection="0">
      <alignment vertical="center"/>
    </xf>
    <xf numFmtId="0" fontId="91" fillId="36" borderId="0" applyNumberFormat="0" applyBorder="0" applyAlignment="0" applyProtection="0"/>
    <xf numFmtId="0" fontId="62" fillId="37" borderId="0" applyNumberFormat="0" applyBorder="0" applyAlignment="0" applyProtection="0"/>
    <xf numFmtId="0" fontId="91" fillId="38" borderId="0" applyNumberFormat="0" applyBorder="0" applyAlignment="0" applyProtection="0"/>
    <xf numFmtId="0" fontId="62" fillId="39" borderId="0" applyNumberFormat="0" applyBorder="0" applyAlignment="0" applyProtection="0"/>
    <xf numFmtId="0" fontId="91" fillId="40" borderId="0" applyNumberFormat="0" applyBorder="0" applyAlignment="0" applyProtection="0"/>
    <xf numFmtId="0" fontId="62" fillId="41" borderId="0" applyNumberFormat="0" applyBorder="0" applyAlignment="0" applyProtection="0"/>
    <xf numFmtId="0" fontId="91" fillId="42" borderId="0" applyNumberFormat="0" applyBorder="0" applyAlignment="0" applyProtection="0"/>
    <xf numFmtId="0" fontId="62" fillId="29" borderId="0" applyNumberFormat="0" applyBorder="0" applyAlignment="0" applyProtection="0"/>
    <xf numFmtId="0" fontId="91" fillId="43" borderId="0" applyNumberFormat="0" applyBorder="0" applyAlignment="0" applyProtection="0"/>
    <xf numFmtId="0" fontId="62" fillId="31" borderId="0" applyNumberFormat="0" applyBorder="0" applyAlignment="0" applyProtection="0"/>
    <xf numFmtId="0" fontId="91" fillId="44" borderId="0" applyNumberFormat="0" applyBorder="0" applyAlignment="0" applyProtection="0"/>
    <xf numFmtId="0" fontId="62" fillId="45" borderId="0" applyNumberFormat="0" applyBorder="0" applyAlignment="0" applyProtection="0"/>
    <xf numFmtId="0" fontId="93" fillId="46" borderId="0" applyNumberFormat="0" applyBorder="0" applyAlignment="0" applyProtection="0"/>
    <xf numFmtId="0" fontId="52" fillId="6" borderId="0" applyNumberFormat="0" applyBorder="0" applyAlignment="0" applyProtection="0"/>
    <xf numFmtId="184" fontId="81" fillId="0" borderId="0">
      <alignment vertical="center"/>
      <protection/>
    </xf>
    <xf numFmtId="185" fontId="81" fillId="0" borderId="0">
      <alignment horizontal="right" vertical="center"/>
      <protection/>
    </xf>
    <xf numFmtId="0" fontId="94" fillId="47" borderId="1" applyNumberFormat="0" applyAlignment="0" applyProtection="0"/>
    <xf numFmtId="0" fontId="56" fillId="48" borderId="2" applyNumberFormat="0" applyAlignment="0" applyProtection="0"/>
    <xf numFmtId="0" fontId="95" fillId="49" borderId="3" applyNumberFormat="0" applyAlignment="0" applyProtection="0"/>
    <xf numFmtId="0" fontId="58" fillId="50" borderId="4" applyNumberFormat="0" applyAlignment="0" applyProtection="0"/>
    <xf numFmtId="0" fontId="36"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9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90" fillId="0" borderId="0" applyFont="0" applyFill="0" applyBorder="0" applyAlignment="0" applyProtection="0"/>
    <xf numFmtId="175" fontId="90" fillId="0" borderId="0" applyFont="0" applyFill="0" applyBorder="0" applyAlignment="0" applyProtection="0"/>
    <xf numFmtId="175" fontId="90" fillId="0" borderId="0" applyFont="0" applyFill="0" applyBorder="0" applyAlignment="0" applyProtection="0"/>
    <xf numFmtId="175" fontId="90" fillId="0" borderId="0" applyFont="0" applyFill="0" applyBorder="0" applyAlignment="0" applyProtection="0"/>
    <xf numFmtId="49" fontId="0" fillId="0" borderId="0">
      <alignment vertical="top" wrapText="1"/>
      <protection/>
    </xf>
    <xf numFmtId="0" fontId="37"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80" fontId="90" fillId="0" borderId="0" applyFont="0" applyFill="0" applyBorder="0" applyAlignment="0" applyProtection="0"/>
    <xf numFmtId="180" fontId="90" fillId="0" borderId="0" applyFont="0" applyFill="0" applyBorder="0" applyAlignment="0" applyProtection="0"/>
    <xf numFmtId="180" fontId="0" fillId="0" borderId="0" applyFont="0" applyFill="0" applyBorder="0" applyAlignment="0" applyProtection="0"/>
    <xf numFmtId="182" fontId="96" fillId="0" borderId="0" applyFont="0" applyFill="0" applyBorder="0" applyAlignment="0" applyProtection="0"/>
    <xf numFmtId="176" fontId="38" fillId="0" borderId="5" applyNumberFormat="0" applyFill="0">
      <alignment horizontal="right"/>
      <protection/>
    </xf>
    <xf numFmtId="176" fontId="38" fillId="0" borderId="5" applyNumberFormat="0" applyFill="0">
      <alignment horizontal="right"/>
      <protection/>
    </xf>
    <xf numFmtId="176" fontId="38" fillId="0" borderId="5" applyNumberFormat="0" applyFill="0">
      <alignment horizontal="right"/>
      <protection/>
    </xf>
    <xf numFmtId="176" fontId="38" fillId="0" borderId="5" applyNumberFormat="0" applyFill="0">
      <alignment horizontal="right"/>
      <protection/>
    </xf>
    <xf numFmtId="177" fontId="39" fillId="0" borderId="5">
      <alignment horizontal="right" vertical="center"/>
      <protection/>
    </xf>
    <xf numFmtId="177" fontId="39" fillId="0" borderId="5">
      <alignment horizontal="right" vertical="center"/>
      <protection/>
    </xf>
    <xf numFmtId="49" fontId="40" fillId="0" borderId="5">
      <alignment horizontal="left" vertical="center"/>
      <protection/>
    </xf>
    <xf numFmtId="49" fontId="40" fillId="0" borderId="5">
      <alignment horizontal="left" vertical="center"/>
      <protection/>
    </xf>
    <xf numFmtId="176" fontId="38" fillId="0" borderId="5" applyNumberFormat="0" applyFill="0">
      <alignment horizontal="right"/>
      <protection/>
    </xf>
    <xf numFmtId="3" fontId="85" fillId="0" borderId="6">
      <alignment horizontal="right" vertical="top"/>
      <protection/>
    </xf>
    <xf numFmtId="164" fontId="85" fillId="0" borderId="7">
      <alignment/>
      <protection/>
    </xf>
    <xf numFmtId="4" fontId="85" fillId="0" borderId="7">
      <alignment/>
      <protection/>
    </xf>
    <xf numFmtId="0" fontId="9" fillId="51" borderId="8">
      <alignment horizontal="center" vertical="top" wrapText="1"/>
      <protection/>
    </xf>
    <xf numFmtId="0" fontId="86" fillId="0" borderId="0">
      <alignment vertical="top" wrapText="1"/>
      <protection/>
    </xf>
    <xf numFmtId="173" fontId="29" fillId="0" borderId="0" applyFont="0" applyFill="0" applyBorder="0" applyAlignment="0" applyProtection="0"/>
    <xf numFmtId="0" fontId="97" fillId="0" borderId="0" applyNumberFormat="0" applyFill="0" applyBorder="0" applyAlignment="0" applyProtection="0"/>
    <xf numFmtId="0" fontId="60" fillId="0" borderId="0" applyNumberFormat="0" applyFill="0" applyBorder="0" applyAlignment="0" applyProtection="0"/>
    <xf numFmtId="183" fontId="96" fillId="0" borderId="0" applyBorder="0" applyProtection="0">
      <alignment/>
    </xf>
    <xf numFmtId="2" fontId="77" fillId="0" borderId="0" applyFill="0" applyBorder="0" applyAlignment="0" applyProtection="0"/>
    <xf numFmtId="0" fontId="46" fillId="0" borderId="0" applyNumberFormat="0" applyFill="0" applyBorder="0" applyAlignment="0" applyProtection="0"/>
    <xf numFmtId="0" fontId="98" fillId="52" borderId="0" applyNumberFormat="0" applyBorder="0" applyAlignment="0" applyProtection="0"/>
    <xf numFmtId="0" fontId="51" fillId="8" borderId="0" applyNumberFormat="0" applyBorder="0" applyAlignment="0" applyProtection="0"/>
    <xf numFmtId="0" fontId="30" fillId="0" borderId="0">
      <alignment horizontal="left"/>
      <protection/>
    </xf>
    <xf numFmtId="0" fontId="99" fillId="0" borderId="9" applyNumberFormat="0" applyFill="0" applyAlignment="0" applyProtection="0"/>
    <xf numFmtId="0" fontId="64" fillId="0" borderId="10" applyNumberFormat="0" applyFill="0" applyAlignment="0" applyProtection="0"/>
    <xf numFmtId="0" fontId="100" fillId="0" borderId="11" applyNumberFormat="0" applyFill="0" applyAlignment="0" applyProtection="0"/>
    <xf numFmtId="0" fontId="65" fillId="0" borderId="12" applyNumberFormat="0" applyFill="0" applyAlignment="0" applyProtection="0"/>
    <xf numFmtId="0" fontId="101" fillId="0" borderId="13" applyNumberFormat="0" applyFill="0" applyAlignment="0" applyProtection="0"/>
    <xf numFmtId="0" fontId="66" fillId="0" borderId="14" applyNumberFormat="0" applyFill="0" applyAlignment="0" applyProtection="0"/>
    <xf numFmtId="0" fontId="101" fillId="0" borderId="0" applyNumberFormat="0" applyFill="0" applyBorder="0" applyAlignment="0" applyProtection="0"/>
    <xf numFmtId="0" fontId="66" fillId="0" borderId="0" applyNumberFormat="0" applyFill="0" applyBorder="0" applyAlignment="0" applyProtection="0"/>
    <xf numFmtId="0" fontId="102" fillId="0" borderId="0" applyBorder="0" applyProtection="0">
      <alignment horizontal="left"/>
    </xf>
    <xf numFmtId="0" fontId="41" fillId="0" borderId="5">
      <alignment horizontal="left"/>
      <protection/>
    </xf>
    <xf numFmtId="0" fontId="41" fillId="0" borderId="5">
      <alignment horizontal="left"/>
      <protection/>
    </xf>
    <xf numFmtId="0" fontId="41" fillId="0" borderId="5">
      <alignment horizontal="left"/>
      <protection/>
    </xf>
    <xf numFmtId="0" fontId="41" fillId="0" borderId="5">
      <alignment horizontal="left"/>
      <protection/>
    </xf>
    <xf numFmtId="0" fontId="42" fillId="0" borderId="15">
      <alignment horizontal="right" vertical="center"/>
      <protection/>
    </xf>
    <xf numFmtId="0" fontId="43" fillId="0" borderId="5">
      <alignment horizontal="left" vertical="center"/>
      <protection/>
    </xf>
    <xf numFmtId="0" fontId="43" fillId="0" borderId="5">
      <alignment horizontal="left" vertical="center"/>
      <protection/>
    </xf>
    <xf numFmtId="0" fontId="38" fillId="0" borderId="5">
      <alignment horizontal="left" vertical="center"/>
      <protection/>
    </xf>
    <xf numFmtId="0" fontId="38" fillId="0" borderId="5">
      <alignment horizontal="left" vertical="center"/>
      <protection/>
    </xf>
    <xf numFmtId="0" fontId="41" fillId="0" borderId="5">
      <alignment horizontal="left"/>
      <protection/>
    </xf>
    <xf numFmtId="0" fontId="41" fillId="53" borderId="0">
      <alignment horizontal="centerContinuous" wrapText="1"/>
      <protection/>
    </xf>
    <xf numFmtId="49" fontId="41" fillId="53" borderId="16">
      <alignment horizontal="left" vertical="center"/>
      <protection/>
    </xf>
    <xf numFmtId="49" fontId="41" fillId="53" borderId="16">
      <alignment horizontal="left" vertical="center"/>
      <protection/>
    </xf>
    <xf numFmtId="0" fontId="41" fillId="53" borderId="0">
      <alignment horizontal="centerContinuous" vertical="center" wrapText="1"/>
      <protection/>
    </xf>
    <xf numFmtId="0" fontId="45" fillId="0" borderId="0" applyNumberFormat="0" applyFill="0" applyBorder="0" applyAlignment="0" applyProtection="0"/>
    <xf numFmtId="0" fontId="35" fillId="0" borderId="0" applyNumberFormat="0" applyFill="0" applyBorder="0" applyAlignment="0" applyProtection="0"/>
    <xf numFmtId="0" fontId="68" fillId="0" borderId="0" applyNumberFormat="0" applyFill="0" applyBorder="0" applyAlignment="0" applyProtection="0"/>
    <xf numFmtId="0" fontId="103" fillId="0" borderId="0" applyFill="0" applyBorder="0" applyAlignment="0" applyProtection="0"/>
    <xf numFmtId="0" fontId="104" fillId="0" borderId="0" applyFill="0" applyBorder="0" applyAlignment="0" applyProtection="0"/>
    <xf numFmtId="0" fontId="105" fillId="0" borderId="0" applyBorder="0" applyProtection="0">
      <alignment/>
    </xf>
    <xf numFmtId="0" fontId="106" fillId="0" borderId="0" applyNumberFormat="0" applyFill="0" applyBorder="0" applyAlignment="0" applyProtection="0"/>
    <xf numFmtId="0" fontId="107" fillId="54" borderId="1" applyNumberFormat="0" applyAlignment="0" applyProtection="0"/>
    <xf numFmtId="0" fontId="54" fillId="2" borderId="2" applyNumberFormat="0" applyAlignment="0" applyProtection="0"/>
    <xf numFmtId="0" fontId="84" fillId="0" borderId="0">
      <alignment/>
      <protection/>
    </xf>
    <xf numFmtId="0" fontId="108" fillId="0" borderId="17" applyNumberFormat="0" applyFill="0" applyAlignment="0" applyProtection="0"/>
    <xf numFmtId="0" fontId="57" fillId="0" borderId="18" applyNumberFormat="0" applyFill="0" applyAlignment="0" applyProtection="0"/>
    <xf numFmtId="0" fontId="109" fillId="55" borderId="0" applyNumberFormat="0" applyBorder="0" applyAlignment="0" applyProtection="0"/>
    <xf numFmtId="0" fontId="53" fillId="56" borderId="0" applyNumberFormat="0" applyBorder="0" applyAlignment="0" applyProtection="0"/>
    <xf numFmtId="0" fontId="96" fillId="0" borderId="0" applyNumberFormat="0" applyBorder="0" applyAlignment="0">
      <protection/>
    </xf>
    <xf numFmtId="0" fontId="28" fillId="0" borderId="0">
      <alignment/>
      <protection/>
    </xf>
    <xf numFmtId="0" fontId="90" fillId="0" borderId="0">
      <alignment/>
      <protection/>
    </xf>
    <xf numFmtId="181" fontId="110" fillId="0" borderId="0">
      <alignment/>
      <protection/>
    </xf>
    <xf numFmtId="0" fontId="96" fillId="0" borderId="0">
      <alignment/>
      <protection/>
    </xf>
    <xf numFmtId="0" fontId="111"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112" fillId="0" borderId="0">
      <alignment/>
      <protection/>
    </xf>
    <xf numFmtId="0" fontId="0" fillId="0" borderId="0">
      <alignment/>
      <protection/>
    </xf>
    <xf numFmtId="0" fontId="3" fillId="0" borderId="0">
      <alignment/>
      <protection/>
    </xf>
    <xf numFmtId="0" fontId="63" fillId="0" borderId="0">
      <alignment/>
      <protection/>
    </xf>
    <xf numFmtId="0" fontId="113" fillId="0" borderId="0" applyBorder="0" applyProtection="0">
      <alignment/>
    </xf>
    <xf numFmtId="0" fontId="0" fillId="0" borderId="0">
      <alignment vertical="top" wrapText="1"/>
      <protection/>
    </xf>
    <xf numFmtId="0" fontId="28" fillId="0" borderId="0">
      <alignment/>
      <protection/>
    </xf>
    <xf numFmtId="0" fontId="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0" fillId="0" borderId="0">
      <alignment/>
      <protection/>
    </xf>
    <xf numFmtId="0" fontId="113" fillId="0" borderId="0" applyBorder="0" applyProtection="0">
      <alignment/>
    </xf>
    <xf numFmtId="0" fontId="0" fillId="0" borderId="0">
      <alignment/>
      <protection/>
    </xf>
    <xf numFmtId="0" fontId="3"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0" fillId="0" borderId="0">
      <alignment/>
      <protection/>
    </xf>
    <xf numFmtId="0" fontId="90" fillId="0" borderId="0">
      <alignment/>
      <protection/>
    </xf>
    <xf numFmtId="0" fontId="0" fillId="0" borderId="0">
      <alignment/>
      <protection/>
    </xf>
    <xf numFmtId="0" fontId="0" fillId="0" borderId="0">
      <alignment/>
      <protection/>
    </xf>
    <xf numFmtId="0" fontId="0" fillId="0" borderId="0">
      <alignment wrapText="1"/>
      <protection/>
    </xf>
    <xf numFmtId="171" fontId="29" fillId="0" borderId="0">
      <alignment/>
      <protection/>
    </xf>
    <xf numFmtId="0" fontId="90" fillId="0" borderId="0">
      <alignment/>
      <protection/>
    </xf>
    <xf numFmtId="0" fontId="90" fillId="0" borderId="0">
      <alignment/>
      <protection/>
    </xf>
    <xf numFmtId="0" fontId="90" fillId="0" borderId="0">
      <alignment/>
      <protection/>
    </xf>
    <xf numFmtId="0" fontId="0" fillId="0" borderId="0">
      <alignment/>
      <protection/>
    </xf>
    <xf numFmtId="0" fontId="29" fillId="0" borderId="0">
      <alignment/>
      <protection/>
    </xf>
    <xf numFmtId="0" fontId="90" fillId="0" borderId="0">
      <alignment/>
      <protection/>
    </xf>
    <xf numFmtId="0" fontId="90" fillId="0" borderId="0">
      <alignment/>
      <protection/>
    </xf>
    <xf numFmtId="0" fontId="0" fillId="0" borderId="0">
      <alignment/>
      <protection/>
    </xf>
    <xf numFmtId="0" fontId="90" fillId="0" borderId="0">
      <alignment/>
      <protection/>
    </xf>
    <xf numFmtId="0" fontId="0" fillId="0" borderId="0">
      <alignment/>
      <protection/>
    </xf>
    <xf numFmtId="0" fontId="0" fillId="0" borderId="0">
      <alignment/>
      <protection/>
    </xf>
    <xf numFmtId="0" fontId="0" fillId="0" borderId="0">
      <alignment/>
      <protection/>
    </xf>
    <xf numFmtId="0" fontId="0" fillId="57" borderId="19" applyNumberFormat="0" applyFont="0" applyAlignment="0" applyProtection="0"/>
    <xf numFmtId="0" fontId="90" fillId="57" borderId="19" applyNumberFormat="0" applyFont="0" applyAlignment="0" applyProtection="0"/>
    <xf numFmtId="0" fontId="0" fillId="58" borderId="20" applyNumberFormat="0" applyFont="0" applyAlignment="0" applyProtection="0"/>
    <xf numFmtId="0" fontId="90" fillId="57" borderId="19" applyNumberFormat="0" applyFont="0" applyAlignment="0" applyProtection="0"/>
    <xf numFmtId="0" fontId="114" fillId="47" borderId="21" applyNumberFormat="0" applyAlignment="0" applyProtection="0"/>
    <xf numFmtId="0" fontId="55" fillId="48" borderId="2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0" fillId="0" borderId="0" applyFont="0" applyFill="0" applyBorder="0" applyAlignment="0" applyProtection="0"/>
    <xf numFmtId="9" fontId="11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172" fontId="29" fillId="0" borderId="0" applyFill="0" applyBorder="0" applyAlignment="0" applyProtection="0"/>
    <xf numFmtId="0" fontId="0" fillId="0" borderId="0">
      <alignment/>
      <protection/>
    </xf>
    <xf numFmtId="0" fontId="115" fillId="0" borderId="0" applyBorder="0" applyProtection="0">
      <alignment/>
    </xf>
    <xf numFmtId="3" fontId="39" fillId="0" borderId="0">
      <alignment horizontal="left" vertical="center"/>
      <protection/>
    </xf>
    <xf numFmtId="0" fontId="36" fillId="0" borderId="0">
      <alignment horizontal="left" vertical="center"/>
      <protection/>
    </xf>
    <xf numFmtId="0" fontId="115" fillId="0" borderId="0" applyBorder="0" applyProtection="0">
      <alignment/>
    </xf>
    <xf numFmtId="0" fontId="31" fillId="0" borderId="0">
      <alignment/>
      <protection/>
    </xf>
    <xf numFmtId="0" fontId="116" fillId="0" borderId="0" applyBorder="0" applyProtection="0">
      <alignment/>
    </xf>
    <xf numFmtId="0" fontId="26" fillId="0" borderId="0">
      <alignment horizontal="right"/>
      <protection/>
    </xf>
    <xf numFmtId="49" fontId="26" fillId="0" borderId="0">
      <alignment horizontal="center"/>
      <protection/>
    </xf>
    <xf numFmtId="0" fontId="40" fillId="0" borderId="0">
      <alignment horizontal="right"/>
      <protection/>
    </xf>
    <xf numFmtId="0" fontId="40" fillId="0" borderId="0">
      <alignment horizontal="right"/>
      <protection/>
    </xf>
    <xf numFmtId="0" fontId="26" fillId="0" borderId="0">
      <alignment horizontal="left"/>
      <protection/>
    </xf>
    <xf numFmtId="0" fontId="26"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0" borderId="0">
      <alignment/>
      <protection/>
    </xf>
    <xf numFmtId="49" fontId="39" fillId="0" borderId="0">
      <alignment horizontal="left" vertical="center"/>
      <protection/>
    </xf>
    <xf numFmtId="49" fontId="40" fillId="0" borderId="5">
      <alignment horizontal="left"/>
      <protection/>
    </xf>
    <xf numFmtId="49" fontId="40" fillId="0" borderId="5">
      <alignment horizontal="left"/>
      <protection/>
    </xf>
    <xf numFmtId="176" fontId="39" fillId="0" borderId="0" applyNumberFormat="0">
      <alignment horizontal="right"/>
      <protection/>
    </xf>
    <xf numFmtId="0" fontId="42" fillId="59" borderId="0">
      <alignment horizontal="centerContinuous" vertical="center" wrapText="1"/>
      <protection/>
    </xf>
    <xf numFmtId="0" fontId="42" fillId="0" borderId="23">
      <alignment horizontal="left" vertical="center"/>
      <protection/>
    </xf>
    <xf numFmtId="0" fontId="44" fillId="0" borderId="0">
      <alignment horizontal="left" vertical="top"/>
      <protection/>
    </xf>
    <xf numFmtId="164" fontId="32" fillId="60" borderId="24">
      <alignment vertical="center"/>
      <protection/>
    </xf>
    <xf numFmtId="168" fontId="33" fillId="60" borderId="24">
      <alignment vertical="center"/>
      <protection/>
    </xf>
    <xf numFmtId="164" fontId="34" fillId="61" borderId="24">
      <alignment vertical="center"/>
      <protection/>
    </xf>
    <xf numFmtId="0" fontId="0" fillId="62" borderId="25" applyBorder="0">
      <alignment horizontal="left" vertical="center"/>
      <protection/>
    </xf>
    <xf numFmtId="49" fontId="0" fillId="63" borderId="26">
      <alignment vertical="center" wrapText="1"/>
      <protection/>
    </xf>
    <xf numFmtId="0" fontId="0" fillId="64" borderId="27">
      <alignment horizontal="left" vertical="center" wrapText="1"/>
      <protection/>
    </xf>
    <xf numFmtId="0" fontId="13" fillId="65" borderId="26">
      <alignment horizontal="left" vertical="center" wrapText="1"/>
      <protection/>
    </xf>
    <xf numFmtId="0" fontId="0" fillId="33" borderId="26">
      <alignment horizontal="left" vertical="center" wrapText="1"/>
      <protection/>
    </xf>
    <xf numFmtId="0" fontId="0" fillId="66" borderId="26">
      <alignment horizontal="left" vertical="center" wrapText="1"/>
      <protection/>
    </xf>
    <xf numFmtId="0" fontId="117" fillId="0" borderId="0" applyNumberFormat="0" applyFill="0" applyBorder="0" applyAlignment="0" applyProtection="0"/>
    <xf numFmtId="0" fontId="67" fillId="0" borderId="0" applyNumberFormat="0" applyFill="0" applyBorder="0" applyAlignment="0" applyProtection="0"/>
    <xf numFmtId="0" fontId="118" fillId="0" borderId="0" applyNumberFormat="0" applyFill="0" applyBorder="0" applyAlignment="0" applyProtection="0"/>
    <xf numFmtId="0" fontId="41" fillId="0" borderId="0">
      <alignment horizontal="left"/>
      <protection/>
    </xf>
    <xf numFmtId="0" fontId="37" fillId="0" borderId="0">
      <alignment horizontal="left"/>
      <protection/>
    </xf>
    <xf numFmtId="0" fontId="38" fillId="0" borderId="0">
      <alignment horizontal="left"/>
      <protection/>
    </xf>
    <xf numFmtId="0" fontId="44" fillId="0" borderId="0">
      <alignment horizontal="left" vertical="top"/>
      <protection/>
    </xf>
    <xf numFmtId="0" fontId="37" fillId="0" borderId="0">
      <alignment horizontal="left"/>
      <protection/>
    </xf>
    <xf numFmtId="0" fontId="38" fillId="0" borderId="0">
      <alignment horizontal="left"/>
      <protection/>
    </xf>
    <xf numFmtId="0" fontId="19" fillId="67" borderId="0" applyNumberFormat="0" applyBorder="0">
      <alignment/>
      <protection locked="0"/>
    </xf>
    <xf numFmtId="0" fontId="119" fillId="0" borderId="28" applyNumberFormat="0" applyFill="0" applyAlignment="0" applyProtection="0"/>
    <xf numFmtId="0" fontId="61" fillId="0" borderId="29" applyNumberFormat="0" applyFill="0" applyAlignment="0" applyProtection="0"/>
    <xf numFmtId="0" fontId="20" fillId="68" borderId="0" applyNumberFormat="0" applyBorder="0">
      <alignment/>
      <protection locked="0"/>
    </xf>
    <xf numFmtId="0" fontId="120" fillId="0" borderId="0" applyNumberFormat="0" applyFill="0" applyBorder="0" applyAlignment="0" applyProtection="0"/>
    <xf numFmtId="0" fontId="59" fillId="0" borderId="0" applyNumberFormat="0" applyFill="0" applyBorder="0" applyAlignment="0" applyProtection="0"/>
    <xf numFmtId="49" fontId="39" fillId="0" borderId="5">
      <alignment horizontal="left"/>
      <protection/>
    </xf>
    <xf numFmtId="49" fontId="39" fillId="0" borderId="5">
      <alignment horizontal="left"/>
      <protection/>
    </xf>
    <xf numFmtId="0" fontId="42" fillId="0" borderId="15">
      <alignment horizontal="left"/>
      <protection/>
    </xf>
    <xf numFmtId="0" fontId="41" fillId="0" borderId="0">
      <alignment horizontal="left" vertical="center"/>
      <protection/>
    </xf>
    <xf numFmtId="49" fontId="26" fillId="0" borderId="5">
      <alignment horizontal="left"/>
      <protection/>
    </xf>
  </cellStyleXfs>
  <cellXfs count="625">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14" fillId="0" borderId="0" xfId="0" applyFont="1" applyAlignment="1">
      <alignment horizontal="left" vertical="center"/>
    </xf>
    <xf numFmtId="0" fontId="15" fillId="0" borderId="0" xfId="0" applyFont="1" applyAlignment="1">
      <alignment/>
    </xf>
    <xf numFmtId="0" fontId="0" fillId="0" borderId="0" xfId="0" applyAlignment="1">
      <alignment horizontal="center"/>
    </xf>
    <xf numFmtId="0" fontId="0" fillId="0" borderId="0" xfId="0" applyFill="1" applyAlignment="1">
      <alignment/>
    </xf>
    <xf numFmtId="0" fontId="4" fillId="0" borderId="25" xfId="0" applyFont="1" applyFill="1" applyBorder="1" applyAlignment="1">
      <alignment horizontal="center" vertical="center"/>
    </xf>
    <xf numFmtId="0" fontId="4" fillId="0" borderId="30" xfId="0" applyFont="1" applyFill="1" applyBorder="1" applyAlignment="1">
      <alignment horizontal="center" vertical="center"/>
    </xf>
    <xf numFmtId="0" fontId="5" fillId="0" borderId="0" xfId="0" applyFont="1" applyAlignment="1" quotePrefix="1">
      <alignment horizontal="right" vertical="top"/>
    </xf>
    <xf numFmtId="0" fontId="0" fillId="0" borderId="0" xfId="0" applyAlignment="1">
      <alignment vertical="top"/>
    </xf>
    <xf numFmtId="0" fontId="9" fillId="0" borderId="0" xfId="0" applyFont="1" applyAlignment="1">
      <alignment horizontal="center"/>
    </xf>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3" fillId="0" borderId="0" xfId="0" applyFont="1" applyFill="1" applyBorder="1" applyAlignment="1">
      <alignment horizontal="center" vertical="center"/>
    </xf>
    <xf numFmtId="0" fontId="21"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8" fillId="0" borderId="0" xfId="0" applyFont="1" applyAlignment="1">
      <alignment/>
    </xf>
    <xf numFmtId="0" fontId="5" fillId="0" borderId="0" xfId="0" applyFont="1" applyBorder="1" applyAlignment="1" quotePrefix="1">
      <alignment horizontal="right" vertical="top"/>
    </xf>
    <xf numFmtId="0" fontId="5" fillId="0" borderId="0" xfId="0" applyFont="1" applyAlignment="1">
      <alignment horizontal="center"/>
    </xf>
    <xf numFmtId="0" fontId="5" fillId="0" borderId="0" xfId="0" applyFont="1" applyBorder="1" applyAlignment="1">
      <alignment horizontal="right"/>
    </xf>
    <xf numFmtId="0" fontId="9" fillId="0" borderId="0" xfId="0" applyFont="1" applyBorder="1" applyAlignment="1">
      <alignment horizontal="center"/>
    </xf>
    <xf numFmtId="0" fontId="0" fillId="0" borderId="0" xfId="0" applyBorder="1" applyAlignment="1">
      <alignment/>
    </xf>
    <xf numFmtId="0" fontId="21" fillId="0" borderId="0" xfId="0" applyFont="1" applyBorder="1" applyAlignment="1">
      <alignment vertical="center"/>
    </xf>
    <xf numFmtId="0" fontId="4" fillId="0" borderId="0" xfId="0" applyFont="1" applyBorder="1" applyAlignment="1">
      <alignment/>
    </xf>
    <xf numFmtId="0" fontId="4" fillId="0" borderId="0" xfId="0" applyFont="1" applyAlignment="1">
      <alignment/>
    </xf>
    <xf numFmtId="0" fontId="4" fillId="0" borderId="0" xfId="0" applyFont="1" applyFill="1" applyBorder="1" applyAlignment="1">
      <alignment horizontal="left"/>
    </xf>
    <xf numFmtId="0" fontId="8" fillId="0" borderId="0" xfId="0" applyFont="1" applyAlignment="1">
      <alignment vertical="top"/>
    </xf>
    <xf numFmtId="2" fontId="3" fillId="0" borderId="0" xfId="0" applyNumberFormat="1" applyFont="1" applyFill="1" applyBorder="1" applyAlignment="1">
      <alignment horizontal="right" vertical="center"/>
    </xf>
    <xf numFmtId="0" fontId="8" fillId="0" borderId="0" xfId="0" applyFont="1" applyAlignment="1">
      <alignment/>
    </xf>
    <xf numFmtId="0" fontId="22" fillId="0" borderId="0" xfId="0" applyFont="1" applyAlignment="1">
      <alignment/>
    </xf>
    <xf numFmtId="0" fontId="4" fillId="0" borderId="31" xfId="0" applyFont="1" applyBorder="1" applyAlignment="1">
      <alignment horizontal="left" vertical="center"/>
    </xf>
    <xf numFmtId="0" fontId="17"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2" fontId="17"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49" fontId="0" fillId="0" borderId="0" xfId="0" applyNumberFormat="1" applyFont="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4" fillId="0" borderId="0" xfId="0" applyFont="1" applyBorder="1" applyAlignment="1">
      <alignment horizontal="left" wrapText="1"/>
    </xf>
    <xf numFmtId="0" fontId="4" fillId="8" borderId="30" xfId="0" applyFont="1" applyFill="1" applyBorder="1" applyAlignment="1">
      <alignment horizontal="center" vertical="center"/>
    </xf>
    <xf numFmtId="0" fontId="4" fillId="69" borderId="26" xfId="0" applyFont="1" applyFill="1" applyBorder="1" applyAlignment="1">
      <alignment horizontal="center" vertical="center"/>
    </xf>
    <xf numFmtId="0" fontId="4" fillId="69" borderId="26" xfId="0" applyFont="1" applyFill="1" applyBorder="1" applyAlignment="1">
      <alignment horizontal="center" vertical="center" wrapText="1"/>
    </xf>
    <xf numFmtId="1" fontId="4" fillId="8" borderId="25" xfId="0" applyNumberFormat="1" applyFont="1" applyFill="1" applyBorder="1" applyAlignment="1">
      <alignment horizontal="center" vertical="center"/>
    </xf>
    <xf numFmtId="1" fontId="4" fillId="8" borderId="30" xfId="0" applyNumberFormat="1" applyFont="1" applyFill="1" applyBorder="1" applyAlignment="1">
      <alignment horizontal="center" vertical="center"/>
    </xf>
    <xf numFmtId="0" fontId="5" fillId="0" borderId="0" xfId="0" applyFont="1" applyBorder="1" applyAlignment="1" quotePrefix="1">
      <alignment horizontal="right" vertical="top"/>
    </xf>
    <xf numFmtId="165" fontId="3" fillId="0" borderId="32"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31" xfId="0" applyNumberFormat="1" applyFont="1" applyFill="1" applyBorder="1" applyAlignment="1">
      <alignment horizontal="center" vertical="center"/>
    </xf>
    <xf numFmtId="165" fontId="4" fillId="0" borderId="31" xfId="0" applyNumberFormat="1" applyFont="1" applyFill="1" applyBorder="1" applyAlignment="1">
      <alignment horizontal="center" vertical="center"/>
    </xf>
    <xf numFmtId="0" fontId="11" fillId="0" borderId="0" xfId="0" applyFont="1" applyAlignment="1">
      <alignment/>
    </xf>
    <xf numFmtId="0" fontId="8" fillId="0" borderId="0" xfId="0" applyFont="1" applyBorder="1" applyAlignment="1">
      <alignment vertical="center"/>
    </xf>
    <xf numFmtId="0" fontId="8" fillId="0" borderId="0" xfId="0" applyFont="1" applyBorder="1" applyAlignment="1">
      <alignment/>
    </xf>
    <xf numFmtId="0" fontId="23" fillId="8" borderId="25" xfId="0" applyFont="1" applyFill="1" applyBorder="1" applyAlignment="1">
      <alignment horizontal="center" vertical="center"/>
    </xf>
    <xf numFmtId="0" fontId="4" fillId="0" borderId="0" xfId="0" applyFont="1" applyFill="1" applyBorder="1" applyAlignment="1">
      <alignment horizontal="center" vertical="center" textRotation="90"/>
    </xf>
    <xf numFmtId="0" fontId="23" fillId="8" borderId="30" xfId="0" applyFont="1" applyFill="1" applyBorder="1" applyAlignment="1">
      <alignment horizontal="center" vertical="center"/>
    </xf>
    <xf numFmtId="0" fontId="23" fillId="8" borderId="32" xfId="0" applyFont="1" applyFill="1" applyBorder="1" applyAlignment="1">
      <alignment horizontal="center" vertical="center"/>
    </xf>
    <xf numFmtId="0" fontId="4" fillId="0" borderId="0" xfId="0" applyFont="1" applyFill="1" applyBorder="1" applyAlignment="1">
      <alignment/>
    </xf>
    <xf numFmtId="0" fontId="3" fillId="0" borderId="0" xfId="0" applyFont="1" applyFill="1" applyBorder="1" applyAlignment="1">
      <alignment/>
    </xf>
    <xf numFmtId="0" fontId="17" fillId="0" borderId="0" xfId="0" applyFont="1" applyFill="1" applyBorder="1" applyAlignment="1">
      <alignment/>
    </xf>
    <xf numFmtId="0" fontId="4" fillId="0" borderId="0" xfId="0" applyFont="1" applyFill="1" applyBorder="1" applyAlignment="1">
      <alignment/>
    </xf>
    <xf numFmtId="0" fontId="24" fillId="0" borderId="0" xfId="0" applyFont="1" applyAlignment="1">
      <alignment/>
    </xf>
    <xf numFmtId="0" fontId="0" fillId="0" borderId="0" xfId="0" applyFill="1" applyBorder="1" applyAlignment="1">
      <alignment vertical="center"/>
    </xf>
    <xf numFmtId="0" fontId="0" fillId="0" borderId="0" xfId="0" applyFill="1" applyBorder="1" applyAlignment="1">
      <alignment/>
    </xf>
    <xf numFmtId="0" fontId="4" fillId="8" borderId="30" xfId="0" applyFont="1" applyFill="1" applyBorder="1" applyAlignment="1">
      <alignment horizontal="center" vertical="center"/>
    </xf>
    <xf numFmtId="0" fontId="3" fillId="70" borderId="26" xfId="0" applyFont="1" applyFill="1" applyBorder="1" applyAlignment="1">
      <alignment horizontal="left" vertical="top" wrapText="1"/>
    </xf>
    <xf numFmtId="0" fontId="4" fillId="70" borderId="26" xfId="0" applyFont="1" applyFill="1" applyBorder="1" applyAlignment="1">
      <alignment horizontal="center"/>
    </xf>
    <xf numFmtId="0" fontId="5" fillId="0" borderId="0" xfId="0" applyFont="1" applyBorder="1" applyAlignment="1" quotePrefix="1">
      <alignment horizontal="left" vertical="top"/>
    </xf>
    <xf numFmtId="2" fontId="3" fillId="0" borderId="0" xfId="0" applyNumberFormat="1" applyFont="1" applyBorder="1" applyAlignment="1">
      <alignment vertical="center"/>
    </xf>
    <xf numFmtId="0" fontId="23" fillId="0" borderId="32" xfId="0" applyFont="1" applyFill="1" applyBorder="1" applyAlignment="1">
      <alignment horizontal="center" vertical="center" wrapText="1"/>
    </xf>
    <xf numFmtId="169" fontId="3" fillId="0" borderId="32"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31" xfId="0" applyNumberFormat="1" applyFont="1" applyFill="1" applyBorder="1" applyAlignment="1">
      <alignment horizontal="center" vertical="center"/>
    </xf>
    <xf numFmtId="0" fontId="4" fillId="0" borderId="0" xfId="0" applyNumberFormat="1" applyFont="1" applyAlignment="1" applyProtection="1">
      <alignment horizontal="left" vertical="center"/>
      <protection locked="0"/>
    </xf>
    <xf numFmtId="164" fontId="17" fillId="0" borderId="0" xfId="0" applyNumberFormat="1" applyFont="1" applyBorder="1" applyAlignment="1">
      <alignment horizontal="center" vertical="center"/>
    </xf>
    <xf numFmtId="0" fontId="4" fillId="0" borderId="0" xfId="0" applyFont="1" applyAlignment="1">
      <alignment horizontal="left" vertical="center"/>
    </xf>
    <xf numFmtId="0" fontId="4" fillId="70" borderId="27" xfId="0" applyFont="1" applyFill="1" applyBorder="1" applyAlignment="1">
      <alignment horizontal="center" vertical="center"/>
    </xf>
    <xf numFmtId="0" fontId="4" fillId="70" borderId="33" xfId="0" applyFont="1" applyFill="1" applyBorder="1" applyAlignment="1">
      <alignment horizontal="center" vertical="center"/>
    </xf>
    <xf numFmtId="0" fontId="4" fillId="8" borderId="25" xfId="0" applyFont="1" applyFill="1" applyBorder="1" applyAlignment="1">
      <alignment horizontal="center" vertical="center"/>
    </xf>
    <xf numFmtId="165" fontId="3" fillId="0" borderId="27" xfId="0" applyNumberFormat="1" applyFont="1" applyFill="1" applyBorder="1" applyAlignment="1">
      <alignment horizontal="right" vertical="center"/>
    </xf>
    <xf numFmtId="165" fontId="3" fillId="0" borderId="33" xfId="0" applyNumberFormat="1" applyFont="1" applyFill="1" applyBorder="1" applyAlignment="1">
      <alignment horizontal="right" vertical="center"/>
    </xf>
    <xf numFmtId="165" fontId="3" fillId="0" borderId="33" xfId="0" applyNumberFormat="1" applyFont="1" applyBorder="1" applyAlignment="1">
      <alignment vertical="center"/>
    </xf>
    <xf numFmtId="165" fontId="3" fillId="0" borderId="27" xfId="0" applyNumberFormat="1" applyFont="1" applyBorder="1" applyAlignment="1">
      <alignment horizontal="right" vertical="center"/>
    </xf>
    <xf numFmtId="165" fontId="3" fillId="0" borderId="33" xfId="0" applyNumberFormat="1" applyFont="1" applyBorder="1" applyAlignment="1">
      <alignment horizontal="right" vertical="center"/>
    </xf>
    <xf numFmtId="165" fontId="3" fillId="0" borderId="27" xfId="0" applyNumberFormat="1" applyFont="1" applyBorder="1" applyAlignment="1">
      <alignment vertical="center"/>
    </xf>
    <xf numFmtId="0" fontId="4" fillId="0" borderId="0" xfId="0" applyNumberFormat="1" applyFont="1" applyAlignment="1" applyProtection="1">
      <alignment horizontal="left"/>
      <protection locked="0"/>
    </xf>
    <xf numFmtId="2" fontId="3" fillId="0" borderId="0" xfId="0" applyNumberFormat="1" applyFont="1" applyFill="1" applyBorder="1" applyAlignment="1" quotePrefix="1">
      <alignment horizontal="right" vertical="center"/>
    </xf>
    <xf numFmtId="2" fontId="3" fillId="0" borderId="34" xfId="0" applyNumberFormat="1" applyFont="1" applyFill="1" applyBorder="1" applyAlignment="1">
      <alignment horizontal="right" vertical="center"/>
    </xf>
    <xf numFmtId="2" fontId="3" fillId="0" borderId="32" xfId="0" applyNumberFormat="1" applyFont="1" applyFill="1" applyBorder="1" applyAlignment="1">
      <alignment horizontal="right" vertical="center"/>
    </xf>
    <xf numFmtId="0" fontId="23" fillId="69" borderId="26" xfId="0" applyFont="1" applyFill="1" applyBorder="1" applyAlignment="1">
      <alignment horizontal="center" vertical="center" wrapText="1"/>
    </xf>
    <xf numFmtId="168" fontId="3" fillId="0" borderId="30" xfId="0" applyNumberFormat="1" applyFont="1" applyBorder="1" applyAlignment="1">
      <alignment horizontal="right" vertical="center"/>
    </xf>
    <xf numFmtId="0" fontId="4" fillId="69" borderId="27" xfId="0" applyFont="1" applyFill="1" applyBorder="1" applyAlignment="1">
      <alignment horizontal="center" vertical="center" wrapText="1"/>
    </xf>
    <xf numFmtId="2" fontId="4" fillId="0" borderId="25" xfId="0" applyNumberFormat="1" applyFont="1" applyFill="1" applyBorder="1" applyAlignment="1">
      <alignment horizontal="right" vertical="center"/>
    </xf>
    <xf numFmtId="2" fontId="4" fillId="0" borderId="30" xfId="0" applyNumberFormat="1" applyFont="1" applyFill="1" applyBorder="1" applyAlignment="1">
      <alignment horizontal="right" vertical="center"/>
    </xf>
    <xf numFmtId="2" fontId="18" fillId="0" borderId="30" xfId="0" applyNumberFormat="1" applyFont="1" applyFill="1" applyBorder="1" applyAlignment="1">
      <alignment horizontal="right" vertical="center"/>
    </xf>
    <xf numFmtId="2" fontId="3" fillId="0" borderId="32" xfId="0" applyNumberFormat="1" applyFont="1" applyFill="1" applyBorder="1" applyAlignment="1" quotePrefix="1">
      <alignment horizontal="right" vertical="center"/>
    </xf>
    <xf numFmtId="165" fontId="3" fillId="0" borderId="0" xfId="0" applyNumberFormat="1" applyFont="1" applyAlignment="1">
      <alignment horizontal="center" vertical="center"/>
    </xf>
    <xf numFmtId="165" fontId="3" fillId="0" borderId="25" xfId="0" applyNumberFormat="1" applyFont="1" applyBorder="1" applyAlignment="1">
      <alignment horizontal="center" vertical="center"/>
    </xf>
    <xf numFmtId="165" fontId="3" fillId="0" borderId="31" xfId="0" applyNumberFormat="1" applyFont="1" applyBorder="1" applyAlignment="1">
      <alignment horizontal="center" vertical="center"/>
    </xf>
    <xf numFmtId="165" fontId="3" fillId="0" borderId="30" xfId="0" applyNumberFormat="1" applyFont="1" applyBorder="1" applyAlignment="1">
      <alignment horizontal="center" vertical="center"/>
    </xf>
    <xf numFmtId="2" fontId="3" fillId="0" borderId="34" xfId="0" applyNumberFormat="1" applyFont="1" applyFill="1" applyBorder="1" applyAlignment="1" quotePrefix="1">
      <alignment horizontal="right" vertical="center"/>
    </xf>
    <xf numFmtId="2" fontId="3" fillId="0" borderId="35" xfId="0" applyNumberFormat="1" applyFont="1" applyFill="1" applyBorder="1" applyAlignment="1" quotePrefix="1">
      <alignment horizontal="right" vertical="center"/>
    </xf>
    <xf numFmtId="0" fontId="0" fillId="0" borderId="25" xfId="0" applyBorder="1" applyAlignment="1">
      <alignment vertical="center"/>
    </xf>
    <xf numFmtId="165" fontId="0" fillId="0" borderId="0" xfId="0" applyNumberFormat="1" applyAlignment="1">
      <alignment/>
    </xf>
    <xf numFmtId="165" fontId="17" fillId="0" borderId="0" xfId="0" applyNumberFormat="1" applyFont="1" applyBorder="1" applyAlignment="1">
      <alignment horizontal="right" vertical="center"/>
    </xf>
    <xf numFmtId="165" fontId="17" fillId="0" borderId="0" xfId="0" applyNumberFormat="1" applyFont="1" applyFill="1" applyBorder="1" applyAlignment="1">
      <alignment horizontal="right" vertical="center"/>
    </xf>
    <xf numFmtId="165" fontId="17" fillId="8" borderId="0" xfId="0" applyNumberFormat="1" applyFont="1" applyFill="1" applyBorder="1" applyAlignment="1">
      <alignment horizontal="right" vertical="center"/>
    </xf>
    <xf numFmtId="165" fontId="17" fillId="0" borderId="0" xfId="0" applyNumberFormat="1" applyFont="1" applyBorder="1" applyAlignment="1">
      <alignment/>
    </xf>
    <xf numFmtId="165" fontId="17" fillId="71" borderId="0" xfId="0" applyNumberFormat="1" applyFont="1" applyFill="1" applyBorder="1" applyAlignment="1">
      <alignment horizontal="right" vertical="center"/>
    </xf>
    <xf numFmtId="166" fontId="17" fillId="0" borderId="34" xfId="0" applyNumberFormat="1" applyFont="1" applyBorder="1" applyAlignment="1">
      <alignment horizontal="center" vertical="center"/>
    </xf>
    <xf numFmtId="166" fontId="17" fillId="0" borderId="0" xfId="0" applyNumberFormat="1" applyFont="1" applyBorder="1" applyAlignment="1">
      <alignment horizontal="center" vertical="center"/>
    </xf>
    <xf numFmtId="170" fontId="25" fillId="0" borderId="34" xfId="0" applyNumberFormat="1" applyFont="1" applyFill="1" applyBorder="1" applyAlignment="1">
      <alignment horizontal="right" vertical="center"/>
    </xf>
    <xf numFmtId="170" fontId="25" fillId="0" borderId="0" xfId="0" applyNumberFormat="1" applyFont="1" applyFill="1" applyBorder="1" applyAlignment="1">
      <alignment horizontal="right" vertical="center"/>
    </xf>
    <xf numFmtId="170" fontId="25" fillId="0" borderId="33" xfId="0" applyNumberFormat="1" applyFont="1" applyFill="1" applyBorder="1" applyAlignment="1">
      <alignment horizontal="right" vertical="center"/>
    </xf>
    <xf numFmtId="0" fontId="4" fillId="8" borderId="30" xfId="0" applyFont="1" applyFill="1" applyBorder="1" applyAlignment="1">
      <alignment horizontal="center" vertical="center" wrapText="1"/>
    </xf>
    <xf numFmtId="165" fontId="17" fillId="0" borderId="34" xfId="0" applyNumberFormat="1" applyFont="1" applyBorder="1" applyAlignment="1">
      <alignment/>
    </xf>
    <xf numFmtId="165" fontId="17" fillId="0" borderId="36" xfId="0" applyNumberFormat="1" applyFont="1" applyBorder="1" applyAlignment="1">
      <alignment/>
    </xf>
    <xf numFmtId="165" fontId="17" fillId="0" borderId="31" xfId="0" applyNumberFormat="1" applyFont="1" applyBorder="1" applyAlignment="1">
      <alignment/>
    </xf>
    <xf numFmtId="165" fontId="4" fillId="0" borderId="0" xfId="0" applyNumberFormat="1" applyFont="1" applyAlignment="1" applyProtection="1">
      <alignment horizontal="left" vertical="center"/>
      <protection locked="0"/>
    </xf>
    <xf numFmtId="0" fontId="4" fillId="8" borderId="26" xfId="0" applyFont="1" applyFill="1" applyBorder="1" applyAlignment="1">
      <alignment horizontal="center"/>
    </xf>
    <xf numFmtId="165" fontId="18" fillId="8" borderId="33" xfId="0" applyNumberFormat="1" applyFont="1" applyFill="1" applyBorder="1" applyAlignment="1">
      <alignment horizontal="center"/>
    </xf>
    <xf numFmtId="0" fontId="4" fillId="8" borderId="26" xfId="0" applyFont="1" applyFill="1" applyBorder="1" applyAlignment="1">
      <alignment horizontal="center" vertical="center"/>
    </xf>
    <xf numFmtId="169" fontId="3" fillId="0" borderId="35" xfId="0" applyNumberFormat="1" applyFont="1" applyFill="1" applyBorder="1" applyAlignment="1">
      <alignment horizontal="center" vertical="center"/>
    </xf>
    <xf numFmtId="169" fontId="3" fillId="0" borderId="34" xfId="0" applyNumberFormat="1" applyFont="1" applyFill="1" applyBorder="1" applyAlignment="1">
      <alignment horizontal="center" vertical="center"/>
    </xf>
    <xf numFmtId="169" fontId="3" fillId="0" borderId="36"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5" fontId="0" fillId="0" borderId="0" xfId="0" applyNumberFormat="1" applyBorder="1" applyAlignment="1">
      <alignment/>
    </xf>
    <xf numFmtId="165" fontId="3" fillId="0" borderId="37" xfId="0" applyNumberFormat="1" applyFont="1" applyBorder="1" applyAlignment="1">
      <alignment vertical="center"/>
    </xf>
    <xf numFmtId="165" fontId="4" fillId="0" borderId="30" xfId="0" applyNumberFormat="1" applyFont="1" applyFill="1" applyBorder="1" applyAlignment="1">
      <alignment horizontal="center" vertical="center"/>
    </xf>
    <xf numFmtId="165" fontId="3" fillId="0" borderId="0" xfId="0" applyNumberFormat="1" applyFont="1" applyFill="1" applyBorder="1" applyAlignment="1">
      <alignment horizontal="right" vertical="center"/>
    </xf>
    <xf numFmtId="2" fontId="3" fillId="0" borderId="38" xfId="0" applyNumberFormat="1" applyFont="1" applyFill="1" applyBorder="1" applyAlignment="1">
      <alignment horizontal="right" vertical="center"/>
    </xf>
    <xf numFmtId="165" fontId="3" fillId="0" borderId="38" xfId="0" applyNumberFormat="1" applyFont="1" applyBorder="1" applyAlignment="1">
      <alignment horizontal="center" vertical="center"/>
    </xf>
    <xf numFmtId="165" fontId="17" fillId="0" borderId="0" xfId="0" applyNumberFormat="1" applyFont="1" applyBorder="1" applyAlignment="1">
      <alignment horizontal="center" vertical="center"/>
    </xf>
    <xf numFmtId="165" fontId="17" fillId="0" borderId="31" xfId="0" applyNumberFormat="1" applyFont="1" applyBorder="1" applyAlignment="1">
      <alignment horizontal="center" vertical="center"/>
    </xf>
    <xf numFmtId="165" fontId="17" fillId="0" borderId="30" xfId="0" applyNumberFormat="1" applyFont="1" applyBorder="1" applyAlignment="1">
      <alignment horizontal="center" vertical="center"/>
    </xf>
    <xf numFmtId="0" fontId="4" fillId="8" borderId="26" xfId="0" applyFont="1" applyFill="1" applyBorder="1" applyAlignment="1">
      <alignment horizontal="center" vertical="center" wrapText="1"/>
    </xf>
    <xf numFmtId="0" fontId="4" fillId="8" borderId="25" xfId="0" applyFont="1" applyFill="1" applyBorder="1" applyAlignment="1">
      <alignment horizontal="center" vertical="center" wrapText="1"/>
    </xf>
    <xf numFmtId="0" fontId="4" fillId="69" borderId="33" xfId="0" applyFont="1" applyFill="1" applyBorder="1" applyAlignment="1">
      <alignment horizontal="center" vertical="center" wrapText="1"/>
    </xf>
    <xf numFmtId="165" fontId="17" fillId="0" borderId="34" xfId="0" applyNumberFormat="1" applyFont="1" applyFill="1" applyBorder="1" applyAlignment="1">
      <alignment horizontal="right" vertical="center"/>
    </xf>
    <xf numFmtId="0" fontId="4" fillId="72" borderId="30" xfId="0" applyFont="1" applyFill="1" applyBorder="1" applyAlignment="1">
      <alignment horizontal="center" vertical="center"/>
    </xf>
    <xf numFmtId="165" fontId="17" fillId="72" borderId="0" xfId="0" applyNumberFormat="1" applyFont="1" applyFill="1" applyBorder="1" applyAlignment="1">
      <alignment horizontal="right" vertical="center"/>
    </xf>
    <xf numFmtId="165" fontId="3" fillId="0" borderId="0"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0" fontId="4" fillId="0" borderId="0" xfId="0" applyNumberFormat="1" applyFont="1" applyAlignment="1" applyProtection="1">
      <alignment horizontal="left" vertical="top"/>
      <protection locked="0"/>
    </xf>
    <xf numFmtId="165" fontId="17" fillId="0" borderId="32" xfId="0" applyNumberFormat="1" applyFont="1" applyBorder="1" applyAlignment="1">
      <alignment/>
    </xf>
    <xf numFmtId="165" fontId="3" fillId="0" borderId="0" xfId="0" applyNumberFormat="1" applyFont="1" applyBorder="1" applyAlignment="1">
      <alignment/>
    </xf>
    <xf numFmtId="165" fontId="17" fillId="8" borderId="0" xfId="0" applyNumberFormat="1" applyFont="1" applyFill="1" applyBorder="1" applyAlignment="1">
      <alignment horizontal="right"/>
    </xf>
    <xf numFmtId="0" fontId="4" fillId="70" borderId="33" xfId="0" applyFont="1" applyFill="1" applyBorder="1" applyAlignment="1">
      <alignment horizontal="center" vertical="center"/>
    </xf>
    <xf numFmtId="0" fontId="4" fillId="69" borderId="27" xfId="0" applyFont="1" applyFill="1" applyBorder="1" applyAlignment="1">
      <alignment horizontal="center" vertical="center"/>
    </xf>
    <xf numFmtId="0" fontId="4" fillId="69" borderId="26" xfId="0" applyFont="1" applyFill="1" applyBorder="1" applyAlignment="1">
      <alignment horizontal="center" vertical="center"/>
    </xf>
    <xf numFmtId="0" fontId="0" fillId="0" borderId="0" xfId="176">
      <alignment/>
      <protection/>
    </xf>
    <xf numFmtId="0" fontId="3" fillId="0" borderId="0" xfId="176" applyFont="1">
      <alignment/>
      <protection/>
    </xf>
    <xf numFmtId="9" fontId="3" fillId="0" borderId="0" xfId="176" applyNumberFormat="1" applyFont="1" applyAlignment="1">
      <alignment horizontal="center"/>
      <protection/>
    </xf>
    <xf numFmtId="0" fontId="4" fillId="0" borderId="0" xfId="176" applyFont="1" applyBorder="1" applyAlignment="1">
      <alignment vertical="top"/>
      <protection/>
    </xf>
    <xf numFmtId="0" fontId="4" fillId="0" borderId="0" xfId="176" applyFont="1" applyAlignment="1">
      <alignment vertical="top"/>
      <protection/>
    </xf>
    <xf numFmtId="0" fontId="3" fillId="0" borderId="0" xfId="176" applyFont="1" applyAlignment="1">
      <alignment vertical="top"/>
      <protection/>
    </xf>
    <xf numFmtId="165" fontId="13" fillId="0" borderId="0" xfId="176" applyNumberFormat="1" applyFont="1" applyBorder="1" applyAlignment="1">
      <alignment horizontal="left" vertical="center"/>
      <protection/>
    </xf>
    <xf numFmtId="0" fontId="13" fillId="0" borderId="0" xfId="176" applyFont="1" applyBorder="1" applyAlignment="1">
      <alignment horizontal="left" vertical="center"/>
      <protection/>
    </xf>
    <xf numFmtId="0" fontId="3" fillId="0" borderId="0" xfId="176" applyFont="1" applyBorder="1" applyAlignment="1">
      <alignment horizontal="left" vertical="center"/>
      <protection/>
    </xf>
    <xf numFmtId="0" fontId="3" fillId="0" borderId="0" xfId="176" applyFont="1" applyAlignment="1">
      <alignment vertical="center"/>
      <protection/>
    </xf>
    <xf numFmtId="0" fontId="3" fillId="0" borderId="0" xfId="176" applyFont="1" applyBorder="1" applyAlignment="1">
      <alignment vertical="center"/>
      <protection/>
    </xf>
    <xf numFmtId="0" fontId="3" fillId="0" borderId="0" xfId="176" applyFont="1" applyBorder="1" applyAlignment="1" quotePrefix="1">
      <alignment horizontal="left" vertical="center"/>
      <protection/>
    </xf>
    <xf numFmtId="0" fontId="4" fillId="0" borderId="0" xfId="176" applyFont="1" applyAlignment="1">
      <alignment horizontal="left"/>
      <protection/>
    </xf>
    <xf numFmtId="0" fontId="4" fillId="0" borderId="0" xfId="176" applyFont="1" applyBorder="1" applyAlignment="1">
      <alignment horizontal="left" wrapText="1"/>
      <protection/>
    </xf>
    <xf numFmtId="0" fontId="4" fillId="0" borderId="34" xfId="176" applyFont="1" applyBorder="1" applyAlignment="1">
      <alignment horizontal="left" wrapText="1"/>
      <protection/>
    </xf>
    <xf numFmtId="0" fontId="4" fillId="0" borderId="0" xfId="176" applyFont="1" applyBorder="1">
      <alignment/>
      <protection/>
    </xf>
    <xf numFmtId="0" fontId="3" fillId="0" borderId="0" xfId="176" applyFont="1" applyAlignment="1">
      <alignment horizontal="center"/>
      <protection/>
    </xf>
    <xf numFmtId="165" fontId="3" fillId="0" borderId="0" xfId="176" applyNumberFormat="1" applyFont="1">
      <alignment/>
      <protection/>
    </xf>
    <xf numFmtId="0" fontId="4" fillId="72" borderId="39" xfId="176" applyFont="1" applyFill="1" applyBorder="1" applyAlignment="1">
      <alignment horizontal="center" vertical="center"/>
      <protection/>
    </xf>
    <xf numFmtId="165" fontId="3" fillId="72" borderId="39" xfId="176" applyNumberFormat="1" applyFont="1" applyFill="1" applyBorder="1" applyAlignment="1">
      <alignment horizontal="right" vertical="center"/>
      <protection/>
    </xf>
    <xf numFmtId="165" fontId="3" fillId="72" borderId="16" xfId="176" applyNumberFormat="1" applyFont="1" applyFill="1" applyBorder="1" applyAlignment="1">
      <alignment horizontal="right" vertical="center"/>
      <protection/>
    </xf>
    <xf numFmtId="165" fontId="3" fillId="72" borderId="40" xfId="176" applyNumberFormat="1" applyFont="1" applyFill="1" applyBorder="1" applyAlignment="1">
      <alignment horizontal="right" vertical="center"/>
      <protection/>
    </xf>
    <xf numFmtId="2" fontId="3" fillId="72" borderId="39" xfId="176" applyNumberFormat="1" applyFont="1" applyFill="1" applyBorder="1" applyAlignment="1">
      <alignment horizontal="right" vertical="center"/>
      <protection/>
    </xf>
    <xf numFmtId="0" fontId="4" fillId="0" borderId="30" xfId="176" applyFont="1" applyFill="1" applyBorder="1" applyAlignment="1">
      <alignment horizontal="center" vertical="center"/>
      <protection/>
    </xf>
    <xf numFmtId="165" fontId="3" fillId="0" borderId="30" xfId="176" applyNumberFormat="1" applyFont="1" applyFill="1" applyBorder="1" applyAlignment="1">
      <alignment horizontal="right" vertical="center"/>
      <protection/>
    </xf>
    <xf numFmtId="165" fontId="3" fillId="0" borderId="0" xfId="176" applyNumberFormat="1" applyFont="1" applyFill="1" applyBorder="1" applyAlignment="1">
      <alignment horizontal="right" vertical="center"/>
      <protection/>
    </xf>
    <xf numFmtId="2" fontId="3" fillId="0" borderId="30" xfId="176" applyNumberFormat="1" applyFont="1" applyFill="1" applyBorder="1" applyAlignment="1">
      <alignment horizontal="right" vertical="center"/>
      <protection/>
    </xf>
    <xf numFmtId="0" fontId="4" fillId="72" borderId="30" xfId="176" applyFont="1" applyFill="1" applyBorder="1" applyAlignment="1">
      <alignment horizontal="center" vertical="center"/>
      <protection/>
    </xf>
    <xf numFmtId="165" fontId="3" fillId="72" borderId="34" xfId="176" applyNumberFormat="1" applyFont="1" applyFill="1" applyBorder="1" applyAlignment="1">
      <alignment horizontal="right" vertical="center"/>
      <protection/>
    </xf>
    <xf numFmtId="165" fontId="3" fillId="72" borderId="0" xfId="176" applyNumberFormat="1" applyFont="1" applyFill="1" applyBorder="1" applyAlignment="1">
      <alignment horizontal="right" vertical="center"/>
      <protection/>
    </xf>
    <xf numFmtId="2" fontId="3" fillId="72" borderId="25" xfId="176" applyNumberFormat="1" applyFont="1" applyFill="1" applyBorder="1" applyAlignment="1">
      <alignment horizontal="right" vertical="center"/>
      <protection/>
    </xf>
    <xf numFmtId="0" fontId="4" fillId="0" borderId="39" xfId="176" applyFont="1" applyFill="1" applyBorder="1" applyAlignment="1">
      <alignment horizontal="center" vertical="center"/>
      <protection/>
    </xf>
    <xf numFmtId="165" fontId="3" fillId="0" borderId="39" xfId="176" applyNumberFormat="1" applyFont="1" applyFill="1" applyBorder="1" applyAlignment="1">
      <alignment horizontal="right" vertical="center"/>
      <protection/>
    </xf>
    <xf numFmtId="165" fontId="3" fillId="0" borderId="16" xfId="176" applyNumberFormat="1" applyFont="1" applyFill="1" applyBorder="1" applyAlignment="1">
      <alignment horizontal="right" vertical="center"/>
      <protection/>
    </xf>
    <xf numFmtId="165" fontId="3" fillId="0" borderId="40" xfId="176" applyNumberFormat="1" applyFont="1" applyFill="1" applyBorder="1" applyAlignment="1">
      <alignment horizontal="right" vertical="center"/>
      <protection/>
    </xf>
    <xf numFmtId="165" fontId="17" fillId="0" borderId="16" xfId="176" applyNumberFormat="1" applyFont="1" applyFill="1" applyBorder="1" applyAlignment="1">
      <alignment horizontal="right" vertical="center"/>
      <protection/>
    </xf>
    <xf numFmtId="2" fontId="3" fillId="0" borderId="39" xfId="176" applyNumberFormat="1" applyFont="1" applyFill="1" applyBorder="1" applyAlignment="1">
      <alignment horizontal="right" vertical="center"/>
      <protection/>
    </xf>
    <xf numFmtId="0" fontId="3" fillId="0" borderId="0" xfId="176" applyFont="1" applyFill="1">
      <alignment/>
      <protection/>
    </xf>
    <xf numFmtId="165" fontId="17" fillId="72" borderId="30" xfId="176" applyNumberFormat="1" applyFont="1" applyFill="1" applyBorder="1" applyAlignment="1">
      <alignment horizontal="right" vertical="center"/>
      <protection/>
    </xf>
    <xf numFmtId="165" fontId="17" fillId="72" borderId="0" xfId="176" applyNumberFormat="1" applyFont="1" applyFill="1" applyBorder="1" applyAlignment="1">
      <alignment horizontal="right" vertical="center"/>
      <protection/>
    </xf>
    <xf numFmtId="165" fontId="17" fillId="72" borderId="0" xfId="176" applyNumberFormat="1" applyFont="1" applyFill="1" applyBorder="1">
      <alignment/>
      <protection/>
    </xf>
    <xf numFmtId="2" fontId="3" fillId="72" borderId="30" xfId="176" applyNumberFormat="1" applyFont="1" applyFill="1" applyBorder="1" applyAlignment="1">
      <alignment horizontal="right" vertical="center"/>
      <protection/>
    </xf>
    <xf numFmtId="0" fontId="3" fillId="0" borderId="0" xfId="176" applyFont="1" applyFill="1" applyAlignment="1">
      <alignment horizontal="center"/>
      <protection/>
    </xf>
    <xf numFmtId="165" fontId="17" fillId="0" borderId="30" xfId="176" applyNumberFormat="1" applyFont="1" applyFill="1" applyBorder="1" applyAlignment="1">
      <alignment horizontal="right" vertical="center"/>
      <protection/>
    </xf>
    <xf numFmtId="165" fontId="17" fillId="0" borderId="0" xfId="176" applyNumberFormat="1" applyFont="1" applyFill="1" applyBorder="1" applyAlignment="1">
      <alignment horizontal="right" vertical="center"/>
      <protection/>
    </xf>
    <xf numFmtId="165" fontId="17" fillId="0" borderId="0" xfId="176" applyNumberFormat="1" applyFont="1" applyFill="1" applyBorder="1">
      <alignment/>
      <protection/>
    </xf>
    <xf numFmtId="0" fontId="4" fillId="0" borderId="25" xfId="176" applyFont="1" applyFill="1" applyBorder="1" applyAlignment="1">
      <alignment horizontal="center" vertical="center"/>
      <protection/>
    </xf>
    <xf numFmtId="165" fontId="3" fillId="0" borderId="34" xfId="176" applyNumberFormat="1" applyFont="1" applyFill="1" applyBorder="1" applyAlignment="1">
      <alignment horizontal="right" vertical="center"/>
      <protection/>
    </xf>
    <xf numFmtId="2" fontId="3" fillId="0" borderId="25" xfId="176" applyNumberFormat="1" applyFont="1" applyFill="1" applyBorder="1" applyAlignment="1">
      <alignment horizontal="right" vertical="center"/>
      <protection/>
    </xf>
    <xf numFmtId="165" fontId="3" fillId="72" borderId="30" xfId="176" applyNumberFormat="1" applyFont="1" applyFill="1" applyBorder="1" applyAlignment="1">
      <alignment horizontal="right" vertical="center"/>
      <protection/>
    </xf>
    <xf numFmtId="165" fontId="3" fillId="72" borderId="41" xfId="176" applyNumberFormat="1" applyFont="1" applyFill="1" applyBorder="1" applyAlignment="1">
      <alignment horizontal="right" vertical="center"/>
      <protection/>
    </xf>
    <xf numFmtId="165" fontId="3" fillId="0" borderId="42" xfId="176" applyNumberFormat="1" applyFont="1" applyFill="1" applyBorder="1" applyAlignment="1">
      <alignment horizontal="right" vertical="center"/>
      <protection/>
    </xf>
    <xf numFmtId="2" fontId="3" fillId="0" borderId="43" xfId="176" applyNumberFormat="1" applyFont="1" applyFill="1" applyBorder="1" applyAlignment="1">
      <alignment horizontal="right" vertical="center"/>
      <protection/>
    </xf>
    <xf numFmtId="165" fontId="3" fillId="0" borderId="0" xfId="176" applyNumberFormat="1" applyFont="1" applyFill="1" applyBorder="1" applyAlignment="1" quotePrefix="1">
      <alignment horizontal="right" vertical="center"/>
      <protection/>
    </xf>
    <xf numFmtId="2" fontId="3" fillId="0" borderId="30" xfId="176" applyNumberFormat="1" applyFont="1" applyFill="1" applyBorder="1" applyAlignment="1" quotePrefix="1">
      <alignment horizontal="right" vertical="center"/>
      <protection/>
    </xf>
    <xf numFmtId="165" fontId="3" fillId="72" borderId="0" xfId="176" applyNumberFormat="1" applyFont="1" applyFill="1" applyBorder="1">
      <alignment/>
      <protection/>
    </xf>
    <xf numFmtId="2" fontId="17" fillId="0" borderId="30" xfId="176" applyNumberFormat="1" applyFont="1" applyFill="1" applyBorder="1" applyAlignment="1">
      <alignment horizontal="right" vertical="center"/>
      <protection/>
    </xf>
    <xf numFmtId="2" fontId="17" fillId="72" borderId="30" xfId="176" applyNumberFormat="1" applyFont="1" applyFill="1" applyBorder="1" applyAlignment="1">
      <alignment horizontal="right" vertical="center"/>
      <protection/>
    </xf>
    <xf numFmtId="0" fontId="4" fillId="0" borderId="0" xfId="176" applyFont="1">
      <alignment/>
      <protection/>
    </xf>
    <xf numFmtId="165" fontId="3" fillId="0" borderId="43" xfId="176" applyNumberFormat="1" applyFont="1" applyFill="1" applyBorder="1" applyAlignment="1">
      <alignment horizontal="right" vertical="center"/>
      <protection/>
    </xf>
    <xf numFmtId="165" fontId="3" fillId="72" borderId="42" xfId="176" applyNumberFormat="1" applyFont="1" applyFill="1" applyBorder="1" applyAlignment="1">
      <alignment horizontal="right" vertical="center"/>
      <protection/>
    </xf>
    <xf numFmtId="165" fontId="3" fillId="72" borderId="43" xfId="176" applyNumberFormat="1" applyFont="1" applyFill="1" applyBorder="1" applyAlignment="1">
      <alignment horizontal="right" vertical="center"/>
      <protection/>
    </xf>
    <xf numFmtId="165" fontId="3" fillId="72" borderId="32" xfId="176" applyNumberFormat="1" applyFont="1" applyFill="1" applyBorder="1" applyAlignment="1">
      <alignment horizontal="right" vertical="center"/>
      <protection/>
    </xf>
    <xf numFmtId="0" fontId="4" fillId="8" borderId="30" xfId="176" applyFont="1" applyFill="1" applyBorder="1" applyAlignment="1">
      <alignment horizontal="center" vertical="center"/>
      <protection/>
    </xf>
    <xf numFmtId="165" fontId="3" fillId="8" borderId="30" xfId="176" applyNumberFormat="1" applyFont="1" applyFill="1" applyBorder="1" applyAlignment="1">
      <alignment horizontal="right" vertical="center"/>
      <protection/>
    </xf>
    <xf numFmtId="165" fontId="3" fillId="8" borderId="0" xfId="176" applyNumberFormat="1" applyFont="1" applyFill="1" applyBorder="1" applyAlignment="1">
      <alignment horizontal="right" vertical="center"/>
      <protection/>
    </xf>
    <xf numFmtId="2" fontId="3" fillId="8" borderId="30" xfId="176" applyNumberFormat="1" applyFont="1" applyFill="1" applyBorder="1" applyAlignment="1">
      <alignment horizontal="right" vertical="center"/>
      <protection/>
    </xf>
    <xf numFmtId="165" fontId="3" fillId="0" borderId="30" xfId="176" applyNumberFormat="1" applyFont="1" applyBorder="1" applyAlignment="1">
      <alignment horizontal="right" vertical="center"/>
      <protection/>
    </xf>
    <xf numFmtId="165" fontId="3" fillId="0" borderId="0" xfId="176" applyNumberFormat="1" applyFont="1" applyBorder="1" applyAlignment="1">
      <alignment horizontal="right" vertical="center"/>
      <protection/>
    </xf>
    <xf numFmtId="165" fontId="17" fillId="0" borderId="0" xfId="176" applyNumberFormat="1" applyFont="1" applyBorder="1" applyAlignment="1">
      <alignment horizontal="right" vertical="center"/>
      <protection/>
    </xf>
    <xf numFmtId="165" fontId="3" fillId="0" borderId="32" xfId="176" applyNumberFormat="1" applyFont="1" applyBorder="1" applyAlignment="1">
      <alignment horizontal="right" vertical="center"/>
      <protection/>
    </xf>
    <xf numFmtId="2" fontId="3" fillId="0" borderId="30" xfId="176" applyNumberFormat="1" applyFont="1" applyBorder="1" applyAlignment="1">
      <alignment horizontal="right" vertical="center"/>
      <protection/>
    </xf>
    <xf numFmtId="165" fontId="17" fillId="8" borderId="30" xfId="176" applyNumberFormat="1" applyFont="1" applyFill="1" applyBorder="1" applyAlignment="1">
      <alignment horizontal="right" vertical="center"/>
      <protection/>
    </xf>
    <xf numFmtId="165" fontId="17" fillId="8" borderId="0" xfId="176" applyNumberFormat="1" applyFont="1" applyFill="1" applyBorder="1" applyAlignment="1">
      <alignment horizontal="right" vertical="center"/>
      <protection/>
    </xf>
    <xf numFmtId="2" fontId="17" fillId="8" borderId="30" xfId="176" applyNumberFormat="1" applyFont="1" applyFill="1" applyBorder="1" applyAlignment="1">
      <alignment horizontal="right" vertical="center"/>
      <protection/>
    </xf>
    <xf numFmtId="165" fontId="17" fillId="0" borderId="0" xfId="176" applyNumberFormat="1" applyFont="1" applyFill="1">
      <alignment/>
      <protection/>
    </xf>
    <xf numFmtId="165" fontId="17" fillId="0" borderId="0" xfId="176" applyNumberFormat="1" applyFont="1" applyBorder="1">
      <alignment/>
      <protection/>
    </xf>
    <xf numFmtId="2" fontId="17" fillId="0" borderId="30" xfId="176" applyNumberFormat="1" applyFont="1" applyBorder="1">
      <alignment/>
      <protection/>
    </xf>
    <xf numFmtId="165" fontId="3" fillId="8" borderId="0" xfId="176" applyNumberFormat="1" applyFont="1" applyFill="1" applyBorder="1">
      <alignment/>
      <protection/>
    </xf>
    <xf numFmtId="165" fontId="3" fillId="71" borderId="30" xfId="176" applyNumberFormat="1" applyFont="1" applyFill="1" applyBorder="1" applyAlignment="1">
      <alignment horizontal="right" vertical="center"/>
      <protection/>
    </xf>
    <xf numFmtId="165" fontId="3" fillId="71" borderId="0" xfId="176" applyNumberFormat="1" applyFont="1" applyFill="1" applyBorder="1" applyAlignment="1">
      <alignment horizontal="right" vertical="center"/>
      <protection/>
    </xf>
    <xf numFmtId="165" fontId="3" fillId="71" borderId="42" xfId="176" applyNumberFormat="1" applyFont="1" applyFill="1" applyBorder="1" applyAlignment="1">
      <alignment horizontal="right" vertical="center"/>
      <protection/>
    </xf>
    <xf numFmtId="0" fontId="0" fillId="0" borderId="0" xfId="176" applyFill="1" applyBorder="1">
      <alignment/>
      <protection/>
    </xf>
    <xf numFmtId="0" fontId="4" fillId="69" borderId="39" xfId="176" applyFont="1" applyFill="1" applyBorder="1" applyAlignment="1">
      <alignment horizontal="center" vertical="top"/>
      <protection/>
    </xf>
    <xf numFmtId="1" fontId="4" fillId="69" borderId="0" xfId="176" applyNumberFormat="1" applyFont="1" applyFill="1" applyBorder="1" applyAlignment="1">
      <alignment horizontal="center" vertical="center"/>
      <protection/>
    </xf>
    <xf numFmtId="1" fontId="4" fillId="69" borderId="16" xfId="176" applyNumberFormat="1" applyFont="1" applyFill="1" applyBorder="1" applyAlignment="1">
      <alignment horizontal="center" vertical="center"/>
      <protection/>
    </xf>
    <xf numFmtId="1" fontId="4" fillId="69" borderId="39" xfId="176" applyNumberFormat="1" applyFont="1" applyFill="1" applyBorder="1" applyAlignment="1">
      <alignment horizontal="center" vertical="center"/>
      <protection/>
    </xf>
    <xf numFmtId="0" fontId="0" fillId="0" borderId="44" xfId="176" applyFill="1" applyBorder="1">
      <alignment/>
      <protection/>
    </xf>
    <xf numFmtId="0" fontId="23" fillId="69" borderId="25" xfId="176" applyFont="1" applyFill="1" applyBorder="1" applyAlignment="1">
      <alignment horizontal="center" wrapText="1"/>
      <protection/>
    </xf>
    <xf numFmtId="1" fontId="4" fillId="69" borderId="34" xfId="176" applyNumberFormat="1" applyFont="1" applyFill="1" applyBorder="1" applyAlignment="1">
      <alignment horizontal="center"/>
      <protection/>
    </xf>
    <xf numFmtId="1" fontId="4" fillId="69" borderId="25" xfId="176" applyNumberFormat="1" applyFont="1" applyFill="1" applyBorder="1" applyAlignment="1">
      <alignment horizontal="center"/>
      <protection/>
    </xf>
    <xf numFmtId="0" fontId="0" fillId="0" borderId="31" xfId="176" applyFill="1" applyBorder="1">
      <alignment/>
      <protection/>
    </xf>
    <xf numFmtId="0" fontId="9" fillId="0" borderId="0" xfId="176" applyFont="1">
      <alignment/>
      <protection/>
    </xf>
    <xf numFmtId="0" fontId="3" fillId="0" borderId="0" xfId="176" applyFont="1" applyBorder="1" applyAlignment="1">
      <alignment horizontal="right" vertical="center"/>
      <protection/>
    </xf>
    <xf numFmtId="9" fontId="3" fillId="0" borderId="0" xfId="176" applyNumberFormat="1" applyFont="1" applyAlignment="1">
      <alignment horizontal="center" vertical="top"/>
      <protection/>
    </xf>
    <xf numFmtId="0" fontId="5" fillId="0" borderId="0" xfId="176" applyFont="1" applyBorder="1" applyAlignment="1" quotePrefix="1">
      <alignment horizontal="right" vertical="top"/>
      <protection/>
    </xf>
    <xf numFmtId="0" fontId="5" fillId="0" borderId="0" xfId="176" applyFont="1" applyBorder="1" applyAlignment="1" quotePrefix="1">
      <alignment horizontal="right"/>
      <protection/>
    </xf>
    <xf numFmtId="0" fontId="8" fillId="0" borderId="0" xfId="176" applyFont="1" applyFill="1" applyBorder="1" applyAlignment="1" quotePrefix="1">
      <alignment horizontal="right"/>
      <protection/>
    </xf>
    <xf numFmtId="0" fontId="8" fillId="0" borderId="0" xfId="176" applyFont="1" applyBorder="1" applyAlignment="1">
      <alignment vertical="top"/>
      <protection/>
    </xf>
    <xf numFmtId="0" fontId="0" fillId="0" borderId="0" xfId="176" applyAlignment="1">
      <alignment horizontal="left" vertical="top" wrapText="1"/>
      <protection/>
    </xf>
    <xf numFmtId="0" fontId="9" fillId="0" borderId="0" xfId="176" applyFont="1" applyAlignment="1">
      <alignment horizontal="left" vertical="top" wrapText="1"/>
      <protection/>
    </xf>
    <xf numFmtId="49" fontId="3" fillId="0" borderId="0" xfId="176" applyNumberFormat="1" applyFont="1" applyAlignment="1">
      <alignment vertical="top"/>
      <protection/>
    </xf>
    <xf numFmtId="49" fontId="4" fillId="0" borderId="0" xfId="176" applyNumberFormat="1" applyFont="1" applyAlignment="1">
      <alignment vertical="top"/>
      <protection/>
    </xf>
    <xf numFmtId="0" fontId="3" fillId="0" borderId="0" xfId="176" applyFont="1" applyAlignment="1">
      <alignment/>
      <protection/>
    </xf>
    <xf numFmtId="0" fontId="4" fillId="0" borderId="0" xfId="176" applyFont="1" applyBorder="1" applyAlignment="1">
      <alignment horizontal="center"/>
      <protection/>
    </xf>
    <xf numFmtId="0" fontId="17" fillId="0" borderId="0" xfId="176" applyFont="1" applyBorder="1" applyAlignment="1">
      <alignment horizontal="left" vertical="center"/>
      <protection/>
    </xf>
    <xf numFmtId="0" fontId="4" fillId="0" borderId="0" xfId="176" applyFont="1" applyBorder="1" applyAlignment="1" quotePrefix="1">
      <alignment horizontal="left" vertical="center"/>
      <protection/>
    </xf>
    <xf numFmtId="0" fontId="4" fillId="0" borderId="0" xfId="176" applyFont="1" applyBorder="1" applyAlignment="1">
      <alignment horizontal="left"/>
      <protection/>
    </xf>
    <xf numFmtId="49" fontId="4" fillId="0" borderId="34" xfId="176" applyNumberFormat="1" applyFont="1" applyBorder="1" applyAlignment="1">
      <alignment horizontal="left" wrapText="1"/>
      <protection/>
    </xf>
    <xf numFmtId="49" fontId="4" fillId="0" borderId="34" xfId="176" applyNumberFormat="1" applyFont="1" applyBorder="1" applyAlignment="1">
      <alignment horizontal="left"/>
      <protection/>
    </xf>
    <xf numFmtId="165" fontId="3" fillId="72" borderId="0" xfId="176" applyNumberFormat="1" applyFont="1" applyFill="1" applyBorder="1" applyAlignment="1" quotePrefix="1">
      <alignment horizontal="right" vertical="center"/>
      <protection/>
    </xf>
    <xf numFmtId="2" fontId="3" fillId="72" borderId="30" xfId="176" applyNumberFormat="1" applyFont="1" applyFill="1" applyBorder="1" applyAlignment="1" quotePrefix="1">
      <alignment horizontal="right" vertical="center"/>
      <protection/>
    </xf>
    <xf numFmtId="0" fontId="3" fillId="0" borderId="0" xfId="176" applyFont="1" applyAlignment="1">
      <alignment horizontal="left"/>
      <protection/>
    </xf>
    <xf numFmtId="165" fontId="17" fillId="72" borderId="39" xfId="176" applyNumberFormat="1" applyFont="1" applyFill="1" applyBorder="1" applyAlignment="1">
      <alignment horizontal="right" vertical="center"/>
      <protection/>
    </xf>
    <xf numFmtId="165" fontId="17" fillId="72" borderId="16" xfId="176" applyNumberFormat="1" applyFont="1" applyFill="1" applyBorder="1" applyAlignment="1">
      <alignment horizontal="right" vertical="center"/>
      <protection/>
    </xf>
    <xf numFmtId="165" fontId="17" fillId="72" borderId="41" xfId="176" applyNumberFormat="1" applyFont="1" applyFill="1" applyBorder="1" applyAlignment="1">
      <alignment horizontal="right" vertical="center"/>
      <protection/>
    </xf>
    <xf numFmtId="2" fontId="17" fillId="72" borderId="39" xfId="176" applyNumberFormat="1" applyFont="1" applyFill="1" applyBorder="1" applyAlignment="1">
      <alignment horizontal="right" vertical="center"/>
      <protection/>
    </xf>
    <xf numFmtId="165" fontId="17" fillId="72" borderId="42" xfId="176" applyNumberFormat="1" applyFont="1" applyFill="1" applyBorder="1" applyAlignment="1">
      <alignment horizontal="right" vertical="center"/>
      <protection/>
    </xf>
    <xf numFmtId="0" fontId="3" fillId="72" borderId="0" xfId="176" applyFont="1" applyFill="1" applyAlignment="1">
      <alignment horizontal="center"/>
      <protection/>
    </xf>
    <xf numFmtId="165" fontId="17" fillId="0" borderId="42" xfId="176" applyNumberFormat="1" applyFont="1" applyBorder="1" applyAlignment="1">
      <alignment horizontal="right" vertical="center"/>
      <protection/>
    </xf>
    <xf numFmtId="2" fontId="3" fillId="71" borderId="43" xfId="176" applyNumberFormat="1" applyFont="1" applyFill="1" applyBorder="1" applyAlignment="1">
      <alignment horizontal="right" vertical="center"/>
      <protection/>
    </xf>
    <xf numFmtId="2" fontId="3" fillId="71" borderId="30" xfId="176" applyNumberFormat="1" applyFont="1" applyFill="1" applyBorder="1" applyAlignment="1">
      <alignment horizontal="right" vertical="center"/>
      <protection/>
    </xf>
    <xf numFmtId="165" fontId="3" fillId="71" borderId="43" xfId="176" applyNumberFormat="1" applyFont="1" applyFill="1" applyBorder="1" applyAlignment="1">
      <alignment horizontal="right" vertical="center"/>
      <protection/>
    </xf>
    <xf numFmtId="165" fontId="3" fillId="71" borderId="0" xfId="176" applyNumberFormat="1" applyFont="1" applyFill="1" applyBorder="1" applyAlignment="1" quotePrefix="1">
      <alignment horizontal="right" vertical="center"/>
      <protection/>
    </xf>
    <xf numFmtId="2" fontId="3" fillId="71" borderId="30" xfId="176" applyNumberFormat="1" applyFont="1" applyFill="1" applyBorder="1" applyAlignment="1" quotePrefix="1">
      <alignment horizontal="right" vertical="center"/>
      <protection/>
    </xf>
    <xf numFmtId="1" fontId="4" fillId="0" borderId="0" xfId="176" applyNumberFormat="1" applyFont="1" applyFill="1" applyBorder="1" applyAlignment="1">
      <alignment horizontal="center" vertical="center"/>
      <protection/>
    </xf>
    <xf numFmtId="0" fontId="4" fillId="69" borderId="30" xfId="176" applyFont="1" applyFill="1" applyBorder="1" applyAlignment="1">
      <alignment horizontal="center" vertical="top"/>
      <protection/>
    </xf>
    <xf numFmtId="1" fontId="4" fillId="69" borderId="30" xfId="176" applyNumberFormat="1" applyFont="1" applyFill="1" applyBorder="1" applyAlignment="1">
      <alignment horizontal="center" vertical="center"/>
      <protection/>
    </xf>
    <xf numFmtId="0" fontId="4" fillId="0" borderId="0" xfId="176" applyFont="1" applyBorder="1" applyAlignment="1">
      <alignment horizontal="center" vertical="top"/>
      <protection/>
    </xf>
    <xf numFmtId="0" fontId="4" fillId="0" borderId="0" xfId="176" applyFont="1" applyBorder="1" applyAlignment="1">
      <alignment horizontal="left" vertical="top"/>
      <protection/>
    </xf>
    <xf numFmtId="0" fontId="3" fillId="0" borderId="0" xfId="176" applyFont="1" applyAlignment="1">
      <alignment horizontal="left" vertical="top" wrapText="1"/>
      <protection/>
    </xf>
    <xf numFmtId="0" fontId="3" fillId="0" borderId="0" xfId="176" applyFont="1" applyBorder="1" applyAlignment="1">
      <alignment/>
      <protection/>
    </xf>
    <xf numFmtId="165" fontId="3" fillId="0" borderId="31" xfId="176" applyNumberFormat="1" applyFont="1" applyFill="1" applyBorder="1" applyAlignment="1">
      <alignment horizontal="right" vertical="center"/>
      <protection/>
    </xf>
    <xf numFmtId="165" fontId="3" fillId="72" borderId="25" xfId="176" applyNumberFormat="1" applyFont="1" applyFill="1" applyBorder="1" applyAlignment="1">
      <alignment horizontal="center" vertical="center"/>
      <protection/>
    </xf>
    <xf numFmtId="165" fontId="3" fillId="72" borderId="34" xfId="176" applyNumberFormat="1" applyFont="1" applyFill="1" applyBorder="1" applyAlignment="1">
      <alignment horizontal="center" vertical="center"/>
      <protection/>
    </xf>
    <xf numFmtId="2" fontId="3" fillId="72" borderId="25" xfId="176" applyNumberFormat="1" applyFont="1" applyFill="1" applyBorder="1" applyAlignment="1">
      <alignment horizontal="center" vertical="center"/>
      <protection/>
    </xf>
    <xf numFmtId="165" fontId="3" fillId="0" borderId="39" xfId="176" applyNumberFormat="1" applyFont="1" applyFill="1" applyBorder="1" applyAlignment="1">
      <alignment horizontal="center" vertical="center"/>
      <protection/>
    </xf>
    <xf numFmtId="165" fontId="17" fillId="72" borderId="30" xfId="176" applyNumberFormat="1" applyFont="1" applyFill="1" applyBorder="1" applyAlignment="1">
      <alignment horizontal="center" vertical="center"/>
      <protection/>
    </xf>
    <xf numFmtId="165" fontId="17" fillId="72" borderId="0" xfId="176" applyNumberFormat="1" applyFont="1" applyFill="1" applyBorder="1" applyAlignment="1">
      <alignment horizontal="center" vertical="center"/>
      <protection/>
    </xf>
    <xf numFmtId="165" fontId="3" fillId="72" borderId="0" xfId="176" applyNumberFormat="1" applyFont="1" applyFill="1" applyBorder="1" applyAlignment="1">
      <alignment horizontal="center" vertical="center"/>
      <protection/>
    </xf>
    <xf numFmtId="2" fontId="3" fillId="72" borderId="30" xfId="176" applyNumberFormat="1" applyFont="1" applyFill="1" applyBorder="1" applyAlignment="1">
      <alignment horizontal="center" vertical="center"/>
      <protection/>
    </xf>
    <xf numFmtId="165" fontId="3" fillId="0" borderId="30" xfId="176" applyNumberFormat="1" applyFont="1" applyFill="1" applyBorder="1" applyAlignment="1">
      <alignment horizontal="center" vertical="center"/>
      <protection/>
    </xf>
    <xf numFmtId="165" fontId="3" fillId="0" borderId="0" xfId="176" applyNumberFormat="1" applyFont="1" applyFill="1" applyBorder="1" applyAlignment="1">
      <alignment horizontal="center" vertical="center"/>
      <protection/>
    </xf>
    <xf numFmtId="2" fontId="3" fillId="0" borderId="30" xfId="176" applyNumberFormat="1" applyFont="1" applyFill="1" applyBorder="1" applyAlignment="1">
      <alignment horizontal="center" vertical="center"/>
      <protection/>
    </xf>
    <xf numFmtId="165" fontId="3" fillId="72" borderId="0" xfId="176" applyNumberFormat="1" applyFont="1" applyFill="1" applyBorder="1" applyAlignment="1">
      <alignment horizontal="right" vertical="center" wrapText="1"/>
      <protection/>
    </xf>
    <xf numFmtId="165" fontId="3" fillId="72" borderId="30" xfId="176" applyNumberFormat="1" applyFont="1" applyFill="1" applyBorder="1" applyAlignment="1">
      <alignment horizontal="center" vertical="center"/>
      <protection/>
    </xf>
    <xf numFmtId="165" fontId="17" fillId="72" borderId="43" xfId="176" applyNumberFormat="1" applyFont="1" applyFill="1" applyBorder="1" applyAlignment="1">
      <alignment horizontal="right" vertical="center"/>
      <protection/>
    </xf>
    <xf numFmtId="165" fontId="3" fillId="0" borderId="32" xfId="176" applyNumberFormat="1" applyFont="1" applyFill="1" applyBorder="1" applyAlignment="1">
      <alignment horizontal="right" vertical="center"/>
      <protection/>
    </xf>
    <xf numFmtId="2" fontId="3" fillId="0" borderId="32" xfId="176" applyNumberFormat="1" applyFont="1" applyFill="1" applyBorder="1" applyAlignment="1">
      <alignment horizontal="right" vertical="center"/>
      <protection/>
    </xf>
    <xf numFmtId="165" fontId="3" fillId="8" borderId="42" xfId="176" applyNumberFormat="1" applyFont="1" applyFill="1" applyBorder="1" applyAlignment="1">
      <alignment horizontal="right" vertical="center"/>
      <protection/>
    </xf>
    <xf numFmtId="2" fontId="3" fillId="8" borderId="32" xfId="176" applyNumberFormat="1" applyFont="1" applyFill="1" applyBorder="1" applyAlignment="1">
      <alignment horizontal="right" vertical="center"/>
      <protection/>
    </xf>
    <xf numFmtId="165" fontId="3" fillId="0" borderId="0" xfId="176" applyNumberFormat="1" applyFont="1" applyBorder="1" applyAlignment="1">
      <alignment horizontal="center" vertical="center"/>
      <protection/>
    </xf>
    <xf numFmtId="2" fontId="3" fillId="0" borderId="30" xfId="176" applyNumberFormat="1" applyFont="1" applyBorder="1" applyAlignment="1">
      <alignment horizontal="center" vertical="center"/>
      <protection/>
    </xf>
    <xf numFmtId="165" fontId="17" fillId="71" borderId="0" xfId="176" applyNumberFormat="1" applyFont="1" applyFill="1" applyBorder="1" applyAlignment="1">
      <alignment horizontal="right" vertical="center"/>
      <protection/>
    </xf>
    <xf numFmtId="2" fontId="17" fillId="71" borderId="30" xfId="176" applyNumberFormat="1" applyFont="1" applyFill="1" applyBorder="1" applyAlignment="1">
      <alignment horizontal="right" vertical="center"/>
      <protection/>
    </xf>
    <xf numFmtId="165" fontId="3" fillId="8" borderId="0" xfId="176" applyNumberFormat="1" applyFont="1" applyFill="1" applyBorder="1" applyAlignment="1">
      <alignment horizontal="center" vertical="center"/>
      <protection/>
    </xf>
    <xf numFmtId="2" fontId="3" fillId="8" borderId="30" xfId="176" applyNumberFormat="1" applyFont="1" applyFill="1" applyBorder="1" applyAlignment="1">
      <alignment horizontal="center" vertical="center"/>
      <protection/>
    </xf>
    <xf numFmtId="165" fontId="3" fillId="8" borderId="43" xfId="176" applyNumberFormat="1" applyFont="1" applyFill="1" applyBorder="1" applyAlignment="1">
      <alignment horizontal="right" vertical="center"/>
      <protection/>
    </xf>
    <xf numFmtId="0" fontId="3" fillId="0" borderId="0" xfId="176" applyFont="1" applyAlignment="1">
      <alignment horizontal="center" vertical="top"/>
      <protection/>
    </xf>
    <xf numFmtId="49" fontId="4" fillId="0" borderId="0" xfId="176" applyNumberFormat="1" applyFont="1" applyBorder="1" applyAlignment="1">
      <alignment horizontal="left" wrapText="1"/>
      <protection/>
    </xf>
    <xf numFmtId="49" fontId="4" fillId="0" borderId="0" xfId="176" applyNumberFormat="1" applyFont="1" applyBorder="1" applyAlignment="1">
      <alignment horizontal="left"/>
      <protection/>
    </xf>
    <xf numFmtId="165" fontId="3" fillId="73" borderId="31" xfId="176" applyNumberFormat="1" applyFont="1" applyFill="1" applyBorder="1" applyAlignment="1">
      <alignment horizontal="center" vertical="center"/>
      <protection/>
    </xf>
    <xf numFmtId="165" fontId="3" fillId="73" borderId="0" xfId="176" applyNumberFormat="1" applyFont="1" applyFill="1" applyBorder="1" applyAlignment="1">
      <alignment horizontal="center" vertical="center"/>
      <protection/>
    </xf>
    <xf numFmtId="165" fontId="3" fillId="73" borderId="34" xfId="176" applyNumberFormat="1" applyFont="1" applyFill="1" applyBorder="1" applyAlignment="1">
      <alignment horizontal="center" vertical="center"/>
      <protection/>
    </xf>
    <xf numFmtId="165" fontId="3" fillId="73" borderId="31" xfId="176" applyNumberFormat="1" applyFont="1" applyFill="1" applyBorder="1" applyAlignment="1">
      <alignment horizontal="right" vertical="center"/>
      <protection/>
    </xf>
    <xf numFmtId="165" fontId="3" fillId="73" borderId="0" xfId="176" applyNumberFormat="1" applyFont="1" applyFill="1" applyBorder="1" applyAlignment="1">
      <alignment horizontal="right" vertical="center"/>
      <protection/>
    </xf>
    <xf numFmtId="165" fontId="3" fillId="73" borderId="16" xfId="176" applyNumberFormat="1" applyFont="1" applyFill="1" applyBorder="1" applyAlignment="1">
      <alignment horizontal="center" vertical="center"/>
      <protection/>
    </xf>
    <xf numFmtId="165" fontId="17" fillId="73" borderId="0" xfId="176" applyNumberFormat="1" applyFont="1" applyFill="1" applyBorder="1" applyAlignment="1">
      <alignment horizontal="center" vertical="center"/>
      <protection/>
    </xf>
    <xf numFmtId="1" fontId="4" fillId="73" borderId="16" xfId="176" applyNumberFormat="1" applyFont="1" applyFill="1" applyBorder="1" applyAlignment="1">
      <alignment horizontal="center" wrapText="1"/>
      <protection/>
    </xf>
    <xf numFmtId="1" fontId="4" fillId="73" borderId="34" xfId="176" applyNumberFormat="1" applyFont="1" applyFill="1" applyBorder="1" applyAlignment="1">
      <alignment horizontal="center" wrapText="1"/>
      <protection/>
    </xf>
    <xf numFmtId="0" fontId="8" fillId="0" borderId="0" xfId="176" applyFont="1">
      <alignment/>
      <protection/>
    </xf>
    <xf numFmtId="165" fontId="4" fillId="0" borderId="0" xfId="176" applyNumberFormat="1" applyFont="1" applyBorder="1" applyAlignment="1">
      <alignment horizontal="center" vertical="top"/>
      <protection/>
    </xf>
    <xf numFmtId="0" fontId="4" fillId="72" borderId="25" xfId="0" applyFont="1" applyFill="1" applyBorder="1" applyAlignment="1">
      <alignment horizontal="center" vertical="center"/>
    </xf>
    <xf numFmtId="165" fontId="17" fillId="72" borderId="34" xfId="0" applyNumberFormat="1" applyFont="1" applyFill="1" applyBorder="1" applyAlignment="1">
      <alignment horizontal="right" vertical="center"/>
    </xf>
    <xf numFmtId="2" fontId="3" fillId="0" borderId="25" xfId="176" applyNumberFormat="1" applyFont="1" applyFill="1" applyBorder="1" applyAlignment="1">
      <alignment horizontal="center" vertical="center"/>
      <protection/>
    </xf>
    <xf numFmtId="165" fontId="3" fillId="0" borderId="34" xfId="176" applyNumberFormat="1" applyFont="1" applyFill="1" applyBorder="1" applyAlignment="1">
      <alignment horizontal="center" vertical="center"/>
      <protection/>
    </xf>
    <xf numFmtId="165" fontId="3" fillId="0" borderId="25" xfId="176" applyNumberFormat="1" applyFont="1" applyFill="1" applyBorder="1" applyAlignment="1">
      <alignment horizontal="center" vertical="center"/>
      <protection/>
    </xf>
    <xf numFmtId="174" fontId="3" fillId="0" borderId="35" xfId="0" applyNumberFormat="1" applyFont="1" applyFill="1" applyBorder="1" applyAlignment="1">
      <alignment horizontal="center" vertical="center"/>
    </xf>
    <xf numFmtId="174" fontId="3" fillId="0" borderId="34" xfId="0" applyNumberFormat="1" applyFont="1" applyFill="1" applyBorder="1" applyAlignment="1">
      <alignment horizontal="center" vertical="center"/>
    </xf>
    <xf numFmtId="174" fontId="3" fillId="0" borderId="36" xfId="0" applyNumberFormat="1" applyFont="1" applyFill="1" applyBorder="1" applyAlignment="1">
      <alignment horizontal="center" vertical="center"/>
    </xf>
    <xf numFmtId="174" fontId="4" fillId="0" borderId="25" xfId="0" applyNumberFormat="1" applyFont="1" applyFill="1" applyBorder="1" applyAlignment="1">
      <alignment horizontal="center" vertical="center"/>
    </xf>
    <xf numFmtId="174" fontId="3" fillId="0" borderId="32"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74" fontId="3" fillId="0" borderId="31" xfId="0" applyNumberFormat="1" applyFont="1" applyFill="1" applyBorder="1" applyAlignment="1">
      <alignment horizontal="center" vertical="center"/>
    </xf>
    <xf numFmtId="174" fontId="4" fillId="0" borderId="30" xfId="0" applyNumberFormat="1" applyFont="1" applyFill="1" applyBorder="1" applyAlignment="1">
      <alignment horizontal="center" vertical="center"/>
    </xf>
    <xf numFmtId="174" fontId="3" fillId="0" borderId="45" xfId="0" applyNumberFormat="1" applyFont="1" applyFill="1" applyBorder="1" applyAlignment="1">
      <alignment horizontal="center" vertical="center"/>
    </xf>
    <xf numFmtId="174" fontId="3" fillId="0" borderId="38" xfId="0" applyNumberFormat="1" applyFont="1" applyFill="1" applyBorder="1" applyAlignment="1">
      <alignment horizontal="center" vertical="center"/>
    </xf>
    <xf numFmtId="2" fontId="3" fillId="0" borderId="0" xfId="0" applyNumberFormat="1" applyFont="1" applyFill="1" applyBorder="1" applyAlignment="1">
      <alignment horizontal="right" vertical="center"/>
    </xf>
    <xf numFmtId="165" fontId="3" fillId="0" borderId="0" xfId="176" applyNumberFormat="1" applyFont="1" applyBorder="1" applyAlignment="1">
      <alignment vertical="top"/>
      <protection/>
    </xf>
    <xf numFmtId="2" fontId="3" fillId="0" borderId="46" xfId="0" applyNumberFormat="1" applyFont="1" applyFill="1" applyBorder="1" applyAlignment="1">
      <alignment horizontal="right" vertical="center"/>
    </xf>
    <xf numFmtId="165" fontId="3" fillId="0" borderId="46" xfId="0" applyNumberFormat="1" applyFont="1" applyBorder="1" applyAlignment="1">
      <alignment horizontal="center" vertical="center"/>
    </xf>
    <xf numFmtId="1" fontId="4" fillId="69" borderId="34" xfId="176" applyNumberFormat="1" applyFont="1" applyFill="1" applyBorder="1" applyAlignment="1">
      <alignment horizontal="center"/>
      <protection/>
    </xf>
    <xf numFmtId="165" fontId="3" fillId="0" borderId="16" xfId="176" applyNumberFormat="1" applyFont="1" applyFill="1" applyBorder="1" applyAlignment="1">
      <alignment horizontal="right" vertical="center"/>
      <protection/>
    </xf>
    <xf numFmtId="165" fontId="3" fillId="72" borderId="34" xfId="176" applyNumberFormat="1" applyFont="1" applyFill="1" applyBorder="1" applyAlignment="1">
      <alignment horizontal="right" vertical="center"/>
      <protection/>
    </xf>
    <xf numFmtId="165" fontId="3" fillId="72" borderId="16" xfId="176" applyNumberFormat="1" applyFont="1" applyFill="1" applyBorder="1" applyAlignment="1">
      <alignment horizontal="right" vertical="center"/>
      <protection/>
    </xf>
    <xf numFmtId="165" fontId="17" fillId="72" borderId="16" xfId="176" applyNumberFormat="1" applyFont="1" applyFill="1" applyBorder="1" applyAlignment="1">
      <alignment horizontal="right" vertical="center"/>
      <protection/>
    </xf>
    <xf numFmtId="49" fontId="4" fillId="0" borderId="34" xfId="176" applyNumberFormat="1" applyFont="1" applyBorder="1" applyAlignment="1">
      <alignment horizontal="left"/>
      <protection/>
    </xf>
    <xf numFmtId="178" fontId="3" fillId="0" borderId="0" xfId="176" applyNumberFormat="1" applyFont="1" applyAlignment="1">
      <alignment vertical="top"/>
      <protection/>
    </xf>
    <xf numFmtId="178" fontId="3" fillId="0" borderId="0" xfId="176" applyNumberFormat="1" applyFont="1">
      <alignment/>
      <protection/>
    </xf>
    <xf numFmtId="179" fontId="3" fillId="0" borderId="0" xfId="176" applyNumberFormat="1" applyFont="1">
      <alignment/>
      <protection/>
    </xf>
    <xf numFmtId="1" fontId="3" fillId="0" borderId="0" xfId="176" applyNumberFormat="1" applyFont="1">
      <alignment/>
      <protection/>
    </xf>
    <xf numFmtId="165" fontId="3" fillId="0" borderId="34" xfId="176" applyNumberFormat="1" applyFont="1" applyFill="1" applyBorder="1" applyAlignment="1">
      <alignment horizontal="center" vertical="center"/>
      <protection/>
    </xf>
    <xf numFmtId="165" fontId="3" fillId="72" borderId="34" xfId="176" applyNumberFormat="1" applyFont="1" applyFill="1" applyBorder="1" applyAlignment="1">
      <alignment horizontal="center" vertical="center"/>
      <protection/>
    </xf>
    <xf numFmtId="165" fontId="17" fillId="8" borderId="42" xfId="176" applyNumberFormat="1" applyFont="1" applyFill="1" applyBorder="1" applyAlignment="1">
      <alignment horizontal="right" vertical="center"/>
      <protection/>
    </xf>
    <xf numFmtId="165" fontId="3" fillId="0" borderId="42" xfId="176" applyNumberFormat="1" applyFont="1" applyBorder="1" applyAlignment="1">
      <alignment horizontal="right" vertical="center"/>
      <protection/>
    </xf>
    <xf numFmtId="165" fontId="17" fillId="72" borderId="31" xfId="176" applyNumberFormat="1" applyFont="1" applyFill="1" applyBorder="1" applyAlignment="1">
      <alignment horizontal="right" vertical="center"/>
      <protection/>
    </xf>
    <xf numFmtId="49" fontId="4" fillId="0" borderId="0" xfId="176" applyNumberFormat="1" applyFont="1" applyBorder="1" applyAlignment="1">
      <alignment horizontal="left" wrapText="1"/>
      <protection/>
    </xf>
    <xf numFmtId="165" fontId="3" fillId="73" borderId="16" xfId="176" applyNumberFormat="1" applyFont="1" applyFill="1" applyBorder="1" applyAlignment="1">
      <alignment horizontal="center" vertical="center"/>
      <protection/>
    </xf>
    <xf numFmtId="1" fontId="4" fillId="73" borderId="0" xfId="176" applyNumberFormat="1" applyFont="1" applyFill="1" applyBorder="1" applyAlignment="1">
      <alignment horizontal="center" wrapText="1"/>
      <protection/>
    </xf>
    <xf numFmtId="165" fontId="3" fillId="73" borderId="42" xfId="176" applyNumberFormat="1" applyFont="1" applyFill="1" applyBorder="1" applyAlignment="1">
      <alignment horizontal="center" vertical="center"/>
      <protection/>
    </xf>
    <xf numFmtId="174" fontId="3" fillId="0" borderId="0" xfId="0" applyNumberFormat="1" applyFont="1" applyFill="1" applyBorder="1" applyAlignment="1">
      <alignment horizontal="center" vertical="center"/>
    </xf>
    <xf numFmtId="165" fontId="17" fillId="0" borderId="0" xfId="176" applyNumberFormat="1" applyFont="1" applyBorder="1" applyAlignment="1">
      <alignment vertical="top"/>
      <protection/>
    </xf>
    <xf numFmtId="165" fontId="3" fillId="72" borderId="25" xfId="176" applyNumberFormat="1" applyFont="1" applyFill="1" applyBorder="1" applyAlignment="1">
      <alignment horizontal="right" vertical="center"/>
      <protection/>
    </xf>
    <xf numFmtId="2" fontId="17" fillId="0" borderId="32" xfId="0" applyNumberFormat="1" applyFont="1" applyFill="1" applyBorder="1" applyAlignment="1">
      <alignment horizontal="right" vertical="center"/>
    </xf>
    <xf numFmtId="165" fontId="17" fillId="0" borderId="34" xfId="176" applyNumberFormat="1" applyFont="1" applyFill="1" applyBorder="1" applyAlignment="1">
      <alignment horizontal="right" vertical="center"/>
      <protection/>
    </xf>
    <xf numFmtId="178" fontId="3" fillId="0" borderId="0" xfId="176" applyNumberFormat="1" applyFont="1" applyBorder="1" applyAlignment="1">
      <alignment horizontal="right" vertical="center"/>
      <protection/>
    </xf>
    <xf numFmtId="0" fontId="3" fillId="0" borderId="0" xfId="176" applyFont="1" applyBorder="1">
      <alignment/>
      <protection/>
    </xf>
    <xf numFmtId="165" fontId="3" fillId="0" borderId="31" xfId="176" applyNumberFormat="1" applyFont="1" applyBorder="1" applyAlignment="1">
      <alignment horizontal="right" vertical="center"/>
      <protection/>
    </xf>
    <xf numFmtId="165" fontId="17" fillId="0" borderId="31" xfId="176" applyNumberFormat="1" applyFont="1" applyBorder="1" applyAlignment="1">
      <alignment horizontal="right" vertical="center"/>
      <protection/>
    </xf>
    <xf numFmtId="165" fontId="3" fillId="8" borderId="31" xfId="176" applyNumberFormat="1" applyFont="1" applyFill="1" applyBorder="1" applyAlignment="1">
      <alignment horizontal="right" vertical="center"/>
      <protection/>
    </xf>
    <xf numFmtId="165" fontId="3" fillId="71" borderId="31" xfId="176" applyNumberFormat="1" applyFont="1" applyFill="1" applyBorder="1" applyAlignment="1">
      <alignment horizontal="right" vertical="center"/>
      <protection/>
    </xf>
    <xf numFmtId="165" fontId="17" fillId="8" borderId="31" xfId="176" applyNumberFormat="1" applyFont="1" applyFill="1" applyBorder="1" applyAlignment="1">
      <alignment horizontal="right" vertical="center"/>
      <protection/>
    </xf>
    <xf numFmtId="165" fontId="3" fillId="72" borderId="31" xfId="176" applyNumberFormat="1" applyFont="1" applyFill="1" applyBorder="1" applyAlignment="1">
      <alignment horizontal="right" vertical="center"/>
      <protection/>
    </xf>
    <xf numFmtId="165" fontId="17" fillId="0" borderId="31" xfId="176" applyNumberFormat="1" applyFont="1" applyFill="1" applyBorder="1" applyAlignment="1">
      <alignment horizontal="right" vertical="center"/>
      <protection/>
    </xf>
    <xf numFmtId="165" fontId="17" fillId="0" borderId="31" xfId="176" applyNumberFormat="1" applyFont="1" applyBorder="1" applyAlignment="1">
      <alignment vertical="top"/>
      <protection/>
    </xf>
    <xf numFmtId="165" fontId="3" fillId="8" borderId="30" xfId="176" applyNumberFormat="1" applyFont="1" applyFill="1" applyBorder="1" applyAlignment="1">
      <alignment horizontal="right"/>
      <protection/>
    </xf>
    <xf numFmtId="49" fontId="4" fillId="0" borderId="0" xfId="176" applyNumberFormat="1" applyFont="1" applyBorder="1" applyAlignment="1">
      <alignment horizontal="left" wrapText="1"/>
      <protection/>
    </xf>
    <xf numFmtId="179" fontId="3" fillId="0" borderId="0" xfId="176" applyNumberFormat="1" applyFont="1" applyAlignment="1">
      <alignment horizontal="left" vertical="top" wrapText="1"/>
      <protection/>
    </xf>
    <xf numFmtId="165" fontId="17" fillId="0" borderId="42" xfId="176" applyNumberFormat="1" applyFont="1" applyFill="1" applyBorder="1">
      <alignment/>
      <protection/>
    </xf>
    <xf numFmtId="165" fontId="17" fillId="0" borderId="42" xfId="176" applyNumberFormat="1" applyFont="1" applyFill="1" applyBorder="1" applyAlignment="1">
      <alignment horizontal="right" vertical="center"/>
      <protection/>
    </xf>
    <xf numFmtId="0" fontId="4" fillId="0" borderId="0" xfId="0" applyFont="1" applyBorder="1" applyAlignment="1">
      <alignment horizontal="left" wrapText="1"/>
    </xf>
    <xf numFmtId="165" fontId="18" fillId="0" borderId="31" xfId="0" applyNumberFormat="1" applyFont="1" applyFill="1" applyBorder="1" applyAlignment="1">
      <alignment horizontal="center" vertical="center"/>
    </xf>
    <xf numFmtId="165" fontId="3" fillId="0" borderId="31" xfId="0" applyNumberFormat="1" applyFont="1" applyFill="1" applyBorder="1" applyAlignment="1">
      <alignment horizontal="center" vertical="center"/>
    </xf>
    <xf numFmtId="0" fontId="4" fillId="8" borderId="39" xfId="0" applyFont="1" applyFill="1" applyBorder="1" applyAlignment="1">
      <alignment horizontal="center" vertical="center"/>
    </xf>
    <xf numFmtId="165" fontId="17" fillId="0" borderId="47" xfId="0" applyNumberFormat="1" applyFont="1" applyBorder="1" applyAlignment="1">
      <alignment/>
    </xf>
    <xf numFmtId="165" fontId="17" fillId="0" borderId="44" xfId="0" applyNumberFormat="1" applyFont="1" applyBorder="1" applyAlignment="1">
      <alignment/>
    </xf>
    <xf numFmtId="0" fontId="4" fillId="70" borderId="34" xfId="0" applyFont="1" applyFill="1" applyBorder="1" applyAlignment="1">
      <alignment horizontal="center" vertical="center"/>
    </xf>
    <xf numFmtId="1" fontId="4" fillId="8" borderId="32" xfId="0" applyNumberFormat="1" applyFont="1" applyFill="1" applyBorder="1" applyAlignment="1">
      <alignment horizontal="center" vertical="center"/>
    </xf>
    <xf numFmtId="1" fontId="4" fillId="8" borderId="47" xfId="0" applyNumberFormat="1" applyFont="1" applyFill="1" applyBorder="1" applyAlignment="1">
      <alignment horizontal="center" vertical="center"/>
    </xf>
    <xf numFmtId="2" fontId="18" fillId="0" borderId="39" xfId="0" applyNumberFormat="1" applyFont="1" applyFill="1" applyBorder="1" applyAlignment="1">
      <alignment horizontal="right" vertical="center"/>
    </xf>
    <xf numFmtId="165" fontId="17" fillId="0" borderId="32" xfId="0" applyNumberFormat="1" applyFont="1" applyBorder="1" applyAlignment="1">
      <alignment horizontal="center" vertical="center"/>
    </xf>
    <xf numFmtId="165" fontId="17" fillId="0" borderId="44" xfId="0" applyNumberFormat="1" applyFont="1" applyBorder="1" applyAlignment="1">
      <alignment horizontal="center" vertical="center"/>
    </xf>
    <xf numFmtId="165" fontId="3" fillId="0" borderId="16" xfId="0" applyNumberFormat="1" applyFont="1" applyBorder="1" applyAlignment="1">
      <alignment horizontal="center" vertical="center"/>
    </xf>
    <xf numFmtId="2" fontId="3" fillId="0" borderId="16" xfId="0" applyNumberFormat="1" applyFont="1" applyFill="1" applyBorder="1" applyAlignment="1">
      <alignment horizontal="right" vertical="center"/>
    </xf>
    <xf numFmtId="2" fontId="3" fillId="0" borderId="34" xfId="0" applyNumberFormat="1" applyFont="1" applyFill="1" applyBorder="1" applyAlignment="1" quotePrefix="1">
      <alignment horizontal="right" vertical="center"/>
    </xf>
    <xf numFmtId="2" fontId="3" fillId="0" borderId="0" xfId="0" applyNumberFormat="1" applyFont="1" applyFill="1" applyBorder="1" applyAlignment="1" quotePrefix="1">
      <alignment horizontal="right" vertical="center"/>
    </xf>
    <xf numFmtId="49" fontId="4" fillId="0" borderId="0" xfId="176" applyNumberFormat="1" applyFont="1" applyBorder="1" applyAlignment="1">
      <alignment horizontal="left" wrapText="1"/>
      <protection/>
    </xf>
    <xf numFmtId="165" fontId="3" fillId="72" borderId="16" xfId="176" applyNumberFormat="1" applyFont="1" applyFill="1" applyBorder="1" applyAlignment="1">
      <alignment horizontal="right" vertical="center"/>
      <protection/>
    </xf>
    <xf numFmtId="165" fontId="3" fillId="73" borderId="44" xfId="176" applyNumberFormat="1" applyFont="1" applyFill="1" applyBorder="1" applyAlignment="1">
      <alignment horizontal="center" vertical="center"/>
      <protection/>
    </xf>
    <xf numFmtId="165" fontId="3" fillId="73" borderId="44" xfId="176" applyNumberFormat="1" applyFont="1" applyFill="1" applyBorder="1" applyAlignment="1">
      <alignment horizontal="right" vertical="center"/>
      <protection/>
    </xf>
    <xf numFmtId="165" fontId="3" fillId="73" borderId="16" xfId="176" applyNumberFormat="1" applyFont="1" applyFill="1" applyBorder="1" applyAlignment="1">
      <alignment horizontal="center" vertical="center"/>
      <protection/>
    </xf>
    <xf numFmtId="0" fontId="4" fillId="8" borderId="26" xfId="176" applyFont="1" applyFill="1" applyBorder="1" applyAlignment="1">
      <alignment horizontal="center" vertical="center"/>
      <protection/>
    </xf>
    <xf numFmtId="165" fontId="4" fillId="8" borderId="27" xfId="176" applyNumberFormat="1" applyFont="1" applyFill="1" applyBorder="1" applyAlignment="1">
      <alignment horizontal="right" vertical="center"/>
      <protection/>
    </xf>
    <xf numFmtId="165" fontId="18" fillId="8" borderId="33" xfId="176" applyNumberFormat="1" applyFont="1" applyFill="1" applyBorder="1" applyAlignment="1">
      <alignment horizontal="right" vertical="center"/>
      <protection/>
    </xf>
    <xf numFmtId="165" fontId="4" fillId="8" borderId="33" xfId="176" applyNumberFormat="1" applyFont="1" applyFill="1" applyBorder="1" applyAlignment="1">
      <alignment horizontal="right" vertical="center"/>
      <protection/>
    </xf>
    <xf numFmtId="165" fontId="18" fillId="73" borderId="33" xfId="176" applyNumberFormat="1" applyFont="1" applyFill="1" applyBorder="1" applyAlignment="1">
      <alignment horizontal="center" vertical="center"/>
      <protection/>
    </xf>
    <xf numFmtId="165" fontId="18" fillId="73" borderId="37" xfId="176" applyNumberFormat="1" applyFont="1" applyFill="1" applyBorder="1" applyAlignment="1">
      <alignment horizontal="center" vertical="center"/>
      <protection/>
    </xf>
    <xf numFmtId="165" fontId="4" fillId="8" borderId="26" xfId="176" applyNumberFormat="1" applyFont="1" applyFill="1" applyBorder="1" applyAlignment="1">
      <alignment horizontal="right" vertical="center"/>
      <protection/>
    </xf>
    <xf numFmtId="165" fontId="3" fillId="72" borderId="47" xfId="176" applyNumberFormat="1" applyFont="1" applyFill="1" applyBorder="1" applyAlignment="1">
      <alignment horizontal="right" vertical="center"/>
      <protection/>
    </xf>
    <xf numFmtId="165" fontId="3" fillId="72" borderId="39" xfId="176" applyNumberFormat="1" applyFont="1" applyFill="1" applyBorder="1" applyAlignment="1">
      <alignment horizontal="right" vertical="center"/>
      <protection/>
    </xf>
    <xf numFmtId="165" fontId="3" fillId="0" borderId="30" xfId="176" applyNumberFormat="1" applyFont="1" applyFill="1" applyBorder="1" applyAlignment="1" quotePrefix="1">
      <alignment horizontal="right" vertical="center"/>
      <protection/>
    </xf>
    <xf numFmtId="165" fontId="3" fillId="72" borderId="30" xfId="176" applyNumberFormat="1" applyFont="1" applyFill="1" applyBorder="1" applyAlignment="1" quotePrefix="1">
      <alignment horizontal="right" vertical="center"/>
      <protection/>
    </xf>
    <xf numFmtId="2" fontId="3" fillId="0" borderId="31" xfId="0" applyNumberFormat="1" applyFont="1" applyFill="1" applyBorder="1" applyAlignment="1">
      <alignment horizontal="right" vertical="center"/>
    </xf>
    <xf numFmtId="165" fontId="17" fillId="0" borderId="16" xfId="0" applyNumberFormat="1" applyFont="1" applyBorder="1" applyAlignment="1">
      <alignment horizontal="center" vertical="center"/>
    </xf>
    <xf numFmtId="165" fontId="3" fillId="0" borderId="32" xfId="0" applyNumberFormat="1" applyFont="1" applyBorder="1" applyAlignment="1">
      <alignment horizontal="center" vertical="center"/>
    </xf>
    <xf numFmtId="165" fontId="3" fillId="0" borderId="47" xfId="0" applyNumberFormat="1" applyFont="1" applyBorder="1" applyAlignment="1">
      <alignment horizontal="center" vertical="center"/>
    </xf>
    <xf numFmtId="165" fontId="3" fillId="0" borderId="44" xfId="0" applyNumberFormat="1" applyFont="1" applyBorder="1" applyAlignment="1">
      <alignment horizontal="center" vertical="center"/>
    </xf>
    <xf numFmtId="165" fontId="3" fillId="0" borderId="16" xfId="176" applyNumberFormat="1" applyFont="1" applyFill="1" applyBorder="1" applyAlignment="1">
      <alignment horizontal="right" vertical="center"/>
      <protection/>
    </xf>
    <xf numFmtId="165" fontId="17" fillId="72" borderId="44" xfId="176" applyNumberFormat="1" applyFont="1" applyFill="1" applyBorder="1" applyAlignment="1">
      <alignment horizontal="right" vertical="center"/>
      <protection/>
    </xf>
    <xf numFmtId="165" fontId="3" fillId="72" borderId="44" xfId="176" applyNumberFormat="1" applyFont="1" applyFill="1" applyBorder="1" applyAlignment="1">
      <alignment horizontal="right" vertical="center"/>
      <protection/>
    </xf>
    <xf numFmtId="165" fontId="17" fillId="72" borderId="16" xfId="176" applyNumberFormat="1" applyFont="1" applyFill="1" applyBorder="1" applyAlignment="1">
      <alignment horizontal="right" vertical="center"/>
      <protection/>
    </xf>
    <xf numFmtId="165" fontId="3" fillId="0" borderId="42" xfId="176" applyNumberFormat="1" applyFont="1" applyBorder="1">
      <alignment/>
      <protection/>
    </xf>
    <xf numFmtId="2" fontId="18" fillId="8" borderId="26" xfId="176" applyNumberFormat="1" applyFont="1" applyFill="1" applyBorder="1" applyAlignment="1">
      <alignment vertical="center"/>
      <protection/>
    </xf>
    <xf numFmtId="174" fontId="18" fillId="8" borderId="27" xfId="176" applyNumberFormat="1" applyFont="1" applyFill="1" applyBorder="1" applyAlignment="1">
      <alignment vertical="center"/>
      <protection/>
    </xf>
    <xf numFmtId="174" fontId="18" fillId="8" borderId="33" xfId="176" applyNumberFormat="1" applyFont="1" applyFill="1" applyBorder="1" applyAlignment="1">
      <alignment vertical="center"/>
      <protection/>
    </xf>
    <xf numFmtId="174" fontId="18" fillId="8" borderId="33" xfId="176" applyNumberFormat="1" applyFont="1" applyFill="1" applyBorder="1" applyAlignment="1">
      <alignment horizontal="right"/>
      <protection/>
    </xf>
    <xf numFmtId="165" fontId="18" fillId="8" borderId="26" xfId="176" applyNumberFormat="1" applyFont="1" applyFill="1" applyBorder="1" applyAlignment="1">
      <alignment horizontal="right"/>
      <protection/>
    </xf>
    <xf numFmtId="165" fontId="3" fillId="8" borderId="26" xfId="176" applyNumberFormat="1" applyFont="1" applyFill="1" applyBorder="1" applyAlignment="1">
      <alignment horizontal="right"/>
      <protection/>
    </xf>
    <xf numFmtId="165" fontId="4" fillId="8" borderId="33" xfId="176" applyNumberFormat="1" applyFont="1" applyFill="1" applyBorder="1" applyAlignment="1">
      <alignment horizontal="right"/>
      <protection/>
    </xf>
    <xf numFmtId="165" fontId="18" fillId="8" borderId="33" xfId="176" applyNumberFormat="1" applyFont="1" applyFill="1" applyBorder="1" applyAlignment="1">
      <alignment horizontal="right"/>
      <protection/>
    </xf>
    <xf numFmtId="165" fontId="4" fillId="8" borderId="26" xfId="176" applyNumberFormat="1" applyFont="1" applyFill="1" applyBorder="1" applyAlignment="1">
      <alignment horizontal="right"/>
      <protection/>
    </xf>
    <xf numFmtId="165" fontId="17" fillId="72" borderId="0" xfId="176" applyNumberFormat="1" applyFont="1" applyFill="1" applyBorder="1" applyAlignment="1">
      <alignment horizontal="right" vertical="center" wrapText="1"/>
      <protection/>
    </xf>
    <xf numFmtId="165" fontId="18" fillId="8" borderId="33" xfId="0" applyNumberFormat="1" applyFont="1" applyFill="1" applyBorder="1" applyAlignment="1">
      <alignment horizontal="right"/>
    </xf>
    <xf numFmtId="166" fontId="17" fillId="0" borderId="31" xfId="0" applyNumberFormat="1" applyFont="1" applyBorder="1" applyAlignment="1">
      <alignment horizontal="center" vertical="center"/>
    </xf>
    <xf numFmtId="165" fontId="17" fillId="0" borderId="16" xfId="0" applyNumberFormat="1" applyFont="1" applyBorder="1" applyAlignment="1">
      <alignment/>
    </xf>
    <xf numFmtId="165" fontId="3" fillId="0" borderId="16" xfId="0" applyNumberFormat="1" applyFont="1" applyBorder="1" applyAlignment="1">
      <alignment/>
    </xf>
    <xf numFmtId="0" fontId="4" fillId="0" borderId="0" xfId="0" applyFont="1" applyAlignment="1">
      <alignment vertical="top"/>
    </xf>
    <xf numFmtId="0" fontId="4" fillId="0" borderId="0" xfId="0" applyFont="1" applyFill="1" applyBorder="1" applyAlignment="1">
      <alignment horizontal="left"/>
    </xf>
    <xf numFmtId="174" fontId="3" fillId="0" borderId="31" xfId="0" applyNumberFormat="1" applyFont="1" applyFill="1" applyBorder="1" applyAlignment="1">
      <alignment horizontal="center" vertical="center"/>
    </xf>
    <xf numFmtId="0" fontId="23" fillId="8" borderId="47" xfId="0" applyFont="1" applyFill="1" applyBorder="1" applyAlignment="1">
      <alignment horizontal="center" vertical="center"/>
    </xf>
    <xf numFmtId="174" fontId="3" fillId="0" borderId="47" xfId="0" applyNumberFormat="1" applyFont="1" applyFill="1" applyBorder="1" applyAlignment="1">
      <alignment horizontal="center" vertical="center"/>
    </xf>
    <xf numFmtId="174" fontId="3" fillId="0" borderId="44" xfId="0" applyNumberFormat="1" applyFont="1" applyFill="1" applyBorder="1" applyAlignment="1">
      <alignment horizontal="center" vertical="center"/>
    </xf>
    <xf numFmtId="174" fontId="3" fillId="0" borderId="16" xfId="0" applyNumberFormat="1" applyFont="1" applyFill="1" applyBorder="1" applyAlignment="1">
      <alignment horizontal="center" vertical="center"/>
    </xf>
    <xf numFmtId="174" fontId="4" fillId="0" borderId="30" xfId="0" applyNumberFormat="1" applyFont="1" applyFill="1" applyBorder="1" applyAlignment="1">
      <alignment horizontal="center" vertical="center"/>
    </xf>
    <xf numFmtId="174" fontId="4" fillId="0" borderId="39" xfId="0" applyNumberFormat="1" applyFont="1" applyFill="1" applyBorder="1" applyAlignment="1">
      <alignment horizontal="center" vertical="center"/>
    </xf>
    <xf numFmtId="165" fontId="3" fillId="0" borderId="48" xfId="176" applyNumberFormat="1" applyFont="1" applyBorder="1" applyAlignment="1">
      <alignment horizontal="right" vertical="center"/>
      <protection/>
    </xf>
    <xf numFmtId="49" fontId="4" fillId="0" borderId="0" xfId="176" applyNumberFormat="1" applyFont="1" applyAlignment="1">
      <alignment vertical="top" wrapText="1"/>
      <protection/>
    </xf>
    <xf numFmtId="49" fontId="4" fillId="0" borderId="0" xfId="176" applyNumberFormat="1" applyFont="1" applyBorder="1" applyAlignment="1">
      <alignment horizontal="left" wrapText="1"/>
      <protection/>
    </xf>
    <xf numFmtId="165" fontId="3" fillId="74" borderId="0" xfId="176" applyNumberFormat="1" applyFont="1" applyFill="1" applyBorder="1" applyAlignment="1">
      <alignment horizontal="right" vertical="center"/>
      <protection/>
    </xf>
    <xf numFmtId="0" fontId="4" fillId="72" borderId="39" xfId="0" applyFont="1" applyFill="1" applyBorder="1" applyAlignment="1">
      <alignment horizontal="center" vertical="center"/>
    </xf>
    <xf numFmtId="0" fontId="4" fillId="0" borderId="39" xfId="0" applyFont="1" applyFill="1" applyBorder="1" applyAlignment="1">
      <alignment horizontal="center" vertical="center"/>
    </xf>
    <xf numFmtId="165" fontId="17" fillId="0" borderId="44" xfId="176" applyNumberFormat="1" applyFont="1" applyFill="1" applyBorder="1" applyAlignment="1">
      <alignment horizontal="right" vertical="center"/>
      <protection/>
    </xf>
    <xf numFmtId="1" fontId="3" fillId="72" borderId="0" xfId="176" applyNumberFormat="1" applyFont="1" applyFill="1">
      <alignment/>
      <protection/>
    </xf>
    <xf numFmtId="49" fontId="4" fillId="0" borderId="0" xfId="176" applyNumberFormat="1" applyFont="1" applyBorder="1" applyAlignment="1">
      <alignment horizontal="left" wrapText="1"/>
      <protection/>
    </xf>
    <xf numFmtId="165" fontId="17" fillId="72" borderId="36" xfId="176" applyNumberFormat="1" applyFont="1" applyFill="1" applyBorder="1" applyAlignment="1">
      <alignment horizontal="right" vertical="center"/>
      <protection/>
    </xf>
    <xf numFmtId="0" fontId="3" fillId="0" borderId="47" xfId="176" applyFont="1" applyBorder="1" applyAlignment="1">
      <alignment horizontal="right" vertical="center"/>
      <protection/>
    </xf>
    <xf numFmtId="0" fontId="4" fillId="72" borderId="39" xfId="176" applyFont="1" applyFill="1" applyBorder="1" applyAlignment="1">
      <alignment horizontal="center" vertical="center"/>
      <protection/>
    </xf>
    <xf numFmtId="165" fontId="3" fillId="0" borderId="16" xfId="176" applyNumberFormat="1" applyFont="1" applyFill="1" applyBorder="1" applyAlignment="1">
      <alignment horizontal="right" vertical="center"/>
      <protection/>
    </xf>
    <xf numFmtId="165" fontId="3" fillId="73" borderId="16" xfId="176" applyNumberFormat="1" applyFont="1" applyFill="1" applyBorder="1" applyAlignment="1">
      <alignment horizontal="right" vertical="center"/>
      <protection/>
    </xf>
    <xf numFmtId="0" fontId="8" fillId="0" borderId="0" xfId="0" applyFont="1" applyAlignment="1">
      <alignment vertical="top"/>
    </xf>
    <xf numFmtId="0" fontId="8" fillId="0" borderId="0" xfId="0" applyFont="1" applyAlignment="1">
      <alignment/>
    </xf>
    <xf numFmtId="0" fontId="4" fillId="69" borderId="27" xfId="0" applyFont="1" applyFill="1" applyBorder="1" applyAlignment="1">
      <alignment horizontal="center" vertical="center" wrapText="1"/>
    </xf>
    <xf numFmtId="0" fontId="4" fillId="69" borderId="37" xfId="0" applyFont="1" applyFill="1" applyBorder="1" applyAlignment="1">
      <alignment horizontal="center" vertical="center" wrapText="1"/>
    </xf>
    <xf numFmtId="0" fontId="4" fillId="0" borderId="0" xfId="0" applyFont="1" applyFill="1" applyBorder="1" applyAlignment="1">
      <alignment horizontal="center" vertical="center" wrapText="1"/>
    </xf>
    <xf numFmtId="165" fontId="17" fillId="0" borderId="16" xfId="0" applyNumberFormat="1" applyFont="1" applyFill="1" applyBorder="1" applyAlignment="1">
      <alignment horizontal="right" vertical="center"/>
    </xf>
    <xf numFmtId="165" fontId="17" fillId="72" borderId="16" xfId="0" applyNumberFormat="1" applyFont="1" applyFill="1" applyBorder="1" applyAlignment="1">
      <alignment horizontal="right" vertical="center"/>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left" vertical="center"/>
    </xf>
    <xf numFmtId="166" fontId="17" fillId="74" borderId="16" xfId="0" applyNumberFormat="1" applyFont="1" applyFill="1" applyBorder="1" applyAlignment="1">
      <alignment horizontal="center" vertical="center"/>
    </xf>
    <xf numFmtId="170" fontId="25" fillId="0" borderId="36" xfId="0" applyNumberFormat="1" applyFont="1" applyFill="1" applyBorder="1" applyAlignment="1">
      <alignment horizontal="right" vertical="center"/>
    </xf>
    <xf numFmtId="170" fontId="25" fillId="0" borderId="31" xfId="0" applyNumberFormat="1" applyFont="1" applyFill="1" applyBorder="1" applyAlignment="1">
      <alignment horizontal="right" vertical="center"/>
    </xf>
    <xf numFmtId="170" fontId="25" fillId="0" borderId="37" xfId="0" applyNumberFormat="1" applyFont="1" applyFill="1" applyBorder="1" applyAlignment="1">
      <alignment horizontal="right" vertical="center"/>
    </xf>
    <xf numFmtId="2" fontId="17" fillId="0" borderId="44" xfId="0" applyNumberFormat="1" applyFont="1" applyFill="1" applyBorder="1" applyAlignment="1">
      <alignment horizontal="right" vertical="center"/>
    </xf>
    <xf numFmtId="2" fontId="3" fillId="0" borderId="49" xfId="0" applyNumberFormat="1" applyFont="1" applyFill="1" applyBorder="1" applyAlignment="1">
      <alignment horizontal="right" vertical="center"/>
    </xf>
    <xf numFmtId="174" fontId="3" fillId="0" borderId="50" xfId="0" applyNumberFormat="1" applyFont="1" applyFill="1" applyBorder="1" applyAlignment="1">
      <alignment horizontal="center" vertical="center"/>
    </xf>
    <xf numFmtId="174" fontId="3" fillId="0" borderId="49" xfId="0" applyNumberFormat="1" applyFont="1" applyFill="1" applyBorder="1" applyAlignment="1">
      <alignment horizontal="center" vertical="center"/>
    </xf>
    <xf numFmtId="174" fontId="3" fillId="0" borderId="16" xfId="0" applyNumberFormat="1" applyFont="1" applyFill="1" applyBorder="1" applyAlignment="1">
      <alignment horizontal="center" vertical="center"/>
    </xf>
    <xf numFmtId="0" fontId="4" fillId="0" borderId="34" xfId="0" applyFont="1" applyFill="1" applyBorder="1" applyAlignment="1">
      <alignment/>
    </xf>
    <xf numFmtId="165" fontId="3" fillId="0" borderId="47" xfId="0" applyNumberFormat="1" applyFont="1" applyFill="1" applyBorder="1" applyAlignment="1">
      <alignment horizontal="center" vertical="center"/>
    </xf>
    <xf numFmtId="165" fontId="3" fillId="0" borderId="16" xfId="0" applyNumberFormat="1" applyFont="1" applyFill="1" applyBorder="1" applyAlignment="1">
      <alignment horizontal="center" vertical="center"/>
    </xf>
    <xf numFmtId="165" fontId="3" fillId="0" borderId="27" xfId="0" applyNumberFormat="1" applyFont="1" applyFill="1" applyBorder="1" applyAlignment="1">
      <alignment horizontal="center" vertical="center"/>
    </xf>
    <xf numFmtId="0" fontId="23" fillId="8" borderId="27" xfId="0" applyFont="1" applyFill="1" applyBorder="1" applyAlignment="1">
      <alignment horizontal="center" vertical="center" wrapText="1"/>
    </xf>
    <xf numFmtId="165" fontId="3" fillId="0" borderId="33" xfId="0" applyNumberFormat="1" applyFont="1" applyFill="1" applyBorder="1" applyAlignment="1">
      <alignment horizontal="center" vertical="center"/>
    </xf>
    <xf numFmtId="165" fontId="3" fillId="0" borderId="37" xfId="0" applyNumberFormat="1" applyFont="1" applyFill="1" applyBorder="1" applyAlignment="1">
      <alignment horizontal="center" vertical="center"/>
    </xf>
    <xf numFmtId="0" fontId="23" fillId="8" borderId="47" xfId="0" applyFont="1" applyFill="1" applyBorder="1" applyAlignment="1">
      <alignment horizontal="center" vertical="center" wrapText="1"/>
    </xf>
    <xf numFmtId="165" fontId="3" fillId="0" borderId="44" xfId="0" applyNumberFormat="1" applyFont="1" applyFill="1" applyBorder="1" applyAlignment="1">
      <alignment horizontal="center" vertical="center"/>
    </xf>
    <xf numFmtId="165" fontId="18" fillId="0" borderId="39" xfId="0" applyNumberFormat="1" applyFont="1" applyFill="1" applyBorder="1" applyAlignment="1">
      <alignment horizontal="center" vertical="center"/>
    </xf>
    <xf numFmtId="165" fontId="18" fillId="0" borderId="44" xfId="0" applyNumberFormat="1" applyFont="1" applyFill="1" applyBorder="1" applyAlignment="1">
      <alignment horizontal="center" vertical="center"/>
    </xf>
    <xf numFmtId="0" fontId="23" fillId="8" borderId="39" xfId="0" applyFont="1" applyFill="1" applyBorder="1" applyAlignment="1">
      <alignment horizontal="center" vertical="center"/>
    </xf>
    <xf numFmtId="169" fontId="3" fillId="0" borderId="47" xfId="0" applyNumberFormat="1" applyFont="1" applyFill="1" applyBorder="1" applyAlignment="1">
      <alignment horizontal="center" vertical="center"/>
    </xf>
    <xf numFmtId="169" fontId="3" fillId="0" borderId="16" xfId="0" applyNumberFormat="1" applyFont="1" applyFill="1" applyBorder="1" applyAlignment="1">
      <alignment horizontal="center" vertical="center"/>
    </xf>
    <xf numFmtId="169" fontId="3" fillId="0" borderId="44" xfId="0" applyNumberFormat="1" applyFont="1" applyFill="1" applyBorder="1" applyAlignment="1">
      <alignment horizontal="center" vertical="center"/>
    </xf>
    <xf numFmtId="165" fontId="9" fillId="0" borderId="0" xfId="0" applyNumberFormat="1" applyFont="1" applyFill="1" applyBorder="1" applyAlignment="1">
      <alignment horizontal="center"/>
    </xf>
    <xf numFmtId="0" fontId="3" fillId="0" borderId="0" xfId="176" applyFont="1" applyAlignment="1">
      <alignment horizontal="center" vertical="center" wrapText="1"/>
      <protection/>
    </xf>
    <xf numFmtId="165" fontId="3" fillId="0" borderId="43" xfId="176" applyNumberFormat="1" applyFont="1" applyBorder="1" applyAlignment="1">
      <alignment horizontal="right" vertical="center"/>
      <protection/>
    </xf>
    <xf numFmtId="0" fontId="3" fillId="0" borderId="0" xfId="176" applyFont="1" quotePrefix="1">
      <alignment/>
      <protection/>
    </xf>
    <xf numFmtId="49" fontId="3" fillId="0" borderId="30" xfId="176" applyNumberFormat="1" applyFont="1" applyBorder="1" applyAlignment="1">
      <alignment horizontal="right" vertical="center"/>
      <protection/>
    </xf>
    <xf numFmtId="1" fontId="4" fillId="8" borderId="39" xfId="0" applyNumberFormat="1" applyFont="1" applyFill="1" applyBorder="1" applyAlignment="1">
      <alignment horizontal="center" vertical="center"/>
    </xf>
    <xf numFmtId="2" fontId="3" fillId="0" borderId="47" xfId="0" applyNumberFormat="1" applyFont="1" applyFill="1" applyBorder="1" applyAlignment="1">
      <alignment horizontal="right" vertical="center"/>
    </xf>
    <xf numFmtId="2" fontId="3" fillId="0" borderId="16" xfId="0" applyNumberFormat="1" applyFont="1" applyFill="1" applyBorder="1" applyAlignment="1">
      <alignment horizontal="right" vertical="center"/>
    </xf>
    <xf numFmtId="168" fontId="3" fillId="0" borderId="39" xfId="0" applyNumberFormat="1" applyFont="1" applyBorder="1" applyAlignment="1">
      <alignment horizontal="right" vertical="center"/>
    </xf>
    <xf numFmtId="0" fontId="0" fillId="0" borderId="32" xfId="0" applyBorder="1" applyAlignment="1">
      <alignment/>
    </xf>
    <xf numFmtId="2" fontId="17" fillId="0" borderId="16" xfId="0" applyNumberFormat="1" applyFont="1" applyFill="1" applyBorder="1" applyAlignment="1">
      <alignment horizontal="right" vertical="center"/>
    </xf>
    <xf numFmtId="2" fontId="3" fillId="0" borderId="16" xfId="0" applyNumberFormat="1" applyFont="1" applyFill="1" applyBorder="1" applyAlignment="1">
      <alignment horizontal="right" vertical="center"/>
    </xf>
    <xf numFmtId="165" fontId="4" fillId="0" borderId="0" xfId="176" applyNumberFormat="1" applyFont="1" applyFill="1" applyBorder="1" applyAlignment="1">
      <alignment horizontal="center" vertical="center"/>
      <protection/>
    </xf>
    <xf numFmtId="165" fontId="4" fillId="72" borderId="0" xfId="176" applyNumberFormat="1" applyFont="1" applyFill="1" applyBorder="1" applyAlignment="1">
      <alignment horizontal="center" vertical="center"/>
      <protection/>
    </xf>
    <xf numFmtId="0" fontId="23" fillId="69" borderId="25" xfId="176" applyFont="1" applyFill="1" applyBorder="1" applyAlignment="1">
      <alignment horizontal="center" vertical="center" wrapText="1"/>
      <protection/>
    </xf>
    <xf numFmtId="0" fontId="4" fillId="69" borderId="30" xfId="176" applyFont="1" applyFill="1" applyBorder="1" applyAlignment="1">
      <alignment horizontal="center" vertical="center"/>
      <protection/>
    </xf>
    <xf numFmtId="0" fontId="4" fillId="0" borderId="0" xfId="176" applyFont="1" applyAlignment="1">
      <alignment horizontal="center" vertical="center"/>
      <protection/>
    </xf>
    <xf numFmtId="0" fontId="9" fillId="0" borderId="0" xfId="176" applyFont="1" applyAlignment="1">
      <alignment horizontal="center" vertical="center"/>
      <protection/>
    </xf>
    <xf numFmtId="165" fontId="4" fillId="8" borderId="26" xfId="176" applyNumberFormat="1" applyFont="1" applyFill="1" applyBorder="1" applyAlignment="1">
      <alignment horizontal="center" vertical="center"/>
      <protection/>
    </xf>
    <xf numFmtId="165" fontId="4" fillId="71" borderId="0" xfId="176" applyNumberFormat="1" applyFont="1" applyFill="1" applyBorder="1" applyAlignment="1">
      <alignment horizontal="center" vertical="center"/>
      <protection/>
    </xf>
    <xf numFmtId="165" fontId="4" fillId="8" borderId="0" xfId="176" applyNumberFormat="1" applyFont="1" applyFill="1" applyBorder="1" applyAlignment="1">
      <alignment horizontal="center" vertical="center"/>
      <protection/>
    </xf>
    <xf numFmtId="165" fontId="4" fillId="8" borderId="47" xfId="176" applyNumberFormat="1" applyFont="1" applyFill="1" applyBorder="1" applyAlignment="1">
      <alignment horizontal="center" vertical="center"/>
      <protection/>
    </xf>
    <xf numFmtId="165" fontId="4" fillId="71" borderId="44" xfId="176" applyNumberFormat="1" applyFont="1" applyFill="1" applyBorder="1" applyAlignment="1">
      <alignment horizontal="center" vertical="center"/>
      <protection/>
    </xf>
    <xf numFmtId="165" fontId="4" fillId="8" borderId="44" xfId="176" applyNumberFormat="1" applyFont="1" applyFill="1" applyBorder="1" applyAlignment="1">
      <alignment horizontal="center" vertical="center"/>
      <protection/>
    </xf>
    <xf numFmtId="49" fontId="4" fillId="0" borderId="0" xfId="176" applyNumberFormat="1" applyFont="1" applyBorder="1" applyAlignment="1">
      <alignment horizontal="center" vertical="center" wrapText="1"/>
      <protection/>
    </xf>
    <xf numFmtId="166" fontId="9" fillId="0" borderId="0" xfId="0" applyNumberFormat="1" applyFont="1" applyAlignment="1">
      <alignment horizontal="center"/>
    </xf>
    <xf numFmtId="166" fontId="18" fillId="0" borderId="30" xfId="0" applyNumberFormat="1" applyFont="1" applyBorder="1" applyAlignment="1">
      <alignment horizontal="center" vertical="center"/>
    </xf>
    <xf numFmtId="166" fontId="18" fillId="0" borderId="31" xfId="0" applyNumberFormat="1" applyFont="1" applyBorder="1" applyAlignment="1">
      <alignment horizontal="center" vertical="center"/>
    </xf>
    <xf numFmtId="166" fontId="17" fillId="0" borderId="36" xfId="0" applyNumberFormat="1" applyFont="1" applyBorder="1" applyAlignment="1">
      <alignment horizontal="center" vertical="center"/>
    </xf>
    <xf numFmtId="166" fontId="17" fillId="0" borderId="44" xfId="0" applyNumberFormat="1" applyFont="1" applyBorder="1" applyAlignment="1">
      <alignment horizontal="center" vertical="center"/>
    </xf>
    <xf numFmtId="0" fontId="0" fillId="0" borderId="31" xfId="0" applyBorder="1" applyAlignment="1">
      <alignment vertical="center"/>
    </xf>
    <xf numFmtId="165" fontId="3" fillId="73" borderId="30" xfId="176" applyNumberFormat="1" applyFont="1" applyFill="1" applyBorder="1" applyAlignment="1">
      <alignment horizontal="center" vertical="center"/>
      <protection/>
    </xf>
    <xf numFmtId="1" fontId="4" fillId="73" borderId="36" xfId="176" applyNumberFormat="1" applyFont="1" applyFill="1" applyBorder="1" applyAlignment="1">
      <alignment horizontal="center" wrapText="1"/>
      <protection/>
    </xf>
    <xf numFmtId="1" fontId="4" fillId="73" borderId="44" xfId="176" applyNumberFormat="1" applyFont="1" applyFill="1" applyBorder="1" applyAlignment="1">
      <alignment horizontal="center" wrapText="1"/>
      <protection/>
    </xf>
    <xf numFmtId="165" fontId="3" fillId="0" borderId="33" xfId="0" applyNumberFormat="1" applyFont="1" applyBorder="1" applyAlignment="1">
      <alignment vertical="center"/>
    </xf>
    <xf numFmtId="165" fontId="3" fillId="0" borderId="37" xfId="0" applyNumberFormat="1" applyFont="1" applyBorder="1" applyAlignment="1">
      <alignment vertical="center"/>
    </xf>
    <xf numFmtId="0" fontId="4" fillId="70" borderId="31" xfId="0" applyFont="1" applyFill="1" applyBorder="1" applyAlignment="1">
      <alignment horizontal="center" vertical="center"/>
    </xf>
    <xf numFmtId="0" fontId="0" fillId="0" borderId="16" xfId="0" applyBorder="1" applyAlignment="1">
      <alignment/>
    </xf>
    <xf numFmtId="0" fontId="0" fillId="0" borderId="31" xfId="0" applyBorder="1" applyAlignment="1">
      <alignment/>
    </xf>
    <xf numFmtId="0" fontId="3" fillId="0" borderId="51" xfId="176" applyFont="1" applyFill="1" applyBorder="1">
      <alignment/>
      <protection/>
    </xf>
    <xf numFmtId="0" fontId="3" fillId="0" borderId="0" xfId="176" applyFont="1" applyFill="1" applyBorder="1">
      <alignment/>
      <protection/>
    </xf>
    <xf numFmtId="0" fontId="4" fillId="69" borderId="33" xfId="0" applyFont="1" applyFill="1" applyBorder="1" applyAlignment="1">
      <alignment vertical="center" wrapText="1"/>
    </xf>
    <xf numFmtId="165" fontId="17" fillId="0" borderId="0" xfId="0" applyNumberFormat="1" applyFont="1" applyBorder="1" applyAlignment="1">
      <alignment vertical="center"/>
    </xf>
    <xf numFmtId="165" fontId="17" fillId="8" borderId="0" xfId="0" applyNumberFormat="1" applyFont="1" applyFill="1" applyBorder="1" applyAlignment="1">
      <alignment vertical="center"/>
    </xf>
    <xf numFmtId="165" fontId="17" fillId="0" borderId="0" xfId="0" applyNumberFormat="1" applyFont="1" applyFill="1" applyBorder="1" applyAlignment="1">
      <alignment vertical="center"/>
    </xf>
    <xf numFmtId="165" fontId="17" fillId="72" borderId="0" xfId="0" applyNumberFormat="1" applyFont="1" applyFill="1" applyBorder="1" applyAlignment="1">
      <alignment vertical="center"/>
    </xf>
    <xf numFmtId="165" fontId="17" fillId="0" borderId="34" xfId="0" applyNumberFormat="1" applyFont="1" applyFill="1" applyBorder="1" applyAlignment="1">
      <alignment vertical="center"/>
    </xf>
    <xf numFmtId="165" fontId="17" fillId="0" borderId="16" xfId="0" applyNumberFormat="1" applyFont="1" applyFill="1" applyBorder="1" applyAlignment="1">
      <alignment vertical="center"/>
    </xf>
    <xf numFmtId="165" fontId="17" fillId="72" borderId="16" xfId="0" applyNumberFormat="1" applyFont="1" applyFill="1" applyBorder="1" applyAlignment="1">
      <alignment vertical="center"/>
    </xf>
    <xf numFmtId="0" fontId="4" fillId="0" borderId="0" xfId="0" applyFont="1" applyAlignment="1">
      <alignment vertical="center"/>
    </xf>
    <xf numFmtId="0" fontId="8" fillId="0" borderId="0" xfId="0" applyFont="1" applyAlignment="1">
      <alignment vertical="center"/>
    </xf>
    <xf numFmtId="165" fontId="18" fillId="8" borderId="33" xfId="0" applyNumberFormat="1" applyFont="1" applyFill="1" applyBorder="1" applyAlignment="1">
      <alignment vertical="center"/>
    </xf>
    <xf numFmtId="0" fontId="9" fillId="0" borderId="0" xfId="176" applyFont="1" applyAlignment="1">
      <alignment horizontal="center"/>
      <protection/>
    </xf>
    <xf numFmtId="165" fontId="18" fillId="8" borderId="26" xfId="176" applyNumberFormat="1" applyFont="1" applyFill="1" applyBorder="1" applyAlignment="1">
      <alignment horizontal="center"/>
      <protection/>
    </xf>
    <xf numFmtId="165" fontId="3" fillId="0" borderId="30" xfId="176" applyNumberFormat="1" applyFont="1" applyBorder="1" applyAlignment="1">
      <alignment horizontal="center" vertical="center"/>
      <protection/>
    </xf>
    <xf numFmtId="165" fontId="17" fillId="8" borderId="30" xfId="176" applyNumberFormat="1" applyFont="1" applyFill="1" applyBorder="1" applyAlignment="1">
      <alignment horizontal="center" vertical="center"/>
      <protection/>
    </xf>
    <xf numFmtId="165" fontId="3" fillId="71" borderId="30" xfId="176" applyNumberFormat="1" applyFont="1" applyFill="1" applyBorder="1" applyAlignment="1">
      <alignment horizontal="center" vertical="center"/>
      <protection/>
    </xf>
    <xf numFmtId="165" fontId="3" fillId="8" borderId="30" xfId="176" applyNumberFormat="1" applyFont="1" applyFill="1" applyBorder="1" applyAlignment="1">
      <alignment horizontal="center"/>
      <protection/>
    </xf>
    <xf numFmtId="165" fontId="17" fillId="0" borderId="30" xfId="176" applyNumberFormat="1" applyFont="1" applyFill="1" applyBorder="1" applyAlignment="1">
      <alignment horizontal="center" vertical="center"/>
      <protection/>
    </xf>
    <xf numFmtId="165" fontId="3" fillId="8" borderId="30" xfId="176" applyNumberFormat="1" applyFont="1" applyFill="1" applyBorder="1" applyAlignment="1">
      <alignment horizontal="center" vertical="center"/>
      <protection/>
    </xf>
    <xf numFmtId="165" fontId="3" fillId="72" borderId="39" xfId="176" applyNumberFormat="1" applyFont="1" applyFill="1" applyBorder="1" applyAlignment="1">
      <alignment horizontal="center" vertical="center"/>
      <protection/>
    </xf>
    <xf numFmtId="165" fontId="13" fillId="0" borderId="0" xfId="176" applyNumberFormat="1" applyFont="1" applyBorder="1" applyAlignment="1">
      <alignment horizontal="center" vertical="center"/>
      <protection/>
    </xf>
    <xf numFmtId="165" fontId="18" fillId="8" borderId="26" xfId="176" applyNumberFormat="1" applyFont="1" applyFill="1" applyBorder="1" applyAlignment="1">
      <alignment horizontal="center" vertical="center"/>
      <protection/>
    </xf>
    <xf numFmtId="165" fontId="17" fillId="0" borderId="30" xfId="176" applyNumberFormat="1" applyFont="1" applyBorder="1" applyAlignment="1">
      <alignment horizontal="center" vertical="center"/>
      <protection/>
    </xf>
    <xf numFmtId="165" fontId="3" fillId="0" borderId="0" xfId="176" applyNumberFormat="1" applyFont="1" applyAlignment="1">
      <alignment horizontal="center"/>
      <protection/>
    </xf>
    <xf numFmtId="165" fontId="3" fillId="72" borderId="44" xfId="176" applyNumberFormat="1" applyFont="1" applyFill="1" applyBorder="1" applyAlignment="1">
      <alignment horizontal="center" vertical="center"/>
      <protection/>
    </xf>
    <xf numFmtId="179" fontId="3" fillId="0" borderId="0" xfId="176" applyNumberFormat="1" applyFont="1" applyAlignment="1">
      <alignment horizontal="center" vertical="top" wrapText="1"/>
      <protection/>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alignment horizontal="center" vertical="center"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Alignment="1">
      <alignment horizont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16" fillId="0" borderId="0" xfId="0" applyFont="1" applyBorder="1" applyAlignment="1">
      <alignment horizontal="center" vertical="center"/>
    </xf>
    <xf numFmtId="0" fontId="4" fillId="8" borderId="25" xfId="0" applyFont="1" applyFill="1" applyBorder="1" applyAlignment="1">
      <alignment horizontal="center" vertical="center" wrapText="1"/>
    </xf>
    <xf numFmtId="0" fontId="4" fillId="8" borderId="39" xfId="0" applyFont="1" applyFill="1" applyBorder="1" applyAlignment="1">
      <alignment horizontal="center" vertical="center" wrapText="1"/>
    </xf>
    <xf numFmtId="0" fontId="4" fillId="8" borderId="39" xfId="0" applyFont="1" applyFill="1" applyBorder="1" applyAlignment="1">
      <alignment horizontal="center" vertical="center" wrapText="1"/>
    </xf>
    <xf numFmtId="0" fontId="4" fillId="8" borderId="2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3" fillId="0" borderId="16" xfId="0" applyFont="1" applyBorder="1" applyAlignment="1">
      <alignment vertical="top" wrapText="1"/>
    </xf>
    <xf numFmtId="0" fontId="5" fillId="0" borderId="0" xfId="176" applyFont="1" applyBorder="1" applyAlignment="1">
      <alignment horizontal="center" vertical="top"/>
      <protection/>
    </xf>
    <xf numFmtId="49" fontId="4" fillId="0" borderId="0" xfId="176" applyNumberFormat="1" applyFont="1" applyAlignment="1">
      <alignment vertical="top" wrapText="1"/>
      <protection/>
    </xf>
    <xf numFmtId="49" fontId="4" fillId="0" borderId="34" xfId="176" applyNumberFormat="1" applyFont="1" applyBorder="1" applyAlignment="1">
      <alignment horizontal="left" wrapText="1"/>
      <protection/>
    </xf>
    <xf numFmtId="49" fontId="4" fillId="0" borderId="34" xfId="176" applyNumberFormat="1" applyFont="1" applyBorder="1" applyAlignment="1">
      <alignment horizontal="left" wrapText="1"/>
      <protection/>
    </xf>
    <xf numFmtId="0" fontId="5" fillId="0" borderId="0" xfId="176" applyFont="1" applyFill="1" applyBorder="1" applyAlignment="1">
      <alignment horizontal="center" vertical="top"/>
      <protection/>
    </xf>
    <xf numFmtId="49" fontId="4" fillId="0" borderId="0" xfId="176" applyNumberFormat="1" applyFont="1" applyBorder="1" applyAlignment="1">
      <alignment horizontal="left" wrapText="1"/>
      <protection/>
    </xf>
    <xf numFmtId="1" fontId="9" fillId="0" borderId="0" xfId="0" applyNumberFormat="1" applyFont="1" applyFill="1" applyBorder="1" applyAlignment="1">
      <alignment horizontal="center" vertical="top" wrapText="1"/>
    </xf>
    <xf numFmtId="1" fontId="9" fillId="0" borderId="0" xfId="0" applyNumberFormat="1" applyFont="1" applyFill="1" applyBorder="1" applyAlignment="1" quotePrefix="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left" wrapText="1"/>
    </xf>
    <xf numFmtId="0" fontId="5" fillId="0" borderId="0" xfId="0" applyFont="1" applyBorder="1" applyAlignment="1" quotePrefix="1">
      <alignment horizontal="left" vertical="top"/>
    </xf>
    <xf numFmtId="0" fontId="5" fillId="0" borderId="0" xfId="0" applyFont="1" applyAlignment="1">
      <alignment horizontal="center" vertical="top"/>
    </xf>
    <xf numFmtId="0" fontId="3" fillId="0" borderId="0" xfId="0" applyFont="1" applyBorder="1" applyAlignment="1">
      <alignment horizontal="center"/>
    </xf>
    <xf numFmtId="0" fontId="3" fillId="0" borderId="0" xfId="0" applyFont="1" applyBorder="1" applyAlignment="1">
      <alignment horizontal="center"/>
    </xf>
    <xf numFmtId="0" fontId="4" fillId="0" borderId="0" xfId="0" applyFont="1" applyAlignment="1">
      <alignment wrapText="1"/>
    </xf>
    <xf numFmtId="0" fontId="0" fillId="0" borderId="0" xfId="0" applyAlignment="1">
      <alignment wrapText="1"/>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4" fillId="69" borderId="25" xfId="0" applyFont="1" applyFill="1" applyBorder="1" applyAlignment="1">
      <alignment horizontal="center" vertical="center" wrapText="1"/>
    </xf>
    <xf numFmtId="0" fontId="4" fillId="69" borderId="39" xfId="0" applyFont="1" applyFill="1" applyBorder="1" applyAlignment="1">
      <alignment horizontal="center" vertical="center" wrapText="1"/>
    </xf>
    <xf numFmtId="0" fontId="4" fillId="69" borderId="25" xfId="0" applyFont="1" applyFill="1" applyBorder="1" applyAlignment="1">
      <alignment horizontal="center" vertical="center"/>
    </xf>
    <xf numFmtId="0" fontId="4" fillId="69" borderId="39" xfId="0" applyFont="1" applyFill="1" applyBorder="1" applyAlignment="1">
      <alignment horizontal="center" vertical="center"/>
    </xf>
    <xf numFmtId="0" fontId="4" fillId="0" borderId="0" xfId="0" applyFont="1" applyFill="1" applyBorder="1" applyAlignment="1">
      <alignment horizontal="center" vertical="center" textRotation="90"/>
    </xf>
    <xf numFmtId="0" fontId="4" fillId="0" borderId="0" xfId="0" applyFont="1" applyFill="1" applyBorder="1" applyAlignment="1">
      <alignment horizontal="left" vertical="top" wrapText="1"/>
    </xf>
    <xf numFmtId="0" fontId="3" fillId="0" borderId="0" xfId="0" applyFont="1" applyFill="1" applyBorder="1" applyAlignment="1">
      <alignment horizontal="center" vertical="center"/>
    </xf>
    <xf numFmtId="0" fontId="5" fillId="0" borderId="0" xfId="0" applyFont="1" applyFill="1" applyAlignment="1">
      <alignment horizontal="center" vertical="top" wrapText="1"/>
    </xf>
    <xf numFmtId="0" fontId="9"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top" wrapText="1"/>
    </xf>
    <xf numFmtId="0" fontId="4" fillId="0" borderId="0" xfId="0" applyFont="1" applyFill="1" applyBorder="1" applyAlignment="1">
      <alignment vertical="top" wrapText="1"/>
    </xf>
  </cellXfs>
  <cellStyles count="296">
    <cellStyle name="Normal" xfId="0"/>
    <cellStyle name="€ : (passage a l'EURO)" xfId="15"/>
    <cellStyle name="20% - Accent1" xfId="16"/>
    <cellStyle name="20% - Accent1 2" xfId="17"/>
    <cellStyle name="20% - Accent1 3" xfId="18"/>
    <cellStyle name="20% - Accent2" xfId="19"/>
    <cellStyle name="20% - Accent2 2" xfId="20"/>
    <cellStyle name="20% - Accent2 3" xfId="21"/>
    <cellStyle name="20% - Accent3" xfId="22"/>
    <cellStyle name="20% - Accent3 2" xfId="23"/>
    <cellStyle name="20% - Accent3 3" xfId="24"/>
    <cellStyle name="20% - Accent4" xfId="25"/>
    <cellStyle name="20% - Accent4 2" xfId="26"/>
    <cellStyle name="20% - Accent4 3" xfId="27"/>
    <cellStyle name="20% - Accent5" xfId="28"/>
    <cellStyle name="20% - Accent5 2" xfId="29"/>
    <cellStyle name="20% - Accent5 3" xfId="30"/>
    <cellStyle name="20% - Accent6" xfId="31"/>
    <cellStyle name="20% - Accent6 2" xfId="32"/>
    <cellStyle name="20% - Accent6 3" xfId="33"/>
    <cellStyle name="40% - Accent1" xfId="34"/>
    <cellStyle name="40% - Accent1 2" xfId="35"/>
    <cellStyle name="40% - Accent1 3" xfId="36"/>
    <cellStyle name="40% - Accent2" xfId="37"/>
    <cellStyle name="40% - Accent2 2" xfId="38"/>
    <cellStyle name="40% - Accent2 3" xfId="39"/>
    <cellStyle name="40% - Accent3" xfId="40"/>
    <cellStyle name="40% - Accent3 2" xfId="41"/>
    <cellStyle name="40% - Accent3 3" xfId="42"/>
    <cellStyle name="40% - Accent4" xfId="43"/>
    <cellStyle name="40% - Accent4 2" xfId="44"/>
    <cellStyle name="40% - Accent4 3" xfId="45"/>
    <cellStyle name="40% - Accent5" xfId="46"/>
    <cellStyle name="40% - Accent5 2" xfId="47"/>
    <cellStyle name="40% - Accent5 3" xfId="48"/>
    <cellStyle name="40% - Accent6" xfId="49"/>
    <cellStyle name="40% - Accent6 2" xfId="50"/>
    <cellStyle name="40% - Accent6 3" xfId="51"/>
    <cellStyle name="60% - Accent1" xfId="52"/>
    <cellStyle name="60% - Accent1 2" xfId="53"/>
    <cellStyle name="60% - Accent2" xfId="54"/>
    <cellStyle name="60% - Accent2 2" xfId="55"/>
    <cellStyle name="60% - Accent3" xfId="56"/>
    <cellStyle name="60% - Accent3 2" xfId="57"/>
    <cellStyle name="60% - Accent4" xfId="58"/>
    <cellStyle name="60% - Accent4 2" xfId="59"/>
    <cellStyle name="60% - Accent5" xfId="60"/>
    <cellStyle name="60% - Accent5 2" xfId="61"/>
    <cellStyle name="60% - Accent6" xfId="62"/>
    <cellStyle name="60% - Accent6 2" xfId="63"/>
    <cellStyle name="A2.Heading1" xfId="64"/>
    <cellStyle name="A2.Heading2" xfId="65"/>
    <cellStyle name="Accent1" xfId="66"/>
    <cellStyle name="Accent1 2" xfId="67"/>
    <cellStyle name="Accent2" xfId="68"/>
    <cellStyle name="Accent2 2" xfId="69"/>
    <cellStyle name="Accent3" xfId="70"/>
    <cellStyle name="Accent3 2" xfId="71"/>
    <cellStyle name="Accent4" xfId="72"/>
    <cellStyle name="Accent4 2" xfId="73"/>
    <cellStyle name="Accent5" xfId="74"/>
    <cellStyle name="Accent5 2" xfId="75"/>
    <cellStyle name="Accent6" xfId="76"/>
    <cellStyle name="Accent6 2" xfId="77"/>
    <cellStyle name="Bad" xfId="78"/>
    <cellStyle name="Bad 2" xfId="79"/>
    <cellStyle name="C1.general" xfId="80"/>
    <cellStyle name="C1.percentage" xfId="81"/>
    <cellStyle name="Calculation" xfId="82"/>
    <cellStyle name="Calculation 2" xfId="83"/>
    <cellStyle name="Check Cell" xfId="84"/>
    <cellStyle name="Check Cell 2" xfId="85"/>
    <cellStyle name="Column heading" xfId="86"/>
    <cellStyle name="Comma" xfId="87"/>
    <cellStyle name="Comma [0]" xfId="88"/>
    <cellStyle name="Comma 2" xfId="89"/>
    <cellStyle name="Comma 2 2" xfId="90"/>
    <cellStyle name="Comma 3" xfId="91"/>
    <cellStyle name="Comma 4" xfId="92"/>
    <cellStyle name="Comma 5" xfId="93"/>
    <cellStyle name="Comma 6" xfId="94"/>
    <cellStyle name="Comma 6 2" xfId="95"/>
    <cellStyle name="Comma 7" xfId="96"/>
    <cellStyle name="contenu_unite" xfId="97"/>
    <cellStyle name="Corner heading" xfId="98"/>
    <cellStyle name="Currency" xfId="99"/>
    <cellStyle name="Currency [0]" xfId="100"/>
    <cellStyle name="Currency 2" xfId="101"/>
    <cellStyle name="Currency 3" xfId="102"/>
    <cellStyle name="Currency 3 2" xfId="103"/>
    <cellStyle name="Currency 4" xfId="104"/>
    <cellStyle name="Data" xfId="105"/>
    <cellStyle name="Data 2" xfId="106"/>
    <cellStyle name="Data 2 2" xfId="107"/>
    <cellStyle name="Data 3" xfId="108"/>
    <cellStyle name="Data no deci" xfId="109"/>
    <cellStyle name="Data no deci 2" xfId="110"/>
    <cellStyle name="Data Superscript" xfId="111"/>
    <cellStyle name="Data Superscript 2" xfId="112"/>
    <cellStyle name="Data_1-1A-Regular" xfId="113"/>
    <cellStyle name="donn_normal" xfId="114"/>
    <cellStyle name="donnnormal1" xfId="115"/>
    <cellStyle name="donnnormal2" xfId="116"/>
    <cellStyle name="ent_col_ser" xfId="117"/>
    <cellStyle name="entete_source" xfId="118"/>
    <cellStyle name="Euro" xfId="119"/>
    <cellStyle name="Explanatory Text" xfId="120"/>
    <cellStyle name="Explanatory Text 2" xfId="121"/>
    <cellStyle name="Explanatory Text 3" xfId="122"/>
    <cellStyle name="FEST" xfId="123"/>
    <cellStyle name="Följde hyperlänken" xfId="124"/>
    <cellStyle name="Good" xfId="125"/>
    <cellStyle name="Good 2" xfId="126"/>
    <cellStyle name="Heading" xfId="127"/>
    <cellStyle name="Heading 1" xfId="128"/>
    <cellStyle name="Heading 1 2" xfId="129"/>
    <cellStyle name="Heading 2" xfId="130"/>
    <cellStyle name="Heading 2 2" xfId="131"/>
    <cellStyle name="Heading 3" xfId="132"/>
    <cellStyle name="Heading 3 2" xfId="133"/>
    <cellStyle name="Heading 4" xfId="134"/>
    <cellStyle name="Heading 4 2" xfId="135"/>
    <cellStyle name="Heading 5" xfId="136"/>
    <cellStyle name="Hed Side" xfId="137"/>
    <cellStyle name="Hed Side 2" xfId="138"/>
    <cellStyle name="Hed Side 2 2" xfId="139"/>
    <cellStyle name="Hed Side 3" xfId="140"/>
    <cellStyle name="Hed Side bold" xfId="141"/>
    <cellStyle name="Hed Side Indent" xfId="142"/>
    <cellStyle name="Hed Side Indent 2" xfId="143"/>
    <cellStyle name="Hed Side Regular" xfId="144"/>
    <cellStyle name="Hed Side Regular 2" xfId="145"/>
    <cellStyle name="Hed Side_1-1A-Regular" xfId="146"/>
    <cellStyle name="Hed Top" xfId="147"/>
    <cellStyle name="Hed Top - SECTION" xfId="148"/>
    <cellStyle name="Hed Top - SECTION 2" xfId="149"/>
    <cellStyle name="Hed Top_3-new4" xfId="150"/>
    <cellStyle name="Hyperlänk 2" xfId="151"/>
    <cellStyle name="Hyperlink 2" xfId="152"/>
    <cellStyle name="Hyperlink 2 2" xfId="153"/>
    <cellStyle name="Hyperlink 2 3" xfId="154"/>
    <cellStyle name="Hyperlink 3" xfId="155"/>
    <cellStyle name="Hyperlink 4" xfId="156"/>
    <cellStyle name="Hyperlink 5" xfId="157"/>
    <cellStyle name="Input" xfId="158"/>
    <cellStyle name="Input 2" xfId="159"/>
    <cellStyle name="ligne_titre_0" xfId="160"/>
    <cellStyle name="Linked Cell" xfId="161"/>
    <cellStyle name="Linked Cell 2" xfId="162"/>
    <cellStyle name="Neutral" xfId="163"/>
    <cellStyle name="Neutral 2" xfId="164"/>
    <cellStyle name="Normal 10" xfId="165"/>
    <cellStyle name="Normal 11" xfId="166"/>
    <cellStyle name="Normal 11 2" xfId="167"/>
    <cellStyle name="Normal 12" xfId="168"/>
    <cellStyle name="Normal 13" xfId="169"/>
    <cellStyle name="Normal 14" xfId="170"/>
    <cellStyle name="Normal 15" xfId="171"/>
    <cellStyle name="Normal 16" xfId="172"/>
    <cellStyle name="Normal 17" xfId="173"/>
    <cellStyle name="Normal 18" xfId="174"/>
    <cellStyle name="Normal 2" xfId="175"/>
    <cellStyle name="Normal 2 2" xfId="176"/>
    <cellStyle name="Normal 2 3" xfId="177"/>
    <cellStyle name="Normal 2 3 2" xfId="178"/>
    <cellStyle name="Normal 2 4" xfId="179"/>
    <cellStyle name="Normal 2 5" xfId="180"/>
    <cellStyle name="Normal 3" xfId="181"/>
    <cellStyle name="Normal 3 2" xfId="182"/>
    <cellStyle name="Normal 3 2 2" xfId="183"/>
    <cellStyle name="Normal 3 2 2 2" xfId="184"/>
    <cellStyle name="Normal 3 2 3" xfId="185"/>
    <cellStyle name="Normal 3 3" xfId="186"/>
    <cellStyle name="Normal 3 3 2" xfId="187"/>
    <cellStyle name="Normal 3 3 2 2" xfId="188"/>
    <cellStyle name="Normal 3 3 3" xfId="189"/>
    <cellStyle name="Normal 3 4" xfId="190"/>
    <cellStyle name="Normal 3 4 2" xfId="191"/>
    <cellStyle name="Normal 3 5" xfId="192"/>
    <cellStyle name="Normal 3 6" xfId="193"/>
    <cellStyle name="Normal 3 7" xfId="194"/>
    <cellStyle name="Normal 3 8" xfId="195"/>
    <cellStyle name="Normal 4" xfId="196"/>
    <cellStyle name="Normal 4 2" xfId="197"/>
    <cellStyle name="Normal 4 2 2" xfId="198"/>
    <cellStyle name="Normal 4 2 2 2" xfId="199"/>
    <cellStyle name="Normal 4 2 3" xfId="200"/>
    <cellStyle name="Normal 4 2 4" xfId="201"/>
    <cellStyle name="Normal 4 3" xfId="202"/>
    <cellStyle name="Normal 4 3 2" xfId="203"/>
    <cellStyle name="Normal 4 3 2 2" xfId="204"/>
    <cellStyle name="Normal 4 3 3" xfId="205"/>
    <cellStyle name="Normal 4 4" xfId="206"/>
    <cellStyle name="Normal 4 4 2" xfId="207"/>
    <cellStyle name="Normal 4 5" xfId="208"/>
    <cellStyle name="Normal 4 6" xfId="209"/>
    <cellStyle name="Normal 4 7" xfId="210"/>
    <cellStyle name="Normal 4 8" xfId="211"/>
    <cellStyle name="Normal 4 9" xfId="212"/>
    <cellStyle name="Normal 5" xfId="213"/>
    <cellStyle name="Normal 5 2" xfId="214"/>
    <cellStyle name="Normal 5 2 2" xfId="215"/>
    <cellStyle name="Normal 5 3" xfId="216"/>
    <cellStyle name="Normal 5 4" xfId="217"/>
    <cellStyle name="Normal 5 5" xfId="218"/>
    <cellStyle name="Normal 6" xfId="219"/>
    <cellStyle name="Normal 6 2" xfId="220"/>
    <cellStyle name="Normal 6 3" xfId="221"/>
    <cellStyle name="Normal 6 4" xfId="222"/>
    <cellStyle name="Normal 7" xfId="223"/>
    <cellStyle name="Normal 7 2" xfId="224"/>
    <cellStyle name="Normal 7 2 2" xfId="225"/>
    <cellStyle name="Normal 7 3" xfId="226"/>
    <cellStyle name="Normal 7 4" xfId="227"/>
    <cellStyle name="Normal 8" xfId="228"/>
    <cellStyle name="Normal 8 2" xfId="229"/>
    <cellStyle name="Normal 8 3" xfId="230"/>
    <cellStyle name="Normal 8 4" xfId="231"/>
    <cellStyle name="Normal 9" xfId="232"/>
    <cellStyle name="Normal 9 2" xfId="233"/>
    <cellStyle name="Normalny 2" xfId="234"/>
    <cellStyle name="Normalny 3" xfId="235"/>
    <cellStyle name="Note" xfId="236"/>
    <cellStyle name="Note 2" xfId="237"/>
    <cellStyle name="Note 2 2" xfId="238"/>
    <cellStyle name="Note 3" xfId="239"/>
    <cellStyle name="Output" xfId="240"/>
    <cellStyle name="Output 2" xfId="241"/>
    <cellStyle name="Percent" xfId="242"/>
    <cellStyle name="Percent 2" xfId="243"/>
    <cellStyle name="Percent 2 2" xfId="244"/>
    <cellStyle name="Percent 2 3" xfId="245"/>
    <cellStyle name="Percent 3" xfId="246"/>
    <cellStyle name="Percent 3 2" xfId="247"/>
    <cellStyle name="Percent 3 3" xfId="248"/>
    <cellStyle name="Percent 4" xfId="249"/>
    <cellStyle name="Percent 5" xfId="250"/>
    <cellStyle name="Percent 6" xfId="251"/>
    <cellStyle name="Percent 7" xfId="252"/>
    <cellStyle name="Procent 2" xfId="253"/>
    <cellStyle name="Procent 3" xfId="254"/>
    <cellStyle name="Publication_style" xfId="255"/>
    <cellStyle name="Refdb standard" xfId="256"/>
    <cellStyle name="Refdb standard 2" xfId="257"/>
    <cellStyle name="Reference" xfId="258"/>
    <cellStyle name="Row heading" xfId="259"/>
    <cellStyle name="Row_Headings" xfId="260"/>
    <cellStyle name="Source" xfId="261"/>
    <cellStyle name="Source 2" xfId="262"/>
    <cellStyle name="Source Hed" xfId="263"/>
    <cellStyle name="Source Letter" xfId="264"/>
    <cellStyle name="Source Superscript" xfId="265"/>
    <cellStyle name="Source Superscript 2" xfId="266"/>
    <cellStyle name="Source Text" xfId="267"/>
    <cellStyle name="Source Text 2" xfId="268"/>
    <cellStyle name="Standard 2" xfId="269"/>
    <cellStyle name="Standard 2 2" xfId="270"/>
    <cellStyle name="Standard 3" xfId="271"/>
    <cellStyle name="Standard 5" xfId="272"/>
    <cellStyle name="Standard_02" xfId="273"/>
    <cellStyle name="State" xfId="274"/>
    <cellStyle name="Superscript" xfId="275"/>
    <cellStyle name="Superscript 2" xfId="276"/>
    <cellStyle name="Table Data" xfId="277"/>
    <cellStyle name="Table Head Top" xfId="278"/>
    <cellStyle name="Table Hed Side" xfId="279"/>
    <cellStyle name="Table Title" xfId="280"/>
    <cellStyle name="tableau | cellule | normal | decimal 1" xfId="281"/>
    <cellStyle name="tableau | cellule | normal | pourcentage | decimal 1" xfId="282"/>
    <cellStyle name="tableau | cellule | total | decimal 1" xfId="283"/>
    <cellStyle name="tableau | coin superieur gauche" xfId="284"/>
    <cellStyle name="tableau | entete-colonne | series" xfId="285"/>
    <cellStyle name="tableau | entete-ligne | normal" xfId="286"/>
    <cellStyle name="tableau | entete-ligne | total" xfId="287"/>
    <cellStyle name="tableau | ligne-titre | niveau1" xfId="288"/>
    <cellStyle name="tableau | ligne-titre | niveau2" xfId="289"/>
    <cellStyle name="Title" xfId="290"/>
    <cellStyle name="Title 2" xfId="291"/>
    <cellStyle name="Title 3" xfId="292"/>
    <cellStyle name="Title Text" xfId="293"/>
    <cellStyle name="Title Text 1" xfId="294"/>
    <cellStyle name="Title Text 2" xfId="295"/>
    <cellStyle name="Title-1" xfId="296"/>
    <cellStyle name="Title-2" xfId="297"/>
    <cellStyle name="Title-3" xfId="298"/>
    <cellStyle name="Titre ligne" xfId="299"/>
    <cellStyle name="Total" xfId="300"/>
    <cellStyle name="Total 2" xfId="301"/>
    <cellStyle name="Total intermediaire" xfId="302"/>
    <cellStyle name="Warning Text" xfId="303"/>
    <cellStyle name="Warning Text 2" xfId="304"/>
    <cellStyle name="Wrap" xfId="305"/>
    <cellStyle name="Wrap 2" xfId="306"/>
    <cellStyle name="Wrap Bold" xfId="307"/>
    <cellStyle name="Wrap Title" xfId="308"/>
    <cellStyle name="Wrap_NTS99-~11" xfId="3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Passenger Transport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1995 - 2017
</a:t>
            </a:r>
            <a:r>
              <a:rPr lang="en-US" cap="none" sz="800" b="1" i="0" u="none" baseline="0">
                <a:solidFill>
                  <a:srgbClr val="000000"/>
                </a:solidFill>
                <a:latin typeface="Arial"/>
                <a:ea typeface="Arial"/>
                <a:cs typeface="Arial"/>
              </a:rPr>
              <a:t> billion passenger-kilometres</a:t>
            </a:r>
          </a:p>
        </c:rich>
      </c:tx>
      <c:layout>
        <c:manualLayout>
          <c:xMode val="factor"/>
          <c:yMode val="factor"/>
          <c:x val="-0.00325"/>
          <c:y val="-0.02025"/>
        </c:manualLayout>
      </c:layout>
      <c:spPr>
        <a:noFill/>
        <a:ln w="3175">
          <a:noFill/>
        </a:ln>
      </c:spPr>
    </c:title>
    <c:plotArea>
      <c:layout>
        <c:manualLayout>
          <c:xMode val="edge"/>
          <c:yMode val="edge"/>
          <c:x val="0.0275"/>
          <c:y val="0.12125"/>
          <c:w val="0.9475"/>
          <c:h val="0.793"/>
        </c:manualLayout>
      </c:layout>
      <c:lineChart>
        <c:grouping val="standard"/>
        <c:varyColors val="0"/>
        <c:ser>
          <c:idx val="1"/>
          <c:order val="0"/>
          <c:tx>
            <c:strRef>
              <c:f>passeng_graph!$B$37</c:f>
              <c:strCache>
                <c:ptCount val="1"/>
                <c:pt idx="0">
                  <c:v>Passenger Cars</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993300"/>
                </a:solidFill>
              </a:ln>
            </c:spPr>
          </c:marker>
          <c:cat>
            <c:numRef>
              <c:f>passeng_graph!$C$36:$Y$36</c:f>
              <c:numCache/>
            </c:numRef>
          </c:cat>
          <c:val>
            <c:numRef>
              <c:f>passeng_graph!$C$37:$Y$37</c:f>
              <c:numCache/>
            </c:numRef>
          </c:val>
          <c:smooth val="0"/>
        </c:ser>
        <c:marker val="1"/>
        <c:axId val="24833166"/>
        <c:axId val="22171903"/>
      </c:lineChart>
      <c:lineChart>
        <c:grouping val="standard"/>
        <c:varyColors val="0"/>
        <c:ser>
          <c:idx val="0"/>
          <c:order val="1"/>
          <c:tx>
            <c:strRef>
              <c:f>passeng_graph!$B$38</c:f>
              <c:strCache>
                <c:ptCount val="1"/>
                <c:pt idx="0">
                  <c:v>Powered 2-wheelers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numRef>
              <c:f>passeng_graph!$C$36:$Y$36</c:f>
              <c:numCache/>
            </c:numRef>
          </c:cat>
          <c:val>
            <c:numRef>
              <c:f>passeng_graph!$C$38:$Y$38</c:f>
              <c:numCache/>
            </c:numRef>
          </c:val>
          <c:smooth val="0"/>
        </c:ser>
        <c:ser>
          <c:idx val="3"/>
          <c:order val="2"/>
          <c:tx>
            <c:strRef>
              <c:f>passeng_graph!$B$39</c:f>
              <c:strCache>
                <c:ptCount val="1"/>
                <c:pt idx="0">
                  <c:v>Buses &amp; Coaches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FF0000"/>
              </a:solidFill>
              <a:ln>
                <a:solidFill>
                  <a:srgbClr val="FF0000"/>
                </a:solidFill>
              </a:ln>
            </c:spPr>
          </c:marker>
          <c:cat>
            <c:numRef>
              <c:f>passeng_graph!$C$36:$Y$36</c:f>
              <c:numCache/>
            </c:numRef>
          </c:cat>
          <c:val>
            <c:numRef>
              <c:f>passeng_graph!$C$39:$Y$39</c:f>
              <c:numCache/>
            </c:numRef>
          </c:val>
          <c:smooth val="0"/>
        </c:ser>
        <c:ser>
          <c:idx val="5"/>
          <c:order val="3"/>
          <c:tx>
            <c:strRef>
              <c:f>passeng_graph!$B$40</c:f>
              <c:strCache>
                <c:ptCount val="1"/>
                <c:pt idx="0">
                  <c:v>Railways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9966"/>
              </a:solidFill>
              <a:ln>
                <a:solidFill>
                  <a:srgbClr val="339966"/>
                </a:solidFill>
              </a:ln>
            </c:spPr>
          </c:marker>
          <c:cat>
            <c:numRef>
              <c:f>passeng_graph!$C$36:$Y$36</c:f>
              <c:numCache/>
            </c:numRef>
          </c:cat>
          <c:val>
            <c:numRef>
              <c:f>passeng_graph!$C$40:$Y$40</c:f>
              <c:numCache/>
            </c:numRef>
          </c:val>
          <c:smooth val="0"/>
        </c:ser>
        <c:ser>
          <c:idx val="6"/>
          <c:order val="4"/>
          <c:tx>
            <c:strRef>
              <c:f>passeng_graph!$B$41</c:f>
              <c:strCache>
                <c:ptCount val="1"/>
                <c:pt idx="0">
                  <c:v>Tram &amp; Metro</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9900"/>
                </a:solidFill>
              </a:ln>
            </c:spPr>
          </c:marker>
          <c:cat>
            <c:numRef>
              <c:f>passeng_graph!$C$36:$Y$36</c:f>
              <c:numCache/>
            </c:numRef>
          </c:cat>
          <c:val>
            <c:numRef>
              <c:f>passeng_graph!$C$41:$Y$41</c:f>
              <c:numCache/>
            </c:numRef>
          </c:val>
          <c:smooth val="0"/>
        </c:ser>
        <c:ser>
          <c:idx val="2"/>
          <c:order val="5"/>
          <c:tx>
            <c:strRef>
              <c:f>passeng_graph!$B$42</c:f>
              <c:strCache>
                <c:ptCount val="1"/>
                <c:pt idx="0">
                  <c:v>Air</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cat>
            <c:numRef>
              <c:f>passeng_graph!$C$36:$Y$36</c:f>
              <c:numCache/>
            </c:numRef>
          </c:cat>
          <c:val>
            <c:numRef>
              <c:f>passeng_graph!$C$42:$Y$42</c:f>
              <c:numCache/>
            </c:numRef>
          </c:val>
          <c:smooth val="0"/>
        </c:ser>
        <c:ser>
          <c:idx val="4"/>
          <c:order val="6"/>
          <c:tx>
            <c:strRef>
              <c:f>passeng_graph!$B$43</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ln>
            </c:spPr>
          </c:marker>
          <c:cat>
            <c:numRef>
              <c:f>passeng_graph!$C$36:$Y$36</c:f>
              <c:numCache/>
            </c:numRef>
          </c:cat>
          <c:val>
            <c:numRef>
              <c:f>passeng_graph!$C$43:$Y$43</c:f>
              <c:numCache/>
            </c:numRef>
          </c:val>
          <c:smooth val="0"/>
        </c:ser>
        <c:ser>
          <c:idx val="7"/>
          <c:order val="7"/>
          <c:tx>
            <c:strRef>
              <c:f>passeng_graph!$B$44</c:f>
              <c:strCache>
                <c:ptCount val="1"/>
                <c:pt idx="0">
                  <c:v>Total</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69696"/>
              </a:solidFill>
              <a:ln>
                <a:solidFill>
                  <a:srgbClr val="FF8080"/>
                </a:solidFill>
              </a:ln>
            </c:spPr>
          </c:marker>
          <c:cat>
            <c:numRef>
              <c:f>passeng_graph!$C$36:$Y$36</c:f>
              <c:numCache/>
            </c:numRef>
          </c:cat>
          <c:val>
            <c:numRef>
              <c:f>passeng_graph!$C$44:$Y$44</c:f>
              <c:numCache/>
            </c:numRef>
          </c:val>
          <c:smooth val="0"/>
        </c:ser>
        <c:marker val="1"/>
        <c:axId val="65329400"/>
        <c:axId val="51093689"/>
      </c:lineChart>
      <c:catAx>
        <c:axId val="24833166"/>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2171903"/>
        <c:crosses val="autoZero"/>
        <c:auto val="1"/>
        <c:lblOffset val="100"/>
        <c:tickLblSkip val="2"/>
        <c:noMultiLvlLbl val="0"/>
      </c:catAx>
      <c:valAx>
        <c:axId val="22171903"/>
        <c:scaling>
          <c:orientation val="minMax"/>
          <c:max val="55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Passenger Cars scale</a:t>
                </a:r>
              </a:p>
            </c:rich>
          </c:tx>
          <c:layout>
            <c:manualLayout>
              <c:xMode val="factor"/>
              <c:yMode val="factor"/>
              <c:x val="-0.008"/>
              <c:y val="0.001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833166"/>
        <c:crossesAt val="1"/>
        <c:crossBetween val="midCat"/>
        <c:dispUnits/>
        <c:majorUnit val="500"/>
      </c:valAx>
      <c:catAx>
        <c:axId val="65329400"/>
        <c:scaling>
          <c:orientation val="minMax"/>
        </c:scaling>
        <c:axPos val="b"/>
        <c:delete val="1"/>
        <c:majorTickMark val="out"/>
        <c:minorTickMark val="none"/>
        <c:tickLblPos val="nextTo"/>
        <c:crossAx val="51093689"/>
        <c:crosses val="autoZero"/>
        <c:auto val="0"/>
        <c:lblOffset val="100"/>
        <c:tickLblSkip val="1"/>
        <c:noMultiLvlLbl val="0"/>
      </c:catAx>
      <c:valAx>
        <c:axId val="51093689"/>
        <c:scaling>
          <c:orientation val="minMax"/>
          <c:max val="1000"/>
        </c:scaling>
        <c:axPos val="l"/>
        <c:title>
          <c:tx>
            <c:rich>
              <a:bodyPr vert="horz" rot="-5400000" anchor="ctr"/>
              <a:lstStyle/>
              <a:p>
                <a:pPr algn="ctr">
                  <a:defRPr/>
                </a:pPr>
                <a:r>
                  <a:rPr lang="en-US" cap="none" sz="800" b="1" i="0" u="none" baseline="0">
                    <a:solidFill>
                      <a:srgbClr val="000000"/>
                    </a:solidFill>
                    <a:latin typeface="Arial"/>
                    <a:ea typeface="Arial"/>
                    <a:cs typeface="Arial"/>
                  </a:rPr>
                  <a:t>Scale for other modes</a:t>
                </a:r>
              </a:p>
            </c:rich>
          </c:tx>
          <c:layout>
            <c:manualLayout>
              <c:xMode val="factor"/>
              <c:yMode val="factor"/>
              <c:x val="-0.00475"/>
              <c:y val="0.003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329400"/>
        <c:crosses val="max"/>
        <c:crossBetween val="midCat"/>
        <c:dispUnits/>
      </c:valAx>
      <c:spPr>
        <a:solidFill>
          <a:srgbClr val="FFFFFF"/>
        </a:solidFill>
        <a:ln w="12700">
          <a:solidFill>
            <a:srgbClr val="808080"/>
          </a:solidFill>
        </a:ln>
      </c:spPr>
    </c:plotArea>
    <c:legend>
      <c:legendPos val="b"/>
      <c:legendEntry>
        <c:idx val="7"/>
        <c:delete val="1"/>
      </c:legendEntry>
      <c:layout>
        <c:manualLayout>
          <c:xMode val="edge"/>
          <c:yMode val="edge"/>
          <c:x val="0.02925"/>
          <c:y val="0.92125"/>
          <c:w val="0.78725"/>
          <c:h val="0.070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19050</xdr:rowOff>
    </xdr:from>
    <xdr:to>
      <xdr:col>13</xdr:col>
      <xdr:colOff>400050</xdr:colOff>
      <xdr:row>30</xdr:row>
      <xdr:rowOff>123825</xdr:rowOff>
    </xdr:to>
    <xdr:graphicFrame>
      <xdr:nvGraphicFramePr>
        <xdr:cNvPr id="1" name="Chart 1"/>
        <xdr:cNvGraphicFramePr/>
      </xdr:nvGraphicFramePr>
      <xdr:xfrm>
        <a:off x="85725" y="200025"/>
        <a:ext cx="5953125" cy="4800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59"/>
  <sheetViews>
    <sheetView zoomScale="85" zoomScaleNormal="85" zoomScalePageLayoutView="0" workbookViewId="0" topLeftCell="A1">
      <selection activeCell="E11" sqref="E11"/>
    </sheetView>
  </sheetViews>
  <sheetFormatPr defaultColWidth="9.140625" defaultRowHeight="12.75"/>
  <cols>
    <col min="1" max="1" width="0.85546875" style="4" customWidth="1"/>
    <col min="2" max="2" width="7.7109375" style="6" customWidth="1"/>
    <col min="3" max="3" width="2.00390625" style="8" customWidth="1"/>
    <col min="4" max="4" width="51.57421875" style="4" customWidth="1"/>
    <col min="5" max="5" width="12.140625" style="4" customWidth="1"/>
    <col min="6" max="16384" width="9.140625" style="4" customWidth="1"/>
  </cols>
  <sheetData>
    <row r="1" spans="2:5" ht="19.5" customHeight="1">
      <c r="B1" s="578" t="s">
        <v>54</v>
      </c>
      <c r="C1" s="578"/>
      <c r="D1" s="578"/>
      <c r="E1" s="578"/>
    </row>
    <row r="2" spans="2:5" ht="19.5" customHeight="1">
      <c r="B2" s="579" t="s">
        <v>55</v>
      </c>
      <c r="C2" s="579"/>
      <c r="D2" s="579"/>
      <c r="E2" s="579"/>
    </row>
    <row r="3" spans="2:5" ht="19.5" customHeight="1">
      <c r="B3" s="580" t="s">
        <v>93</v>
      </c>
      <c r="C3" s="580"/>
      <c r="D3" s="580"/>
      <c r="E3" s="580"/>
    </row>
    <row r="4" spans="2:5" ht="19.5" customHeight="1">
      <c r="B4" s="581" t="s">
        <v>57</v>
      </c>
      <c r="C4" s="581"/>
      <c r="D4" s="581"/>
      <c r="E4" s="581"/>
    </row>
    <row r="5" spans="2:5" ht="19.5" customHeight="1">
      <c r="B5" s="46"/>
      <c r="C5" s="46"/>
      <c r="D5" s="46"/>
      <c r="E5" s="46"/>
    </row>
    <row r="6" ht="19.5" customHeight="1"/>
    <row r="7" spans="2:5" ht="19.5" customHeight="1">
      <c r="B7" s="578" t="s">
        <v>94</v>
      </c>
      <c r="C7" s="578"/>
      <c r="D7" s="578"/>
      <c r="E7" s="578"/>
    </row>
    <row r="8" spans="2:5" ht="19.5" customHeight="1">
      <c r="B8" s="576">
        <v>2019</v>
      </c>
      <c r="C8" s="577"/>
      <c r="D8" s="577"/>
      <c r="E8" s="577"/>
    </row>
    <row r="9" spans="2:5" ht="19.5" customHeight="1">
      <c r="B9" s="47"/>
      <c r="C9" s="47"/>
      <c r="D9" s="47"/>
      <c r="E9" s="47"/>
    </row>
    <row r="10" spans="2:5" ht="19.5" customHeight="1">
      <c r="B10" s="574" t="s">
        <v>96</v>
      </c>
      <c r="C10" s="574"/>
      <c r="D10" s="574"/>
      <c r="E10" s="574"/>
    </row>
    <row r="11" spans="2:5" ht="19.5" customHeight="1">
      <c r="B11" s="5"/>
      <c r="E11" s="5"/>
    </row>
    <row r="12" spans="2:5" ht="19.5" customHeight="1">
      <c r="B12" s="575" t="s">
        <v>95</v>
      </c>
      <c r="C12" s="575"/>
      <c r="D12" s="575"/>
      <c r="E12" s="575"/>
    </row>
    <row r="13" spans="2:5" ht="19.5" customHeight="1">
      <c r="B13" s="575" t="s">
        <v>61</v>
      </c>
      <c r="C13" s="575"/>
      <c r="D13" s="575"/>
      <c r="E13" s="575"/>
    </row>
    <row r="14" spans="2:5" ht="19.5" customHeight="1">
      <c r="B14" s="575" t="s">
        <v>62</v>
      </c>
      <c r="C14" s="575"/>
      <c r="D14" s="575"/>
      <c r="E14" s="575"/>
    </row>
    <row r="15" spans="2:5" ht="19.5" customHeight="1">
      <c r="B15" s="5"/>
      <c r="D15"/>
      <c r="E15" s="5"/>
    </row>
    <row r="16" spans="2:5" ht="19.5" customHeight="1">
      <c r="B16" s="5"/>
      <c r="E16" s="5"/>
    </row>
    <row r="17" spans="2:5" ht="15" customHeight="1">
      <c r="B17" s="48" t="s">
        <v>83</v>
      </c>
      <c r="C17" s="49"/>
      <c r="D17" s="50" t="s">
        <v>56</v>
      </c>
      <c r="E17" s="5"/>
    </row>
    <row r="18" spans="2:5" ht="15" customHeight="1">
      <c r="B18" s="48" t="s">
        <v>86</v>
      </c>
      <c r="C18" s="49"/>
      <c r="D18" s="50" t="s">
        <v>58</v>
      </c>
      <c r="E18" s="5"/>
    </row>
    <row r="19" spans="2:5" ht="15" customHeight="1">
      <c r="B19" s="48" t="s">
        <v>85</v>
      </c>
      <c r="C19" s="49"/>
      <c r="D19" s="50" t="s">
        <v>59</v>
      </c>
      <c r="E19" s="5"/>
    </row>
    <row r="20" spans="2:5" ht="15" customHeight="1">
      <c r="B20" s="48" t="s">
        <v>87</v>
      </c>
      <c r="C20" s="49"/>
      <c r="D20" s="52" t="s">
        <v>45</v>
      </c>
      <c r="E20" s="5"/>
    </row>
    <row r="21" spans="2:5" ht="15" customHeight="1">
      <c r="B21" s="48" t="s">
        <v>88</v>
      </c>
      <c r="C21" s="49"/>
      <c r="D21" s="52" t="s">
        <v>46</v>
      </c>
      <c r="E21" s="5"/>
    </row>
    <row r="22" spans="2:4" ht="15" customHeight="1">
      <c r="B22" s="48" t="s">
        <v>89</v>
      </c>
      <c r="C22" s="51"/>
      <c r="D22" s="52" t="s">
        <v>1</v>
      </c>
    </row>
    <row r="23" spans="2:5" ht="15" customHeight="1">
      <c r="B23" s="48" t="s">
        <v>90</v>
      </c>
      <c r="C23" s="51"/>
      <c r="D23" s="52" t="s">
        <v>47</v>
      </c>
      <c r="E23"/>
    </row>
    <row r="24" spans="2:5" ht="15" customHeight="1">
      <c r="B24" s="48" t="s">
        <v>91</v>
      </c>
      <c r="C24" s="51"/>
      <c r="D24" s="50" t="s">
        <v>74</v>
      </c>
      <c r="E24" s="5"/>
    </row>
    <row r="25" spans="2:5" ht="15" customHeight="1">
      <c r="B25" s="48" t="s">
        <v>92</v>
      </c>
      <c r="C25" s="64"/>
      <c r="D25" s="50" t="s">
        <v>75</v>
      </c>
      <c r="E25" s="5"/>
    </row>
    <row r="26" spans="2:5" ht="12.75">
      <c r="B26" s="5"/>
      <c r="E26" s="5"/>
    </row>
    <row r="27" spans="2:5" ht="12.75">
      <c r="B27" s="5"/>
      <c r="E27" s="5"/>
    </row>
    <row r="28" ht="12.75">
      <c r="C28"/>
    </row>
    <row r="29" spans="2:5" ht="12.75">
      <c r="B29"/>
      <c r="C29"/>
      <c r="D29"/>
      <c r="E29"/>
    </row>
    <row r="30" spans="2:5" ht="13.5">
      <c r="B30" s="7"/>
      <c r="E30"/>
    </row>
    <row r="31" spans="2:5" ht="12.75">
      <c r="B31" s="5"/>
      <c r="E31" s="5"/>
    </row>
    <row r="32" spans="2:5" ht="12.75">
      <c r="B32" s="5"/>
      <c r="E32" s="5"/>
    </row>
    <row r="33" spans="2:5" ht="12.75">
      <c r="B33" s="5"/>
      <c r="E33" s="5"/>
    </row>
    <row r="34" spans="2:5" ht="12.75">
      <c r="B34" s="5"/>
      <c r="E34" s="5"/>
    </row>
    <row r="35" spans="2:5" ht="12.75">
      <c r="B35" s="5"/>
      <c r="E35" s="5"/>
    </row>
    <row r="36" spans="2:5" ht="12.75">
      <c r="B36" s="5"/>
      <c r="E36" s="5"/>
    </row>
    <row r="37" spans="2:5" ht="12.75">
      <c r="B37" s="5"/>
      <c r="E37" s="5"/>
    </row>
    <row r="39" spans="2:5" ht="13.5">
      <c r="B39" s="7"/>
      <c r="E39"/>
    </row>
    <row r="40" spans="2:5" ht="12.75">
      <c r="B40" s="5"/>
      <c r="E40" s="5"/>
    </row>
    <row r="41" spans="2:5" ht="12.75">
      <c r="B41" s="5"/>
      <c r="E41" s="5"/>
    </row>
    <row r="42" spans="2:5" ht="12.75">
      <c r="B42" s="5"/>
      <c r="E42" s="5"/>
    </row>
    <row r="49" spans="3:4" ht="12.75">
      <c r="C49" s="10"/>
      <c r="D49" s="11"/>
    </row>
    <row r="56" ht="12.75"/>
    <row r="59" spans="3:5" ht="12.75">
      <c r="C59"/>
      <c r="D59"/>
      <c r="E59"/>
    </row>
  </sheetData>
  <sheetProtection/>
  <mergeCells count="10">
    <mergeCell ref="B1:E1"/>
    <mergeCell ref="B2:E2"/>
    <mergeCell ref="B3:E3"/>
    <mergeCell ref="B4:E4"/>
    <mergeCell ref="B7:E7"/>
    <mergeCell ref="B10:E10"/>
    <mergeCell ref="B12:E12"/>
    <mergeCell ref="B13:E13"/>
    <mergeCell ref="B14:E14"/>
    <mergeCell ref="B8:E8"/>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71"/>
  <sheetViews>
    <sheetView zoomScalePageLayoutView="0" workbookViewId="0" topLeftCell="A43">
      <selection activeCell="N71" sqref="N71"/>
    </sheetView>
  </sheetViews>
  <sheetFormatPr defaultColWidth="9.140625" defaultRowHeight="12.75"/>
  <cols>
    <col min="1" max="1" width="2.57421875" style="0" customWidth="1"/>
    <col min="2" max="2" width="6.140625" style="0" customWidth="1"/>
    <col min="3" max="3" width="9.7109375" style="0" customWidth="1"/>
    <col min="4" max="6" width="8.7109375" style="0" customWidth="1"/>
    <col min="7" max="7" width="9.28125" style="0" customWidth="1"/>
    <col min="8" max="8" width="8.7109375" style="0" customWidth="1"/>
    <col min="9" max="9" width="9.421875" style="0" customWidth="1"/>
  </cols>
  <sheetData>
    <row r="1" spans="2:9" ht="14.25" customHeight="1">
      <c r="B1" s="65"/>
      <c r="C1" s="65"/>
      <c r="D1" s="65"/>
      <c r="E1" s="65"/>
      <c r="F1" s="65"/>
      <c r="G1" s="65"/>
      <c r="H1" s="66"/>
      <c r="I1" s="59" t="s">
        <v>92</v>
      </c>
    </row>
    <row r="2" spans="2:9" s="17" customFormat="1" ht="30" customHeight="1">
      <c r="B2" s="620" t="s">
        <v>63</v>
      </c>
      <c r="C2" s="620"/>
      <c r="D2" s="620"/>
      <c r="E2" s="620"/>
      <c r="F2" s="620"/>
      <c r="G2" s="620"/>
      <c r="H2" s="620"/>
      <c r="I2" s="620"/>
    </row>
    <row r="3" spans="2:9" ht="15" customHeight="1">
      <c r="B3" s="621" t="s">
        <v>64</v>
      </c>
      <c r="C3" s="621"/>
      <c r="D3" s="621"/>
      <c r="E3" s="621"/>
      <c r="F3" s="621"/>
      <c r="G3" s="621"/>
      <c r="H3" s="621"/>
      <c r="I3" s="621"/>
    </row>
    <row r="4" spans="2:19" ht="12" customHeight="1">
      <c r="B4" s="619" t="s">
        <v>108</v>
      </c>
      <c r="C4" s="622"/>
      <c r="D4" s="622"/>
      <c r="E4" s="622"/>
      <c r="F4" s="622"/>
      <c r="G4" s="622"/>
      <c r="H4" s="622"/>
      <c r="I4" s="622"/>
      <c r="L4" s="611" t="s">
        <v>53</v>
      </c>
      <c r="M4" s="611"/>
      <c r="N4" s="611"/>
      <c r="O4" s="611"/>
      <c r="P4" s="611"/>
      <c r="Q4" s="611"/>
      <c r="R4" s="611"/>
      <c r="S4" s="611"/>
    </row>
    <row r="5" spans="2:19" ht="12.75" customHeight="1">
      <c r="B5" s="26"/>
      <c r="C5" s="613" t="s">
        <v>65</v>
      </c>
      <c r="D5" s="613" t="s">
        <v>66</v>
      </c>
      <c r="E5" s="615" t="s">
        <v>67</v>
      </c>
      <c r="F5" s="615" t="s">
        <v>68</v>
      </c>
      <c r="G5" s="613" t="s">
        <v>69</v>
      </c>
      <c r="H5" s="615" t="s">
        <v>49</v>
      </c>
      <c r="I5" s="615" t="s">
        <v>50</v>
      </c>
      <c r="L5" s="612" t="s">
        <v>42</v>
      </c>
      <c r="M5" s="612"/>
      <c r="N5" s="612"/>
      <c r="O5" s="612"/>
      <c r="P5" s="612"/>
      <c r="Q5" s="612"/>
      <c r="R5" s="612"/>
      <c r="S5" s="612"/>
    </row>
    <row r="6" spans="2:19" ht="22.5" customHeight="1">
      <c r="B6" s="26"/>
      <c r="C6" s="614"/>
      <c r="D6" s="614"/>
      <c r="E6" s="616"/>
      <c r="F6" s="616"/>
      <c r="G6" s="614"/>
      <c r="H6" s="616"/>
      <c r="I6" s="616"/>
      <c r="L6" s="26"/>
      <c r="M6" s="613" t="s">
        <v>65</v>
      </c>
      <c r="N6" s="613" t="s">
        <v>66</v>
      </c>
      <c r="O6" s="615" t="s">
        <v>67</v>
      </c>
      <c r="P6" s="615" t="s">
        <v>68</v>
      </c>
      <c r="Q6" s="613" t="s">
        <v>69</v>
      </c>
      <c r="R6" s="615" t="s">
        <v>49</v>
      </c>
      <c r="S6" s="617"/>
    </row>
    <row r="7" spans="2:19" ht="15" customHeight="1">
      <c r="B7" s="67">
        <v>1990</v>
      </c>
      <c r="C7" s="341">
        <v>5280.49014983424</v>
      </c>
      <c r="D7" s="342">
        <v>19.9946507904</v>
      </c>
      <c r="E7" s="342">
        <v>28.215019008000002</v>
      </c>
      <c r="F7" s="342">
        <v>195.681746304</v>
      </c>
      <c r="G7" s="342">
        <v>12.316309632000001</v>
      </c>
      <c r="H7" s="343">
        <v>556.6285568448</v>
      </c>
      <c r="I7" s="344">
        <f aca="true" t="shared" si="0" ref="I7:I26">SUM(C7:H7)</f>
        <v>6093.32643241344</v>
      </c>
      <c r="L7" s="26"/>
      <c r="M7" s="614"/>
      <c r="N7" s="614"/>
      <c r="O7" s="616"/>
      <c r="P7" s="616"/>
      <c r="Q7" s="614"/>
      <c r="R7" s="616"/>
      <c r="S7" s="617"/>
    </row>
    <row r="8" spans="2:19" ht="18.75" customHeight="1">
      <c r="B8" s="69">
        <v>1995</v>
      </c>
      <c r="C8" s="345">
        <v>5701.9589003520005</v>
      </c>
      <c r="D8" s="346">
        <v>17.343900288</v>
      </c>
      <c r="E8" s="346">
        <v>25.916875776</v>
      </c>
      <c r="F8" s="346">
        <v>219.33910310400003</v>
      </c>
      <c r="G8" s="346">
        <v>14.651467776</v>
      </c>
      <c r="H8" s="347">
        <v>650.0328001136642</v>
      </c>
      <c r="I8" s="348">
        <f t="shared" si="0"/>
        <v>6629.2430474096645</v>
      </c>
      <c r="L8" s="67">
        <v>1990</v>
      </c>
      <c r="M8" s="136">
        <f>100*(C7/$I7)</f>
        <v>86.66022095492343</v>
      </c>
      <c r="N8" s="137">
        <f aca="true" t="shared" si="1" ref="N8:R23">100*(D7/$I7)</f>
        <v>0.328140154842821</v>
      </c>
      <c r="O8" s="137">
        <f t="shared" si="1"/>
        <v>0.4630478823177806</v>
      </c>
      <c r="P8" s="137">
        <f t="shared" si="1"/>
        <v>3.211410852093387</v>
      </c>
      <c r="Q8" s="137">
        <f t="shared" si="1"/>
        <v>0.2021278486982646</v>
      </c>
      <c r="R8" s="138">
        <f t="shared" si="1"/>
        <v>9.13505230712432</v>
      </c>
      <c r="S8" s="68"/>
    </row>
    <row r="9" spans="2:19" ht="22.5" customHeight="1">
      <c r="B9" s="69">
        <v>1996</v>
      </c>
      <c r="C9" s="345">
        <v>5850.556069248</v>
      </c>
      <c r="D9" s="346">
        <v>17.561161728000002</v>
      </c>
      <c r="E9" s="346">
        <v>26.683278058483204</v>
      </c>
      <c r="F9" s="346">
        <v>224.2140695296128</v>
      </c>
      <c r="G9" s="346">
        <v>14.9759861999616</v>
      </c>
      <c r="H9" s="347">
        <v>699.504084563328</v>
      </c>
      <c r="I9" s="348">
        <f t="shared" si="0"/>
        <v>6833.494649327386</v>
      </c>
      <c r="L9" s="69">
        <v>1995</v>
      </c>
      <c r="M9" s="84">
        <f>100*(C8/$I8)</f>
        <v>86.01221677307494</v>
      </c>
      <c r="N9" s="85">
        <f t="shared" si="1"/>
        <v>0.2616271596012311</v>
      </c>
      <c r="O9" s="85">
        <f t="shared" si="1"/>
        <v>0.39094773853746184</v>
      </c>
      <c r="P9" s="85">
        <f t="shared" si="1"/>
        <v>3.308659850534601</v>
      </c>
      <c r="Q9" s="85">
        <f t="shared" si="1"/>
        <v>0.22101268080259887</v>
      </c>
      <c r="R9" s="86">
        <f t="shared" si="1"/>
        <v>9.80553579744916</v>
      </c>
      <c r="S9" s="68"/>
    </row>
    <row r="10" spans="2:19" ht="21" customHeight="1">
      <c r="B10" s="69">
        <v>1997</v>
      </c>
      <c r="C10" s="345">
        <v>6021.74681856</v>
      </c>
      <c r="D10" s="346">
        <v>17.846015616</v>
      </c>
      <c r="E10" s="346">
        <v>27.716231159654402</v>
      </c>
      <c r="F10" s="346">
        <v>233.7558807997037</v>
      </c>
      <c r="G10" s="346">
        <v>14.582578245016322</v>
      </c>
      <c r="H10" s="347">
        <v>725.2879544951041</v>
      </c>
      <c r="I10" s="348">
        <f t="shared" si="0"/>
        <v>7040.935478875479</v>
      </c>
      <c r="L10" s="69">
        <v>1996</v>
      </c>
      <c r="M10" s="84">
        <f>100*(C9/$I9)</f>
        <v>85.61587254368985</v>
      </c>
      <c r="N10" s="85">
        <f t="shared" si="1"/>
        <v>0.25698654391612835</v>
      </c>
      <c r="O10" s="85">
        <f t="shared" si="1"/>
        <v>0.3904777778835257</v>
      </c>
      <c r="P10" s="85">
        <f t="shared" si="1"/>
        <v>3.2811040475707696</v>
      </c>
      <c r="Q10" s="85">
        <f t="shared" si="1"/>
        <v>0.2191556000038088</v>
      </c>
      <c r="R10" s="86">
        <f t="shared" si="1"/>
        <v>10.236403486935918</v>
      </c>
      <c r="S10" s="68"/>
    </row>
    <row r="11" spans="2:19" ht="12.75" customHeight="1">
      <c r="B11" s="69">
        <v>1998</v>
      </c>
      <c r="C11" s="345">
        <v>6186.937933440001</v>
      </c>
      <c r="D11" s="346">
        <v>18.203289984</v>
      </c>
      <c r="E11" s="346">
        <v>28.30575755961677</v>
      </c>
      <c r="F11" s="346">
        <v>239.37337062962612</v>
      </c>
      <c r="G11" s="346">
        <v>15.79991311900109</v>
      </c>
      <c r="H11" s="347">
        <v>744.7295767507201</v>
      </c>
      <c r="I11" s="348">
        <f t="shared" si="0"/>
        <v>7233.349841482965</v>
      </c>
      <c r="L11" s="69">
        <v>1997</v>
      </c>
      <c r="M11" s="84">
        <f>100*(C10/$I10)</f>
        <v>85.52481181835435</v>
      </c>
      <c r="N11" s="85">
        <f t="shared" si="1"/>
        <v>0.2534608599885966</v>
      </c>
      <c r="O11" s="85">
        <f t="shared" si="1"/>
        <v>0.3936441576948098</v>
      </c>
      <c r="P11" s="85">
        <f t="shared" si="1"/>
        <v>3.3199548767493785</v>
      </c>
      <c r="Q11" s="85">
        <f t="shared" si="1"/>
        <v>0.20711137445823227</v>
      </c>
      <c r="R11" s="86">
        <f t="shared" si="1"/>
        <v>10.301016912754628</v>
      </c>
      <c r="S11" s="68"/>
    </row>
    <row r="12" spans="2:18" ht="12.75" customHeight="1" thickBot="1">
      <c r="B12" s="70">
        <v>1999</v>
      </c>
      <c r="C12" s="345">
        <v>6320.69051328</v>
      </c>
      <c r="D12" s="346">
        <v>18.735982848</v>
      </c>
      <c r="E12" s="346">
        <v>29.34165086629287</v>
      </c>
      <c r="F12" s="346">
        <v>261.72939412338053</v>
      </c>
      <c r="G12" s="346">
        <v>16.01970877368576</v>
      </c>
      <c r="H12" s="347">
        <v>785.2626354355201</v>
      </c>
      <c r="I12" s="348">
        <f t="shared" si="0"/>
        <v>7431.77988532688</v>
      </c>
      <c r="L12" s="69">
        <v>1998</v>
      </c>
      <c r="M12" s="84">
        <f>100*(C11/$I11)</f>
        <v>85.5335089415718</v>
      </c>
      <c r="N12" s="85">
        <f t="shared" si="1"/>
        <v>0.2516578125338952</v>
      </c>
      <c r="O12" s="85">
        <f t="shared" si="1"/>
        <v>0.3913229441397181</v>
      </c>
      <c r="P12" s="85">
        <f t="shared" si="1"/>
        <v>3.309301718780829</v>
      </c>
      <c r="Q12" s="85">
        <f t="shared" si="1"/>
        <v>0.21843148009224214</v>
      </c>
      <c r="R12" s="86">
        <f t="shared" si="1"/>
        <v>10.295777102881523</v>
      </c>
    </row>
    <row r="13" spans="2:18" ht="12.75" customHeight="1" thickTop="1">
      <c r="B13" s="70">
        <v>2000</v>
      </c>
      <c r="C13" s="349">
        <v>6372.183677708306</v>
      </c>
      <c r="D13" s="350">
        <v>24.88507052358363</v>
      </c>
      <c r="E13" s="346">
        <v>31.127146408828796</v>
      </c>
      <c r="F13" s="350">
        <v>505.47695196535153</v>
      </c>
      <c r="G13" s="346">
        <v>17.28323567645875</v>
      </c>
      <c r="H13" s="347">
        <v>834.602616726912</v>
      </c>
      <c r="I13" s="348">
        <f t="shared" si="0"/>
        <v>7785.558699009441</v>
      </c>
      <c r="L13" s="70">
        <v>1999</v>
      </c>
      <c r="M13" s="84">
        <f>100*(C12/$I12)</f>
        <v>85.0494849256692</v>
      </c>
      <c r="N13" s="85">
        <f t="shared" si="1"/>
        <v>0.2521062671001849</v>
      </c>
      <c r="O13" s="85">
        <f t="shared" si="1"/>
        <v>0.3948132388073588</v>
      </c>
      <c r="P13" s="85">
        <f t="shared" si="1"/>
        <v>3.5217592307884753</v>
      </c>
      <c r="Q13" s="85">
        <f t="shared" si="1"/>
        <v>0.21555682515994146</v>
      </c>
      <c r="R13" s="86">
        <f t="shared" si="1"/>
        <v>10.566279512474837</v>
      </c>
    </row>
    <row r="14" spans="2:19" ht="12.75" customHeight="1">
      <c r="B14" s="70">
        <v>2001</v>
      </c>
      <c r="C14" s="345">
        <v>6481.238739449875</v>
      </c>
      <c r="D14" s="346">
        <v>22.728754903041427</v>
      </c>
      <c r="E14" s="346">
        <v>31.763769898848775</v>
      </c>
      <c r="F14" s="346">
        <v>443.24298759236666</v>
      </c>
      <c r="G14" s="346">
        <v>17.65590302713882</v>
      </c>
      <c r="H14" s="347">
        <v>782.955581265792</v>
      </c>
      <c r="I14" s="348">
        <f t="shared" si="0"/>
        <v>7779.585736137063</v>
      </c>
      <c r="L14" s="69">
        <v>2000</v>
      </c>
      <c r="M14" s="84">
        <f>100*(C13/$I13)</f>
        <v>81.8461965808445</v>
      </c>
      <c r="N14" s="85">
        <f t="shared" si="1"/>
        <v>0.31963114640378687</v>
      </c>
      <c r="O14" s="85">
        <f t="shared" si="1"/>
        <v>0.39980620032816805</v>
      </c>
      <c r="P14" s="85">
        <f t="shared" si="1"/>
        <v>6.492494264151698</v>
      </c>
      <c r="Q14" s="85">
        <f t="shared" si="1"/>
        <v>0.22199094945694395</v>
      </c>
      <c r="R14" s="86">
        <f t="shared" si="1"/>
        <v>10.719880858814907</v>
      </c>
      <c r="S14" s="1"/>
    </row>
    <row r="15" spans="2:19" ht="12.75" customHeight="1">
      <c r="B15" s="70">
        <v>2002</v>
      </c>
      <c r="C15" s="345">
        <v>6626.440066457998</v>
      </c>
      <c r="D15" s="346">
        <v>22.83165450805606</v>
      </c>
      <c r="E15" s="346">
        <v>30.788721081702143</v>
      </c>
      <c r="F15" s="346">
        <v>455.32583778822084</v>
      </c>
      <c r="G15" s="346">
        <v>17.59254593158656</v>
      </c>
      <c r="H15" s="347">
        <v>778.2336621671041</v>
      </c>
      <c r="I15" s="348">
        <f t="shared" si="0"/>
        <v>7931.212487934668</v>
      </c>
      <c r="L15" s="69">
        <v>2001</v>
      </c>
      <c r="M15" s="84">
        <f>100*(C14/$I14)</f>
        <v>83.31084660901392</v>
      </c>
      <c r="N15" s="85">
        <f t="shared" si="1"/>
        <v>0.29215893588605585</v>
      </c>
      <c r="O15" s="85">
        <f t="shared" si="1"/>
        <v>0.4082964180380768</v>
      </c>
      <c r="P15" s="85">
        <f t="shared" si="1"/>
        <v>5.697514014576027</v>
      </c>
      <c r="Q15" s="85">
        <f t="shared" si="1"/>
        <v>0.22695171216026497</v>
      </c>
      <c r="R15" s="86">
        <f t="shared" si="1"/>
        <v>10.064232310325652</v>
      </c>
      <c r="S15" s="76"/>
    </row>
    <row r="16" spans="2:19" ht="12.75" customHeight="1">
      <c r="B16" s="70">
        <v>2003</v>
      </c>
      <c r="C16" s="345">
        <v>6688.950233458911</v>
      </c>
      <c r="D16" s="346">
        <v>23.26674852735229</v>
      </c>
      <c r="E16" s="346">
        <v>31.038014883756674</v>
      </c>
      <c r="F16" s="346">
        <v>456.85279000457354</v>
      </c>
      <c r="G16" s="346">
        <v>17.753342758424065</v>
      </c>
      <c r="H16" s="347">
        <v>813.6464116200838</v>
      </c>
      <c r="I16" s="348">
        <f t="shared" si="0"/>
        <v>8031.507541253101</v>
      </c>
      <c r="L16" s="69">
        <v>2002</v>
      </c>
      <c r="M16" s="84">
        <f>100*(C15/$I15)</f>
        <v>83.54889087309726</v>
      </c>
      <c r="N16" s="85">
        <f t="shared" si="1"/>
        <v>0.2878709219150117</v>
      </c>
      <c r="O16" s="85">
        <f t="shared" si="1"/>
        <v>0.38819690089679715</v>
      </c>
      <c r="P16" s="85">
        <f t="shared" si="1"/>
        <v>5.740936060922385</v>
      </c>
      <c r="Q16" s="85">
        <f t="shared" si="1"/>
        <v>0.22181407897404293</v>
      </c>
      <c r="R16" s="86">
        <f t="shared" si="1"/>
        <v>9.812291164194498</v>
      </c>
      <c r="S16" s="76"/>
    </row>
    <row r="17" spans="2:19" ht="12.75" customHeight="1">
      <c r="B17" s="70">
        <v>2004</v>
      </c>
      <c r="C17" s="345">
        <v>6884.480646151083</v>
      </c>
      <c r="D17" s="346">
        <v>30.60738838731782</v>
      </c>
      <c r="E17" s="346">
        <v>31.9698818229289</v>
      </c>
      <c r="F17" s="346">
        <v>461.6996210083197</v>
      </c>
      <c r="G17" s="346">
        <v>18.17187003205517</v>
      </c>
      <c r="H17" s="347">
        <v>898.2816373193035</v>
      </c>
      <c r="I17" s="348">
        <f t="shared" si="0"/>
        <v>8325.211044721009</v>
      </c>
      <c r="L17" s="69">
        <v>2003</v>
      </c>
      <c r="M17" s="84">
        <f>100*(C16/$I16)</f>
        <v>83.28386917526667</v>
      </c>
      <c r="N17" s="85">
        <f t="shared" si="1"/>
        <v>0.289693415686218</v>
      </c>
      <c r="O17" s="85">
        <f t="shared" si="1"/>
        <v>0.38645316242726235</v>
      </c>
      <c r="P17" s="85">
        <f t="shared" si="1"/>
        <v>5.688257001042346</v>
      </c>
      <c r="Q17" s="85">
        <f t="shared" si="1"/>
        <v>0.22104620667086033</v>
      </c>
      <c r="R17" s="86">
        <f t="shared" si="1"/>
        <v>10.130681038906626</v>
      </c>
      <c r="S17" s="76"/>
    </row>
    <row r="18" spans="2:19" ht="12.75" customHeight="1">
      <c r="B18" s="70">
        <v>2005</v>
      </c>
      <c r="C18" s="345">
        <v>6952.354053415923</v>
      </c>
      <c r="D18" s="346">
        <v>28.15017241567654</v>
      </c>
      <c r="E18" s="346">
        <v>31.863280678834176</v>
      </c>
      <c r="F18" s="346">
        <v>449.0658366660695</v>
      </c>
      <c r="G18" s="346">
        <v>17.975917190145026</v>
      </c>
      <c r="H18" s="347">
        <v>939.4673057823907</v>
      </c>
      <c r="I18" s="348">
        <f t="shared" si="0"/>
        <v>8418.87656614904</v>
      </c>
      <c r="L18" s="69">
        <v>2004</v>
      </c>
      <c r="M18" s="84">
        <f>100*(C17/$I17)</f>
        <v>82.6943678564943</v>
      </c>
      <c r="N18" s="85">
        <f t="shared" si="1"/>
        <v>0.36764699684971797</v>
      </c>
      <c r="O18" s="85">
        <f t="shared" si="1"/>
        <v>0.38401286947795643</v>
      </c>
      <c r="P18" s="85">
        <f t="shared" si="1"/>
        <v>5.545800803465301</v>
      </c>
      <c r="Q18" s="85">
        <f t="shared" si="1"/>
        <v>0.218275187673205</v>
      </c>
      <c r="R18" s="86">
        <f t="shared" si="1"/>
        <v>10.789896286039513</v>
      </c>
      <c r="S18" s="76"/>
    </row>
    <row r="19" spans="2:19" ht="12.75" customHeight="1">
      <c r="B19" s="70">
        <v>2006</v>
      </c>
      <c r="C19" s="345">
        <v>6972.425852747509</v>
      </c>
      <c r="D19" s="346">
        <v>39.15399929015146</v>
      </c>
      <c r="E19" s="346">
        <v>32.398135356926595</v>
      </c>
      <c r="F19" s="346">
        <v>479.2545384461696</v>
      </c>
      <c r="G19" s="346">
        <v>19.673661797843334</v>
      </c>
      <c r="H19" s="347">
        <v>947.0262809709378</v>
      </c>
      <c r="I19" s="348">
        <f t="shared" si="0"/>
        <v>8489.932468609539</v>
      </c>
      <c r="L19" s="69">
        <v>2005</v>
      </c>
      <c r="M19" s="84">
        <f>100*(C18/$I18)</f>
        <v>82.58054383847639</v>
      </c>
      <c r="N19" s="85">
        <f t="shared" si="1"/>
        <v>0.33436970116492615</v>
      </c>
      <c r="O19" s="85">
        <f t="shared" si="1"/>
        <v>0.3784742587502868</v>
      </c>
      <c r="P19" s="85">
        <f t="shared" si="1"/>
        <v>5.334035166541004</v>
      </c>
      <c r="Q19" s="85">
        <f t="shared" si="1"/>
        <v>0.21351919165109653</v>
      </c>
      <c r="R19" s="86">
        <f t="shared" si="1"/>
        <v>11.159057843416292</v>
      </c>
      <c r="S19" s="76"/>
    </row>
    <row r="20" spans="2:19" ht="12.75" customHeight="1">
      <c r="B20" s="70">
        <v>2007</v>
      </c>
      <c r="C20" s="345">
        <v>6987.746520530769</v>
      </c>
      <c r="D20" s="346">
        <v>43.730951230767076</v>
      </c>
      <c r="E20" s="346">
        <v>35.28036516798605</v>
      </c>
      <c r="F20" s="346">
        <v>495.530422931277</v>
      </c>
      <c r="G20" s="346">
        <v>21.0294852147072</v>
      </c>
      <c r="H20" s="347">
        <v>977.7584106714506</v>
      </c>
      <c r="I20" s="348">
        <f t="shared" si="0"/>
        <v>8561.076155746958</v>
      </c>
      <c r="L20" s="69">
        <v>2006</v>
      </c>
      <c r="M20" s="84">
        <f>100*(C19/$I19)</f>
        <v>82.1258105235487</v>
      </c>
      <c r="N20" s="85">
        <f t="shared" si="1"/>
        <v>0.46118151628317966</v>
      </c>
      <c r="O20" s="85">
        <f t="shared" si="1"/>
        <v>0.3816065142651563</v>
      </c>
      <c r="P20" s="85">
        <f t="shared" si="1"/>
        <v>5.644974682874724</v>
      </c>
      <c r="Q20" s="85">
        <f t="shared" si="1"/>
        <v>0.23172930845544687</v>
      </c>
      <c r="R20" s="86">
        <f t="shared" si="1"/>
        <v>11.154697454572798</v>
      </c>
      <c r="S20" s="76"/>
    </row>
    <row r="21" spans="2:19" ht="12.75" customHeight="1" thickBot="1">
      <c r="B21" s="70">
        <v>2008</v>
      </c>
      <c r="C21" s="489">
        <v>6837.752722219089</v>
      </c>
      <c r="D21" s="490">
        <v>42.53431488319994</v>
      </c>
      <c r="E21" s="346">
        <v>37.0606588906752</v>
      </c>
      <c r="F21" s="346">
        <v>506.040168890055</v>
      </c>
      <c r="G21" s="346">
        <v>21.103427812262403</v>
      </c>
      <c r="H21" s="347">
        <v>938.6990673848537</v>
      </c>
      <c r="I21" s="348">
        <f t="shared" si="0"/>
        <v>8383.190360080134</v>
      </c>
      <c r="L21" s="69">
        <v>2007</v>
      </c>
      <c r="M21" s="84">
        <f>100*(C20/$I20)</f>
        <v>81.62229132654042</v>
      </c>
      <c r="N21" s="85">
        <f t="shared" si="1"/>
        <v>0.5108113797283647</v>
      </c>
      <c r="O21" s="85">
        <f t="shared" si="1"/>
        <v>0.41210198958810473</v>
      </c>
      <c r="P21" s="85">
        <f t="shared" si="1"/>
        <v>5.788179125104882</v>
      </c>
      <c r="Q21" s="85">
        <f t="shared" si="1"/>
        <v>0.2456406745148545</v>
      </c>
      <c r="R21" s="86">
        <f t="shared" si="1"/>
        <v>11.420975504523364</v>
      </c>
      <c r="S21" s="77"/>
    </row>
    <row r="22" spans="2:19" ht="12.75" customHeight="1" thickTop="1">
      <c r="B22" s="69">
        <v>2009</v>
      </c>
      <c r="C22" s="345">
        <v>7089.575584909073</v>
      </c>
      <c r="D22" s="346">
        <v>38.88542836604</v>
      </c>
      <c r="E22" s="346">
        <v>36.5630179204097</v>
      </c>
      <c r="F22" s="346">
        <v>491.143556130298</v>
      </c>
      <c r="G22" s="346">
        <v>21.445372166385027</v>
      </c>
      <c r="H22" s="347">
        <v>887.9259052506333</v>
      </c>
      <c r="I22" s="348">
        <f>SUM(C22:H22)</f>
        <v>8565.538864742839</v>
      </c>
      <c r="L22" s="69">
        <v>2008</v>
      </c>
      <c r="M22" s="84">
        <f>100*(C21/$I21)</f>
        <v>81.5650418100935</v>
      </c>
      <c r="N22" s="85">
        <f t="shared" si="1"/>
        <v>0.5073762261888248</v>
      </c>
      <c r="O22" s="85">
        <f t="shared" si="1"/>
        <v>0.4420829934526375</v>
      </c>
      <c r="P22" s="85">
        <f t="shared" si="1"/>
        <v>6.036367387048309</v>
      </c>
      <c r="Q22" s="85">
        <f t="shared" si="1"/>
        <v>0.251735042457758</v>
      </c>
      <c r="R22" s="86">
        <f t="shared" si="1"/>
        <v>11.197396540758985</v>
      </c>
      <c r="S22" s="77"/>
    </row>
    <row r="23" spans="2:19" ht="12.75" customHeight="1">
      <c r="B23" s="69">
        <v>2010</v>
      </c>
      <c r="C23" s="345">
        <v>7131.729671657265</v>
      </c>
      <c r="D23" s="346">
        <v>34.57307949196169</v>
      </c>
      <c r="E23" s="346">
        <v>36.7359227932815</v>
      </c>
      <c r="F23" s="346">
        <v>470.045796484291</v>
      </c>
      <c r="G23" s="346">
        <v>20.83534385684083</v>
      </c>
      <c r="H23" s="347">
        <v>908.787987192869</v>
      </c>
      <c r="I23" s="348">
        <f>SUM(C23:H23)</f>
        <v>8602.707801476508</v>
      </c>
      <c r="L23" s="69">
        <v>2009</v>
      </c>
      <c r="M23" s="84">
        <f>100*(C22/$I22)</f>
        <v>82.7685881397483</v>
      </c>
      <c r="N23" s="85">
        <f t="shared" si="1"/>
        <v>0.45397527207656246</v>
      </c>
      <c r="O23" s="85">
        <f t="shared" si="1"/>
        <v>0.4268618530342448</v>
      </c>
      <c r="P23" s="85">
        <f t="shared" si="1"/>
        <v>5.733948136665696</v>
      </c>
      <c r="Q23" s="85">
        <f t="shared" si="1"/>
        <v>0.25036804461488926</v>
      </c>
      <c r="R23" s="86">
        <f t="shared" si="1"/>
        <v>10.366258553860304</v>
      </c>
      <c r="S23" s="77"/>
    </row>
    <row r="24" spans="2:19" ht="15" customHeight="1">
      <c r="B24" s="69">
        <v>2011</v>
      </c>
      <c r="C24" s="345">
        <v>7140.31762710414</v>
      </c>
      <c r="D24" s="346">
        <v>34.62785651303189</v>
      </c>
      <c r="E24" s="346">
        <v>38.438300076321</v>
      </c>
      <c r="F24" s="346">
        <v>471.33827612158</v>
      </c>
      <c r="G24" s="346">
        <v>22.01205891079642</v>
      </c>
      <c r="H24" s="347">
        <v>926.35931077272</v>
      </c>
      <c r="I24" s="348">
        <f t="shared" si="0"/>
        <v>8633.09342949859</v>
      </c>
      <c r="L24" s="69">
        <v>2010</v>
      </c>
      <c r="M24" s="84">
        <f>100*(C23/$I23)</f>
        <v>82.90098694777504</v>
      </c>
      <c r="N24" s="85">
        <f>100*(D23/$I23)</f>
        <v>0.4018860141457764</v>
      </c>
      <c r="O24" s="85">
        <f>100*(E23/$I23)</f>
        <v>0.42702743881381633</v>
      </c>
      <c r="P24" s="85">
        <f>100*(F23/$I23)</f>
        <v>5.463928420347087</v>
      </c>
      <c r="Q24" s="85">
        <f>100*(G23/$I23)</f>
        <v>0.2421951824664415</v>
      </c>
      <c r="R24" s="86">
        <f>100*(H23/$I23)</f>
        <v>10.56397599645185</v>
      </c>
      <c r="S24" s="77"/>
    </row>
    <row r="25" spans="2:18" ht="15" customHeight="1">
      <c r="B25" s="69">
        <v>2012</v>
      </c>
      <c r="C25" s="346">
        <v>7179.456911811621</v>
      </c>
      <c r="D25" s="346">
        <v>39.93734575012111</v>
      </c>
      <c r="E25" s="346">
        <v>39.0569527863314</v>
      </c>
      <c r="F25" s="346">
        <v>504.560165698746</v>
      </c>
      <c r="G25" s="346">
        <v>21.90233462062694</v>
      </c>
      <c r="H25" s="346">
        <v>934.226461583813</v>
      </c>
      <c r="I25" s="348">
        <f t="shared" si="0"/>
        <v>8719.14017225126</v>
      </c>
      <c r="L25" s="69">
        <v>2011</v>
      </c>
      <c r="M25" s="84">
        <f>100*(C24/$I24)</f>
        <v>82.70868009728989</v>
      </c>
      <c r="N25" s="85">
        <f>100*(D24/$I24)</f>
        <v>0.40110600905477606</v>
      </c>
      <c r="O25" s="85">
        <f>100*(E24/$I24)</f>
        <v>0.4452436474853893</v>
      </c>
      <c r="P25" s="85">
        <f>100*(F24/$I24)</f>
        <v>5.459668425584911</v>
      </c>
      <c r="Q25" s="85">
        <f>100*(G24/$I24)</f>
        <v>0.2549730185426116</v>
      </c>
      <c r="R25" s="86">
        <f>100*(H24/$I24)</f>
        <v>10.730328802042434</v>
      </c>
    </row>
    <row r="26" spans="2:18" ht="15" customHeight="1">
      <c r="B26" s="69">
        <v>2013</v>
      </c>
      <c r="C26" s="346">
        <v>7218.229255586068</v>
      </c>
      <c r="D26" s="346">
        <v>38.03409920899458</v>
      </c>
      <c r="E26" s="346">
        <f>28.976+11.721</f>
        <v>40.697</v>
      </c>
      <c r="F26" s="346">
        <v>517.71779237096</v>
      </c>
      <c r="G26" s="346">
        <v>23.013916104655873</v>
      </c>
      <c r="H26" s="346">
        <v>949.017888427898</v>
      </c>
      <c r="I26" s="348">
        <f t="shared" si="0"/>
        <v>8786.709951698576</v>
      </c>
      <c r="L26" s="69">
        <v>2012</v>
      </c>
      <c r="M26" s="84">
        <f>100*(C25/$I25)</f>
        <v>82.34134065948733</v>
      </c>
      <c r="N26" s="85">
        <f>100*(D25/$I25)</f>
        <v>0.4580422491339463</v>
      </c>
      <c r="O26" s="85">
        <f>100*(E25/$I25)</f>
        <v>0.4479450039194289</v>
      </c>
      <c r="P26" s="85">
        <f>100*(F25/$I25)</f>
        <v>5.786811035616942</v>
      </c>
      <c r="Q26" s="85">
        <f>100*(G25/$I25)</f>
        <v>0.2511983313484432</v>
      </c>
      <c r="R26" s="86">
        <f>100*(H25/$I25)</f>
        <v>10.714662720493896</v>
      </c>
    </row>
    <row r="27" spans="2:18" ht="15" customHeight="1">
      <c r="B27" s="70">
        <v>2014</v>
      </c>
      <c r="C27" s="345">
        <v>7305.021271127181</v>
      </c>
      <c r="D27" s="346">
        <v>37.29360754879101</v>
      </c>
      <c r="E27" s="346">
        <v>40.2556970994013</v>
      </c>
      <c r="F27" s="346">
        <v>546.105943021662</v>
      </c>
      <c r="G27" s="346">
        <v>22.9723680117888</v>
      </c>
      <c r="H27" s="347">
        <v>978.113666465021</v>
      </c>
      <c r="I27" s="348">
        <f>SUM(C27:H27)</f>
        <v>8929.762553273844</v>
      </c>
      <c r="L27" s="69">
        <v>2013</v>
      </c>
      <c r="M27" s="84">
        <f>100*(C26/$I26)</f>
        <v>82.14939716077345</v>
      </c>
      <c r="N27" s="85">
        <f>100*(D26/$I26)</f>
        <v>0.43285939126330375</v>
      </c>
      <c r="O27" s="85">
        <f>100*(E26/$I26)</f>
        <v>0.46316539664693024</v>
      </c>
      <c r="P27" s="85">
        <f>100*(F26/$I26)</f>
        <v>5.89205510614219</v>
      </c>
      <c r="Q27" s="85">
        <f>100*(G26/$I26)</f>
        <v>0.2619173300491956</v>
      </c>
      <c r="R27" s="86">
        <f>100*(H26/$I26)</f>
        <v>10.800605615124937</v>
      </c>
    </row>
    <row r="28" spans="2:18" ht="15" customHeight="1">
      <c r="B28" s="70">
        <v>2015</v>
      </c>
      <c r="C28" s="345">
        <v>7494.960538458326</v>
      </c>
      <c r="D28" s="346">
        <v>36.61504172207328</v>
      </c>
      <c r="E28" s="346">
        <v>40.1311602573869</v>
      </c>
      <c r="F28" s="374">
        <v>553.968959017371</v>
      </c>
      <c r="G28" s="374">
        <v>23.1801903659843</v>
      </c>
      <c r="H28" s="452">
        <v>1033.04663045084</v>
      </c>
      <c r="I28" s="457">
        <f>SUM(C28:H28)</f>
        <v>9181.902520271982</v>
      </c>
      <c r="L28" s="70">
        <v>2014</v>
      </c>
      <c r="M28" s="84">
        <f>100*(C27/$I27)</f>
        <v>81.80532491817492</v>
      </c>
      <c r="N28" s="85">
        <f>100*(D27/$I27)</f>
        <v>0.4176326898537561</v>
      </c>
      <c r="O28" s="85">
        <f>100*(E27/$I27)</f>
        <v>0.4508036676142379</v>
      </c>
      <c r="P28" s="85">
        <f>100*(F27/$I27)</f>
        <v>6.115570708220543</v>
      </c>
      <c r="Q28" s="85">
        <f>100*(G27/$I27)</f>
        <v>0.2572562022196954</v>
      </c>
      <c r="R28" s="86">
        <f>100*(H27/$I27)</f>
        <v>10.95341181391686</v>
      </c>
    </row>
    <row r="29" spans="2:18" ht="17.25" customHeight="1">
      <c r="B29" s="70">
        <v>2016</v>
      </c>
      <c r="C29" s="345">
        <v>7684.6625702408</v>
      </c>
      <c r="D29" s="346">
        <v>38.18186657478568</v>
      </c>
      <c r="E29" s="346">
        <v>40.2241179994284</v>
      </c>
      <c r="F29" s="374">
        <v>558.063610269055</v>
      </c>
      <c r="G29" s="374">
        <v>23.5190272892763</v>
      </c>
      <c r="H29" s="452">
        <v>1078.96358219794</v>
      </c>
      <c r="I29" s="457">
        <f>SUM(C29:H29)</f>
        <v>9423.614774571284</v>
      </c>
      <c r="L29" s="70">
        <v>2015</v>
      </c>
      <c r="M29" s="84">
        <f>100*(C28/$I28)</f>
        <v>81.62753331252217</v>
      </c>
      <c r="N29" s="85">
        <f>100*(D28/$I28)</f>
        <v>0.39877401923222205</v>
      </c>
      <c r="O29" s="85">
        <f>100*(E28/$I28)</f>
        <v>0.43706802777294296</v>
      </c>
      <c r="P29" s="85">
        <f>100*(F28/$I28)</f>
        <v>6.033269878375507</v>
      </c>
      <c r="Q29" s="85">
        <f>100*(G28/$I28)</f>
        <v>0.25245519994147864</v>
      </c>
      <c r="R29" s="86">
        <f>100*(H28/$I28)</f>
        <v>11.25089956215566</v>
      </c>
    </row>
    <row r="30" spans="2:18" ht="12.75" customHeight="1">
      <c r="B30" s="453">
        <v>2017</v>
      </c>
      <c r="C30" s="454">
        <v>7750.959010845773</v>
      </c>
      <c r="D30" s="491">
        <v>37.62907308141753</v>
      </c>
      <c r="E30" s="491">
        <v>38.993</v>
      </c>
      <c r="F30" s="456">
        <v>587.992</v>
      </c>
      <c r="G30" s="456">
        <v>24.327</v>
      </c>
      <c r="H30" s="455">
        <v>1116.592</v>
      </c>
      <c r="I30" s="458">
        <f>SUM(C30:H30)</f>
        <v>9556.49208392719</v>
      </c>
      <c r="L30" s="70">
        <v>2016</v>
      </c>
      <c r="M30" s="84">
        <f>100*(C29/$I29)</f>
        <v>81.54686661191968</v>
      </c>
      <c r="N30" s="85">
        <f>100*(D29/$I29)</f>
        <v>0.40517219228671963</v>
      </c>
      <c r="O30" s="85">
        <f>100*(E29/$I29)</f>
        <v>0.4268438275720831</v>
      </c>
      <c r="P30" s="85">
        <f>100*(F29/$I29)</f>
        <v>5.921969685931304</v>
      </c>
      <c r="Q30" s="85">
        <f>100*(G29/$I29)</f>
        <v>0.24957543205968188</v>
      </c>
      <c r="R30" s="86">
        <f>100*(H29/$I29)</f>
        <v>11.44957225023055</v>
      </c>
    </row>
    <row r="31" spans="2:18" ht="15" customHeight="1">
      <c r="B31" s="451" t="s">
        <v>140</v>
      </c>
      <c r="C31" s="71"/>
      <c r="D31" s="71"/>
      <c r="E31" s="492"/>
      <c r="F31" s="71"/>
      <c r="G31" s="72"/>
      <c r="H31" s="72"/>
      <c r="I31" s="72"/>
      <c r="L31" s="503">
        <v>2017</v>
      </c>
      <c r="M31" s="504">
        <f>100*(C30/$I30)</f>
        <v>81.10673815009908</v>
      </c>
      <c r="N31" s="505">
        <f>100*(D30/$I30)</f>
        <v>0.3937540339169523</v>
      </c>
      <c r="O31" s="505">
        <f>100*(E30/$I30)</f>
        <v>0.40802628890972753</v>
      </c>
      <c r="P31" s="505">
        <f>100*(F30/$I30)</f>
        <v>6.152801622563242</v>
      </c>
      <c r="Q31" s="505">
        <f>100*(G30/$I30)</f>
        <v>0.25455993461151855</v>
      </c>
      <c r="R31" s="506">
        <f>100*(H30/$I30)</f>
        <v>11.684119969899482</v>
      </c>
    </row>
    <row r="32" spans="2:9" ht="15.75" customHeight="1">
      <c r="B32" s="618" t="s">
        <v>146</v>
      </c>
      <c r="C32" s="618"/>
      <c r="D32" s="618"/>
      <c r="E32" s="618"/>
      <c r="F32" s="618"/>
      <c r="G32" s="618"/>
      <c r="H32" s="618"/>
      <c r="I32" s="618"/>
    </row>
    <row r="33" spans="2:9" ht="12" customHeight="1">
      <c r="B33" s="623" t="s">
        <v>99</v>
      </c>
      <c r="C33" s="623"/>
      <c r="D33" s="623"/>
      <c r="E33" s="623"/>
      <c r="F33" s="623"/>
      <c r="G33" s="623"/>
      <c r="H33" s="623"/>
      <c r="I33" s="623"/>
    </row>
    <row r="34" spans="2:9" ht="12.75" customHeight="1">
      <c r="B34" s="624"/>
      <c r="C34" s="623"/>
      <c r="D34" s="623"/>
      <c r="E34" s="623"/>
      <c r="F34" s="623"/>
      <c r="G34" s="623"/>
      <c r="H34" s="623"/>
      <c r="I34" s="623"/>
    </row>
    <row r="35" spans="2:9" ht="23.25" customHeight="1">
      <c r="B35" s="73"/>
      <c r="C35" s="72"/>
      <c r="D35" s="72"/>
      <c r="E35" s="74"/>
      <c r="F35" s="74"/>
      <c r="G35" s="74"/>
      <c r="H35" s="74"/>
      <c r="I35" s="74"/>
    </row>
    <row r="36" spans="2:9" ht="9.75" customHeight="1">
      <c r="B36" s="611" t="s">
        <v>70</v>
      </c>
      <c r="C36" s="611"/>
      <c r="D36" s="611"/>
      <c r="E36" s="611"/>
      <c r="F36" s="611"/>
      <c r="G36" s="611"/>
      <c r="H36" s="611"/>
      <c r="I36" s="611"/>
    </row>
    <row r="37" spans="2:9" ht="9.75" customHeight="1">
      <c r="B37" s="619" t="s">
        <v>71</v>
      </c>
      <c r="C37" s="619"/>
      <c r="D37" s="619"/>
      <c r="E37" s="619"/>
      <c r="F37" s="619"/>
      <c r="G37" s="619"/>
      <c r="H37" s="619"/>
      <c r="I37" s="619"/>
    </row>
    <row r="38" spans="2:9" ht="9.75" customHeight="1">
      <c r="B38" s="26"/>
      <c r="C38" s="613" t="s">
        <v>65</v>
      </c>
      <c r="D38" s="613" t="s">
        <v>66</v>
      </c>
      <c r="E38" s="615" t="s">
        <v>67</v>
      </c>
      <c r="F38" s="615" t="s">
        <v>68</v>
      </c>
      <c r="G38" s="613" t="s">
        <v>69</v>
      </c>
      <c r="H38" s="615" t="s">
        <v>49</v>
      </c>
      <c r="I38" s="615" t="s">
        <v>50</v>
      </c>
    </row>
    <row r="39" spans="2:9" ht="9.75" customHeight="1">
      <c r="B39" s="26"/>
      <c r="C39" s="614"/>
      <c r="D39" s="614"/>
      <c r="E39" s="616"/>
      <c r="F39" s="616"/>
      <c r="G39" s="614"/>
      <c r="H39" s="616"/>
      <c r="I39" s="616"/>
    </row>
    <row r="40" spans="2:9" ht="9.75" customHeight="1">
      <c r="B40" s="67">
        <v>2001</v>
      </c>
      <c r="C40" s="60">
        <f aca="true" t="shared" si="2" ref="C40:I40">100*(C14/C13-1)</f>
        <v>1.7114237011571776</v>
      </c>
      <c r="D40" s="61">
        <f t="shared" si="2"/>
        <v>-8.665097486859274</v>
      </c>
      <c r="E40" s="61">
        <f t="shared" si="2"/>
        <v>2.045235633419362</v>
      </c>
      <c r="F40" s="61">
        <f t="shared" si="2"/>
        <v>-12.311929185101755</v>
      </c>
      <c r="G40" s="61">
        <f t="shared" si="2"/>
        <v>2.1562360061297525</v>
      </c>
      <c r="H40" s="62">
        <f t="shared" si="2"/>
        <v>-6.1882187314084565</v>
      </c>
      <c r="I40" s="63">
        <f t="shared" si="2"/>
        <v>-0.07671848743672216</v>
      </c>
    </row>
    <row r="41" spans="2:9" ht="9.75" customHeight="1">
      <c r="B41" s="69">
        <v>2001</v>
      </c>
      <c r="C41" s="60">
        <f aca="true" t="shared" si="3" ref="C41:I54">100*(C14/C13-1)</f>
        <v>1.7114237011571776</v>
      </c>
      <c r="D41" s="61">
        <f t="shared" si="3"/>
        <v>-8.665097486859274</v>
      </c>
      <c r="E41" s="61">
        <f t="shared" si="3"/>
        <v>2.045235633419362</v>
      </c>
      <c r="F41" s="61">
        <f t="shared" si="3"/>
        <v>-12.311929185101755</v>
      </c>
      <c r="G41" s="61">
        <f t="shared" si="3"/>
        <v>2.1562360061297525</v>
      </c>
      <c r="H41" s="62">
        <f t="shared" si="3"/>
        <v>-6.1882187314084565</v>
      </c>
      <c r="I41" s="63">
        <f t="shared" si="3"/>
        <v>-0.07671848743672216</v>
      </c>
    </row>
    <row r="42" spans="1:9" ht="9.75" customHeight="1">
      <c r="A42" s="75"/>
      <c r="B42" s="69">
        <v>2002</v>
      </c>
      <c r="C42" s="60">
        <f t="shared" si="3"/>
        <v>2.2403329493838164</v>
      </c>
      <c r="D42" s="61">
        <f t="shared" si="3"/>
        <v>0.45272873702757455</v>
      </c>
      <c r="E42" s="61">
        <f t="shared" si="3"/>
        <v>-3.069688579950236</v>
      </c>
      <c r="F42" s="61">
        <f t="shared" si="3"/>
        <v>2.72601045794012</v>
      </c>
      <c r="G42" s="61">
        <f t="shared" si="3"/>
        <v>-0.35884369921421744</v>
      </c>
      <c r="H42" s="62">
        <f t="shared" si="3"/>
        <v>-0.6030890144564927</v>
      </c>
      <c r="I42" s="63">
        <f t="shared" si="3"/>
        <v>1.9490337524436852</v>
      </c>
    </row>
    <row r="43" spans="1:9" ht="9.75" customHeight="1">
      <c r="A43" s="75"/>
      <c r="B43" s="69">
        <v>2003</v>
      </c>
      <c r="C43" s="60">
        <f t="shared" si="3"/>
        <v>0.943344637150334</v>
      </c>
      <c r="D43" s="61">
        <f t="shared" si="3"/>
        <v>1.90566136651511</v>
      </c>
      <c r="E43" s="61">
        <f t="shared" si="3"/>
        <v>0.809691969318882</v>
      </c>
      <c r="F43" s="61">
        <f t="shared" si="3"/>
        <v>0.33535373783530886</v>
      </c>
      <c r="G43" s="61">
        <f t="shared" si="3"/>
        <v>0.9140054399335185</v>
      </c>
      <c r="H43" s="62">
        <f t="shared" si="3"/>
        <v>4.550400628311002</v>
      </c>
      <c r="I43" s="63">
        <f t="shared" si="3"/>
        <v>1.2645614207286382</v>
      </c>
    </row>
    <row r="44" spans="1:9" ht="9.75" customHeight="1">
      <c r="A44" s="75"/>
      <c r="B44" s="69">
        <v>2004</v>
      </c>
      <c r="C44" s="60">
        <f t="shared" si="3"/>
        <v>2.923185341013701</v>
      </c>
      <c r="D44" s="61">
        <f t="shared" si="3"/>
        <v>31.549917047222564</v>
      </c>
      <c r="E44" s="61">
        <f t="shared" si="3"/>
        <v>3.002340654395086</v>
      </c>
      <c r="F44" s="61">
        <f t="shared" si="3"/>
        <v>1.0609174573931401</v>
      </c>
      <c r="G44" s="61">
        <f t="shared" si="3"/>
        <v>2.3574561665718585</v>
      </c>
      <c r="H44" s="62">
        <f t="shared" si="3"/>
        <v>10.401966319829171</v>
      </c>
      <c r="I44" s="63">
        <f t="shared" si="3"/>
        <v>3.6568913365184086</v>
      </c>
    </row>
    <row r="45" spans="1:9" ht="16.5" customHeight="1">
      <c r="A45" s="75"/>
      <c r="B45" s="69">
        <v>2005</v>
      </c>
      <c r="C45" s="60">
        <f t="shared" si="3"/>
        <v>0.9858900148522531</v>
      </c>
      <c r="D45" s="61">
        <f t="shared" si="3"/>
        <v>-8.028179145984982</v>
      </c>
      <c r="E45" s="61">
        <f t="shared" si="3"/>
        <v>-0.3334424089683985</v>
      </c>
      <c r="F45" s="61">
        <f t="shared" si="3"/>
        <v>-2.736364460221752</v>
      </c>
      <c r="G45" s="61">
        <f t="shared" si="3"/>
        <v>-1.078330637212821</v>
      </c>
      <c r="H45" s="62">
        <f t="shared" si="3"/>
        <v>4.584939372243602</v>
      </c>
      <c r="I45" s="63">
        <f t="shared" si="3"/>
        <v>1.125082846847758</v>
      </c>
    </row>
    <row r="46" spans="1:9" ht="19.5" customHeight="1">
      <c r="A46" s="75"/>
      <c r="B46" s="69">
        <v>2006</v>
      </c>
      <c r="C46" s="60">
        <f t="shared" si="3"/>
        <v>0.2887050799969648</v>
      </c>
      <c r="D46" s="61">
        <f t="shared" si="3"/>
        <v>39.08973171456316</v>
      </c>
      <c r="E46" s="61">
        <f t="shared" si="3"/>
        <v>1.678592620400532</v>
      </c>
      <c r="F46" s="61">
        <f t="shared" si="3"/>
        <v>6.722555873816938</v>
      </c>
      <c r="G46" s="61">
        <f t="shared" si="3"/>
        <v>9.444550671545526</v>
      </c>
      <c r="H46" s="62">
        <f t="shared" si="3"/>
        <v>0.8046022615179727</v>
      </c>
      <c r="I46" s="63">
        <f t="shared" si="3"/>
        <v>0.844006939669395</v>
      </c>
    </row>
    <row r="47" spans="1:9" ht="19.5" customHeight="1">
      <c r="A47" s="75"/>
      <c r="B47" s="69">
        <v>2007</v>
      </c>
      <c r="C47" s="60">
        <f t="shared" si="3"/>
        <v>0.21973224393949664</v>
      </c>
      <c r="D47" s="61">
        <f t="shared" si="3"/>
        <v>11.68961542522904</v>
      </c>
      <c r="E47" s="61">
        <f t="shared" si="3"/>
        <v>8.896283009211036</v>
      </c>
      <c r="F47" s="61">
        <f t="shared" si="3"/>
        <v>3.396083537962258</v>
      </c>
      <c r="G47" s="61">
        <f t="shared" si="3"/>
        <v>6.891566149685957</v>
      </c>
      <c r="H47" s="62">
        <f t="shared" si="3"/>
        <v>3.2451189917353407</v>
      </c>
      <c r="I47" s="63">
        <f t="shared" si="3"/>
        <v>0.8379770675498666</v>
      </c>
    </row>
    <row r="48" spans="1:9" ht="19.5" customHeight="1">
      <c r="A48" s="75"/>
      <c r="B48" s="69">
        <v>2008</v>
      </c>
      <c r="C48" s="60">
        <f t="shared" si="3"/>
        <v>-2.1465260348380033</v>
      </c>
      <c r="D48" s="61">
        <f t="shared" si="3"/>
        <v>-2.736360206876176</v>
      </c>
      <c r="E48" s="61">
        <f t="shared" si="3"/>
        <v>5.046131790905095</v>
      </c>
      <c r="F48" s="61">
        <f t="shared" si="3"/>
        <v>2.120908318122683</v>
      </c>
      <c r="G48" s="61">
        <f t="shared" si="3"/>
        <v>0.35161392112199596</v>
      </c>
      <c r="H48" s="62">
        <f t="shared" si="3"/>
        <v>-3.994784689172237</v>
      </c>
      <c r="I48" s="63">
        <f t="shared" si="3"/>
        <v>-2.0778438648441533</v>
      </c>
    </row>
    <row r="49" spans="1:9" ht="19.5" customHeight="1">
      <c r="A49" s="75"/>
      <c r="B49" s="69">
        <v>2009</v>
      </c>
      <c r="C49" s="60">
        <f t="shared" si="3"/>
        <v>3.6828307913459923</v>
      </c>
      <c r="D49" s="61">
        <f t="shared" si="3"/>
        <v>-8.578688823788161</v>
      </c>
      <c r="E49" s="61">
        <f t="shared" si="3"/>
        <v>-1.342774211687614</v>
      </c>
      <c r="F49" s="61">
        <f t="shared" si="3"/>
        <v>-2.943760925625949</v>
      </c>
      <c r="G49" s="61">
        <f t="shared" si="3"/>
        <v>1.6203261250474776</v>
      </c>
      <c r="H49" s="61">
        <f t="shared" si="3"/>
        <v>-5.408885967647836</v>
      </c>
      <c r="I49" s="142">
        <f t="shared" si="3"/>
        <v>2.1751683646721087</v>
      </c>
    </row>
    <row r="50" spans="1:11" ht="19.5" customHeight="1">
      <c r="A50" s="75"/>
      <c r="B50" s="69">
        <v>2010</v>
      </c>
      <c r="C50" s="60">
        <f t="shared" si="3"/>
        <v>0.5945925287533571</v>
      </c>
      <c r="D50" s="61">
        <f t="shared" si="3"/>
        <v>-11.089883936689338</v>
      </c>
      <c r="E50" s="61">
        <f t="shared" si="3"/>
        <v>0.4728955176735772</v>
      </c>
      <c r="F50" s="61">
        <f t="shared" si="3"/>
        <v>-4.29564012042335</v>
      </c>
      <c r="G50" s="61">
        <f t="shared" si="3"/>
        <v>-2.844568538196779</v>
      </c>
      <c r="H50" s="62">
        <f t="shared" si="3"/>
        <v>2.3495295968808394</v>
      </c>
      <c r="I50" s="63">
        <f t="shared" si="3"/>
        <v>0.4339357665711141</v>
      </c>
      <c r="K50" s="1"/>
    </row>
    <row r="51" spans="1:9" ht="19.5" customHeight="1">
      <c r="A51" s="75"/>
      <c r="B51" s="69">
        <v>2011</v>
      </c>
      <c r="C51" s="60">
        <f t="shared" si="3"/>
        <v>0.12041897046386474</v>
      </c>
      <c r="D51" s="61">
        <f t="shared" si="3"/>
        <v>0.15843836266575817</v>
      </c>
      <c r="E51" s="61">
        <f t="shared" si="3"/>
        <v>4.634094242355169</v>
      </c>
      <c r="F51" s="61">
        <f t="shared" si="3"/>
        <v>0.27496887472584497</v>
      </c>
      <c r="G51" s="61">
        <f t="shared" si="3"/>
        <v>5.647687228205944</v>
      </c>
      <c r="H51" s="62">
        <f t="shared" si="3"/>
        <v>1.933489859843629</v>
      </c>
      <c r="I51" s="63">
        <f t="shared" si="3"/>
        <v>0.3532100441312913</v>
      </c>
    </row>
    <row r="52" spans="1:9" ht="19.5" customHeight="1">
      <c r="A52" s="75"/>
      <c r="B52" s="69">
        <v>2012</v>
      </c>
      <c r="C52" s="60">
        <f t="shared" si="3"/>
        <v>0.5481448690589197</v>
      </c>
      <c r="D52" s="61">
        <f t="shared" si="3"/>
        <v>15.332999994068498</v>
      </c>
      <c r="E52" s="61">
        <f t="shared" si="3"/>
        <v>1.6094694842957002</v>
      </c>
      <c r="F52" s="61">
        <f t="shared" si="3"/>
        <v>7.048417508234905</v>
      </c>
      <c r="G52" s="61">
        <f t="shared" si="3"/>
        <v>-0.4984735440429877</v>
      </c>
      <c r="H52" s="62">
        <f t="shared" si="3"/>
        <v>0.8492547891088442</v>
      </c>
      <c r="I52" s="63">
        <f t="shared" si="3"/>
        <v>0.9967081145983769</v>
      </c>
    </row>
    <row r="53" spans="1:9" ht="19.5" customHeight="1">
      <c r="A53" s="75"/>
      <c r="B53" s="70">
        <v>2013</v>
      </c>
      <c r="C53" s="60">
        <f t="shared" si="3"/>
        <v>0.5400456364694994</v>
      </c>
      <c r="D53" s="61">
        <f t="shared" si="3"/>
        <v>-4.765580950308291</v>
      </c>
      <c r="E53" s="61">
        <f t="shared" si="3"/>
        <v>4.199117178036893</v>
      </c>
      <c r="F53" s="61">
        <f t="shared" si="3"/>
        <v>2.607741864439994</v>
      </c>
      <c r="G53" s="61">
        <f t="shared" si="3"/>
        <v>5.075173506764341</v>
      </c>
      <c r="H53" s="62">
        <f t="shared" si="3"/>
        <v>1.5832806554214596</v>
      </c>
      <c r="I53" s="63">
        <f t="shared" si="3"/>
        <v>0.7749592059817845</v>
      </c>
    </row>
    <row r="54" spans="2:9" ht="19.5" customHeight="1">
      <c r="B54" s="70">
        <v>2014</v>
      </c>
      <c r="C54" s="60">
        <f t="shared" si="3"/>
        <v>1.202400373664303</v>
      </c>
      <c r="D54" s="61">
        <f t="shared" si="3"/>
        <v>-1.9469152039979343</v>
      </c>
      <c r="E54" s="61">
        <f t="shared" si="3"/>
        <v>-1.0843622394739127</v>
      </c>
      <c r="F54" s="61">
        <f t="shared" si="3"/>
        <v>5.483325292085217</v>
      </c>
      <c r="G54" s="61">
        <f t="shared" si="3"/>
        <v>-0.1805346498967575</v>
      </c>
      <c r="H54" s="62">
        <f t="shared" si="3"/>
        <v>3.0658829925030995</v>
      </c>
      <c r="I54" s="63">
        <f t="shared" si="3"/>
        <v>1.6280564894214367</v>
      </c>
    </row>
    <row r="55" spans="2:9" ht="19.5" customHeight="1">
      <c r="B55" s="70">
        <v>2015</v>
      </c>
      <c r="C55" s="60">
        <f aca="true" t="shared" si="4" ref="C55:I55">C28/C27*100-100</f>
        <v>2.6001192916695857</v>
      </c>
      <c r="D55" s="155">
        <f t="shared" si="4"/>
        <v>-1.8195231604504016</v>
      </c>
      <c r="E55" s="156">
        <f t="shared" si="4"/>
        <v>-0.30936451480863525</v>
      </c>
      <c r="F55" s="156">
        <f t="shared" si="4"/>
        <v>1.439833441877994</v>
      </c>
      <c r="G55" s="156">
        <f t="shared" si="4"/>
        <v>0.9046623059879977</v>
      </c>
      <c r="H55" s="396">
        <f t="shared" si="4"/>
        <v>5.616214747755336</v>
      </c>
      <c r="I55" s="395">
        <f t="shared" si="4"/>
        <v>2.8235909464994506</v>
      </c>
    </row>
    <row r="56" spans="2:13" ht="19.5" customHeight="1">
      <c r="B56" s="70">
        <v>2016</v>
      </c>
      <c r="C56" s="60">
        <f>C29/C28*100-100</f>
        <v>2.531061115119556</v>
      </c>
      <c r="D56" s="61">
        <f aca="true" t="shared" si="5" ref="D56:I56">D29/D28*100-100</f>
        <v>4.279183578719909</v>
      </c>
      <c r="E56" s="61">
        <f t="shared" si="5"/>
        <v>0.23163482302854277</v>
      </c>
      <c r="F56" s="61">
        <f t="shared" si="5"/>
        <v>0.7391481390847048</v>
      </c>
      <c r="G56" s="61">
        <f t="shared" si="5"/>
        <v>1.4617521165366583</v>
      </c>
      <c r="H56" s="62">
        <f t="shared" si="5"/>
        <v>4.444809207408284</v>
      </c>
      <c r="I56" s="395">
        <f t="shared" si="5"/>
        <v>2.6324855199196975</v>
      </c>
      <c r="M56" s="1"/>
    </row>
    <row r="57" spans="2:9" ht="20.25" customHeight="1">
      <c r="B57" s="70">
        <v>2017</v>
      </c>
      <c r="C57" s="493">
        <f>C30/C29*100-100</f>
        <v>0.8627111470282216</v>
      </c>
      <c r="D57" s="494">
        <f aca="true" t="shared" si="6" ref="D57:I57">D30/D29*100-100</f>
        <v>-1.4477906476505211</v>
      </c>
      <c r="E57" s="494">
        <f t="shared" si="6"/>
        <v>-3.060646350147181</v>
      </c>
      <c r="F57" s="494">
        <f t="shared" si="6"/>
        <v>5.362899350580449</v>
      </c>
      <c r="G57" s="494">
        <f t="shared" si="6"/>
        <v>3.4354002008072086</v>
      </c>
      <c r="H57" s="500">
        <f t="shared" si="6"/>
        <v>3.487459486390449</v>
      </c>
      <c r="I57" s="501">
        <f t="shared" si="6"/>
        <v>1.4100460654913718</v>
      </c>
    </row>
    <row r="58" spans="2:9" ht="20.25" customHeight="1">
      <c r="B58" s="496" t="s">
        <v>72</v>
      </c>
      <c r="C58" s="495">
        <f aca="true" t="shared" si="7" ref="C58:I58">100*(POWER((C8/C7),1/5)-1)</f>
        <v>1.5476714348274356</v>
      </c>
      <c r="D58" s="497">
        <f t="shared" si="7"/>
        <v>-2.8044036148359153</v>
      </c>
      <c r="E58" s="497">
        <f t="shared" si="7"/>
        <v>-1.6848468710477849</v>
      </c>
      <c r="F58" s="497">
        <f t="shared" si="7"/>
        <v>2.3088374081304375</v>
      </c>
      <c r="G58" s="497">
        <f t="shared" si="7"/>
        <v>3.5333119902342114</v>
      </c>
      <c r="H58" s="498">
        <f t="shared" si="7"/>
        <v>3.151122320246813</v>
      </c>
      <c r="I58" s="501">
        <f t="shared" si="7"/>
        <v>1.700221639086985</v>
      </c>
    </row>
    <row r="59" spans="2:9" ht="23.25" customHeight="1">
      <c r="B59" s="496" t="s">
        <v>109</v>
      </c>
      <c r="C59" s="495">
        <f aca="true" t="shared" si="8" ref="C59:I59">100*(POWER((C13/C8),1/5)-1)</f>
        <v>2.2475335590066647</v>
      </c>
      <c r="D59" s="497">
        <f t="shared" si="8"/>
        <v>7.4876137514655605</v>
      </c>
      <c r="E59" s="497">
        <f t="shared" si="8"/>
        <v>3.7316610452985843</v>
      </c>
      <c r="F59" s="497">
        <f t="shared" si="8"/>
        <v>18.172672948678724</v>
      </c>
      <c r="G59" s="497">
        <f t="shared" si="8"/>
        <v>3.3591153554357156</v>
      </c>
      <c r="H59" s="498">
        <f t="shared" si="8"/>
        <v>5.125698423473346</v>
      </c>
      <c r="I59" s="502">
        <f t="shared" si="8"/>
        <v>3.2678578610680464</v>
      </c>
    </row>
    <row r="60" spans="2:9" ht="24" customHeight="1">
      <c r="B60" s="499" t="s">
        <v>147</v>
      </c>
      <c r="C60" s="493">
        <f>100*(POWER((C30/C13),1/17)-1)</f>
        <v>1.1588655435259332</v>
      </c>
      <c r="D60" s="494">
        <f>100*(POWER((D30/D13),1/17)-1)</f>
        <v>2.462229750880196</v>
      </c>
      <c r="E60" s="494">
        <f>100*(POWER((E30/E13),1/17)-1)</f>
        <v>1.3341259702769337</v>
      </c>
      <c r="F60" s="494">
        <f>100*(POWER((F30/F13),1/17)-1)</f>
        <v>0.8934434708129713</v>
      </c>
      <c r="G60" s="494">
        <f>100*(POWER((G30/G13),1/17)-1)</f>
        <v>2.0312358914947204</v>
      </c>
      <c r="H60" s="500">
        <f>100*(POWER((H30/H13),1/17)-1)</f>
        <v>1.7269826425048596</v>
      </c>
      <c r="I60" s="501">
        <f>100*(POWER((I30/I13),1/17)-1)</f>
        <v>1.2128856601700377</v>
      </c>
    </row>
    <row r="61" spans="2:9" ht="27.75" customHeight="1">
      <c r="B61" s="73"/>
      <c r="C61" s="3"/>
      <c r="D61" s="3"/>
      <c r="E61" s="3"/>
      <c r="F61" s="3"/>
      <c r="G61" s="3"/>
      <c r="H61" s="3"/>
      <c r="I61" s="3"/>
    </row>
    <row r="62" ht="9.75" customHeight="1"/>
    <row r="63" ht="9.75" customHeight="1"/>
    <row r="64" ht="9.75" customHeight="1" hidden="1"/>
    <row r="65" ht="9.75" customHeight="1" hidden="1"/>
    <row r="66" ht="9.75" customHeight="1" hidden="1"/>
    <row r="67" ht="9.75" customHeight="1" hidden="1"/>
    <row r="68" ht="9.75" customHeight="1"/>
    <row r="69" ht="9.75" customHeight="1">
      <c r="N69" s="1"/>
    </row>
    <row r="70" ht="9.75" customHeight="1"/>
    <row r="71" ht="9.75" customHeight="1">
      <c r="N71" s="1"/>
    </row>
    <row r="72" ht="9.75" customHeight="1"/>
    <row r="73" ht="9.75" customHeight="1"/>
    <row r="74" ht="9.75" customHeight="1"/>
  </sheetData>
  <sheetProtection/>
  <mergeCells count="31">
    <mergeCell ref="B33:I33"/>
    <mergeCell ref="B34:I34"/>
    <mergeCell ref="B36:I36"/>
    <mergeCell ref="H38:H39"/>
    <mergeCell ref="I38:I39"/>
    <mergeCell ref="B2:I2"/>
    <mergeCell ref="B3:I3"/>
    <mergeCell ref="B4:I4"/>
    <mergeCell ref="C5:C6"/>
    <mergeCell ref="D5:D6"/>
    <mergeCell ref="E5:E6"/>
    <mergeCell ref="F5:F6"/>
    <mergeCell ref="G5:G6"/>
    <mergeCell ref="H5:H6"/>
    <mergeCell ref="I5:I6"/>
    <mergeCell ref="L4:S4"/>
    <mergeCell ref="L5:S5"/>
    <mergeCell ref="D38:D39"/>
    <mergeCell ref="E38:E39"/>
    <mergeCell ref="F38:F39"/>
    <mergeCell ref="G38:G39"/>
    <mergeCell ref="Q6:Q7"/>
    <mergeCell ref="R6:R7"/>
    <mergeCell ref="S6:S7"/>
    <mergeCell ref="M6:M7"/>
    <mergeCell ref="N6:N7"/>
    <mergeCell ref="O6:O7"/>
    <mergeCell ref="P6:P7"/>
    <mergeCell ref="B32:I32"/>
    <mergeCell ref="B37:I37"/>
    <mergeCell ref="C38:C39"/>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AB44"/>
  <sheetViews>
    <sheetView zoomScalePageLayoutView="0" workbookViewId="0" topLeftCell="A1">
      <selection activeCell="Q8" sqref="Q8"/>
    </sheetView>
  </sheetViews>
  <sheetFormatPr defaultColWidth="9.140625" defaultRowHeight="12.75"/>
  <cols>
    <col min="1" max="1" width="0.9921875" style="0" customWidth="1"/>
    <col min="2" max="2" width="9.7109375" style="0" customWidth="1"/>
    <col min="3" max="16" width="6.7109375" style="0" customWidth="1"/>
  </cols>
  <sheetData>
    <row r="1" spans="2:14" ht="14.25" customHeight="1">
      <c r="B1" s="17"/>
      <c r="N1" s="16" t="s">
        <v>83</v>
      </c>
    </row>
    <row r="2" spans="3:9" ht="12.75" customHeight="1">
      <c r="C2" s="29"/>
      <c r="D2" s="29"/>
      <c r="E2" s="29"/>
      <c r="I2" s="12"/>
    </row>
    <row r="3" spans="3:5" ht="12.75" customHeight="1">
      <c r="C3" s="12"/>
      <c r="D3" s="12"/>
      <c r="E3" s="12"/>
    </row>
    <row r="4" spans="3:7" ht="12.75" customHeight="1">
      <c r="C4" s="1"/>
      <c r="D4" s="1"/>
      <c r="E4" s="1"/>
      <c r="F4" s="1"/>
      <c r="G4" s="30"/>
    </row>
    <row r="5" spans="3:7" ht="12.75" customHeight="1">
      <c r="C5" s="1"/>
      <c r="D5" s="1"/>
      <c r="E5" s="1"/>
      <c r="F5" s="1"/>
      <c r="G5" s="1"/>
    </row>
    <row r="6" spans="3:7" ht="12.75" customHeight="1">
      <c r="C6" s="1"/>
      <c r="D6" s="1"/>
      <c r="E6" s="1"/>
      <c r="F6" s="1"/>
      <c r="G6" s="1"/>
    </row>
    <row r="7" spans="3:9" ht="12.75" customHeight="1">
      <c r="C7" s="1"/>
      <c r="D7" s="1"/>
      <c r="E7" s="1"/>
      <c r="F7" s="1"/>
      <c r="G7" s="1"/>
      <c r="I7" s="19"/>
    </row>
    <row r="8" spans="3:7" s="18" customFormat="1" ht="12.75" customHeight="1">
      <c r="C8" s="31"/>
      <c r="D8" s="1"/>
      <c r="E8" s="1"/>
      <c r="F8" s="1"/>
      <c r="G8" s="1"/>
    </row>
    <row r="9" spans="3:7" s="18" customFormat="1" ht="12.75" customHeight="1">
      <c r="C9" s="31"/>
      <c r="D9" s="1"/>
      <c r="E9" s="1"/>
      <c r="F9" s="1"/>
      <c r="G9" s="1"/>
    </row>
    <row r="10" spans="3:7" s="19" customFormat="1" ht="12.75" customHeight="1">
      <c r="C10" s="32"/>
      <c r="D10" s="1"/>
      <c r="E10" s="1"/>
      <c r="F10" s="1"/>
      <c r="G10" s="1"/>
    </row>
    <row r="11" spans="3:7" s="19" customFormat="1" ht="12.75" customHeight="1">
      <c r="C11" s="32"/>
      <c r="D11" s="1"/>
      <c r="E11" s="1"/>
      <c r="F11" s="1"/>
      <c r="G11" s="1"/>
    </row>
    <row r="12" spans="3:7" s="19" customFormat="1" ht="12.75" customHeight="1">
      <c r="C12" s="32"/>
      <c r="D12" s="1"/>
      <c r="E12" s="1"/>
      <c r="F12" s="1"/>
      <c r="G12" s="1"/>
    </row>
    <row r="13" spans="3:7" s="19" customFormat="1" ht="12.75" customHeight="1">
      <c r="C13" s="32"/>
      <c r="D13" s="1"/>
      <c r="E13" s="1"/>
      <c r="F13" s="1"/>
      <c r="G13" s="1"/>
    </row>
    <row r="14" spans="3:7" s="19" customFormat="1" ht="12.75" customHeight="1">
      <c r="C14" s="32"/>
      <c r="D14" s="1"/>
      <c r="E14" s="1"/>
      <c r="F14" s="1"/>
      <c r="G14" s="1"/>
    </row>
    <row r="15" spans="3:7" s="19" customFormat="1" ht="12.75" customHeight="1">
      <c r="C15" s="32"/>
      <c r="D15" s="1"/>
      <c r="E15" s="1"/>
      <c r="F15" s="1"/>
      <c r="G15" s="1"/>
    </row>
    <row r="16" spans="3:7" s="20" customFormat="1" ht="12.75" customHeight="1">
      <c r="C16" s="22"/>
      <c r="D16" s="1"/>
      <c r="E16" s="1"/>
      <c r="F16" s="1"/>
      <c r="G16" s="1"/>
    </row>
    <row r="17" spans="3:7" s="24" customFormat="1" ht="12.75" customHeight="1">
      <c r="C17" s="33"/>
      <c r="D17" s="1"/>
      <c r="E17" s="1"/>
      <c r="F17" s="1"/>
      <c r="G17" s="1"/>
    </row>
    <row r="18" spans="3:7" ht="12.75" customHeight="1">
      <c r="C18" s="1"/>
      <c r="D18" s="1"/>
      <c r="E18" s="1"/>
      <c r="F18" s="1"/>
      <c r="G18" s="1"/>
    </row>
    <row r="19" spans="3:7" s="35" customFormat="1" ht="12.75" customHeight="1">
      <c r="C19" s="34"/>
      <c r="D19" s="1"/>
      <c r="E19" s="1"/>
      <c r="F19" s="1"/>
      <c r="G19" s="1"/>
    </row>
    <row r="20" spans="3:7" s="35" customFormat="1" ht="12.75" customHeight="1">
      <c r="C20" s="34"/>
      <c r="D20" s="1"/>
      <c r="E20" s="1"/>
      <c r="F20" s="1"/>
      <c r="G20" s="1"/>
    </row>
    <row r="21" spans="3:7" s="35" customFormat="1" ht="12.75" customHeight="1">
      <c r="C21" s="34"/>
      <c r="D21" s="1"/>
      <c r="E21" s="1"/>
      <c r="F21" s="1"/>
      <c r="G21" s="1"/>
    </row>
    <row r="22" spans="3:7" ht="12.75" customHeight="1">
      <c r="C22" s="1"/>
      <c r="D22" s="1"/>
      <c r="E22" s="1"/>
      <c r="F22" s="1"/>
      <c r="G22" s="1"/>
    </row>
    <row r="23" spans="3:7" ht="12.75" customHeight="1">
      <c r="C23" s="1"/>
      <c r="D23" s="1"/>
      <c r="E23" s="1"/>
      <c r="F23" s="1"/>
      <c r="G23" s="1"/>
    </row>
    <row r="24" spans="3:7" ht="12.75" customHeight="1">
      <c r="C24" s="1"/>
      <c r="D24" s="1"/>
      <c r="E24" s="1"/>
      <c r="F24" s="1"/>
      <c r="G24" s="1"/>
    </row>
    <row r="25" spans="3:7" s="18" customFormat="1" ht="12.75" customHeight="1">
      <c r="C25" s="31"/>
      <c r="D25" s="1"/>
      <c r="E25" s="1"/>
      <c r="F25" s="1"/>
      <c r="G25" s="1"/>
    </row>
    <row r="26" spans="3:27" s="18" customFormat="1" ht="12.75" customHeight="1">
      <c r="C26" s="31"/>
      <c r="D26" s="1"/>
      <c r="E26" s="1"/>
      <c r="F26" s="1"/>
      <c r="G26" s="1"/>
      <c r="T26" s="124"/>
      <c r="U26" s="124"/>
      <c r="V26" s="124"/>
      <c r="W26" s="124"/>
      <c r="X26" s="124"/>
      <c r="Y26" s="124"/>
      <c r="Z26" s="124"/>
      <c r="AA26" s="124"/>
    </row>
    <row r="27" spans="3:7" s="20" customFormat="1" ht="12.75" customHeight="1">
      <c r="C27" s="22"/>
      <c r="D27" s="1"/>
      <c r="E27" s="1"/>
      <c r="F27" s="1"/>
      <c r="G27" s="1"/>
    </row>
    <row r="28" spans="3:23" s="19" customFormat="1" ht="12.75" customHeight="1">
      <c r="C28" s="32"/>
      <c r="D28" s="1"/>
      <c r="E28" s="1"/>
      <c r="F28" s="1"/>
      <c r="G28" s="1"/>
      <c r="W28" s="32"/>
    </row>
    <row r="29" spans="3:7" s="19" customFormat="1" ht="12.75" customHeight="1">
      <c r="C29" s="32"/>
      <c r="D29" s="1"/>
      <c r="E29" s="1"/>
      <c r="F29" s="1"/>
      <c r="G29" s="1"/>
    </row>
    <row r="30" spans="3:26" s="19" customFormat="1" ht="12.75" customHeight="1">
      <c r="C30" s="32"/>
      <c r="D30" s="1"/>
      <c r="E30" s="1"/>
      <c r="F30" s="1"/>
      <c r="G30" s="1"/>
      <c r="R30" s="32"/>
      <c r="Z30" s="32"/>
    </row>
    <row r="31" spans="3:28" s="19" customFormat="1" ht="12.75" customHeight="1">
      <c r="C31" s="32"/>
      <c r="D31" s="1"/>
      <c r="E31" s="1"/>
      <c r="F31" s="1"/>
      <c r="G31" s="1"/>
      <c r="AB31" s="32"/>
    </row>
    <row r="32" ht="15" customHeight="1">
      <c r="B32" s="36" t="s">
        <v>84</v>
      </c>
    </row>
    <row r="34" spans="26:28" ht="12.75">
      <c r="Z34" s="582"/>
      <c r="AA34" s="582"/>
      <c r="AB34" s="582"/>
    </row>
    <row r="35" spans="25:28" ht="21.75" customHeight="1">
      <c r="Y35" s="544"/>
      <c r="AB35" s="545"/>
    </row>
    <row r="36" spans="2:25" ht="21.75" customHeight="1">
      <c r="B36" s="18"/>
      <c r="C36" s="90">
        <v>1995</v>
      </c>
      <c r="D36" s="91">
        <v>1996</v>
      </c>
      <c r="E36" s="91">
        <v>1997</v>
      </c>
      <c r="F36" s="91">
        <v>1998</v>
      </c>
      <c r="G36" s="91">
        <v>1999</v>
      </c>
      <c r="H36" s="91">
        <v>2000</v>
      </c>
      <c r="I36" s="91">
        <v>2001</v>
      </c>
      <c r="J36" s="91">
        <v>2002</v>
      </c>
      <c r="K36" s="91">
        <v>2003</v>
      </c>
      <c r="L36" s="91">
        <v>2004</v>
      </c>
      <c r="M36" s="91">
        <v>2005</v>
      </c>
      <c r="N36" s="91">
        <v>2006</v>
      </c>
      <c r="O36" s="91">
        <v>2007</v>
      </c>
      <c r="P36" s="91">
        <v>2008</v>
      </c>
      <c r="Q36" s="91">
        <v>2009</v>
      </c>
      <c r="R36" s="91">
        <v>2010</v>
      </c>
      <c r="S36" s="161">
        <v>2011</v>
      </c>
      <c r="T36" s="161">
        <v>2012</v>
      </c>
      <c r="U36" s="161">
        <v>2013</v>
      </c>
      <c r="V36" s="400">
        <v>2014</v>
      </c>
      <c r="W36" s="161">
        <v>2015</v>
      </c>
      <c r="X36" s="161">
        <v>2016</v>
      </c>
      <c r="Y36" s="543">
        <v>2017</v>
      </c>
    </row>
    <row r="37" spans="2:25" ht="21.75" customHeight="1">
      <c r="B37" s="79" t="s">
        <v>45</v>
      </c>
      <c r="C37" s="93">
        <v>3904.3968448239566</v>
      </c>
      <c r="D37" s="94">
        <v>3967.960445623563</v>
      </c>
      <c r="E37" s="94">
        <v>4047.0311598397266</v>
      </c>
      <c r="F37" s="94">
        <v>4144.982058542091</v>
      </c>
      <c r="G37" s="94">
        <v>4254.780359539047</v>
      </c>
      <c r="H37" s="94">
        <v>4300.856686155985</v>
      </c>
      <c r="I37" s="94">
        <v>4387.3788534340165</v>
      </c>
      <c r="J37" s="94">
        <v>4463.501476952004</v>
      </c>
      <c r="K37" s="94">
        <v>4494.9430671775235</v>
      </c>
      <c r="L37" s="94">
        <v>4551.897948905752</v>
      </c>
      <c r="M37" s="94">
        <v>4508.296368669483</v>
      </c>
      <c r="N37" s="95">
        <v>4549.418913551448</v>
      </c>
      <c r="O37" s="95">
        <v>4596.588930598071</v>
      </c>
      <c r="P37" s="95">
        <v>4602.442319059387</v>
      </c>
      <c r="Q37" s="95">
        <v>4675.174487463362</v>
      </c>
      <c r="R37" s="95">
        <v>4625.637609852555</v>
      </c>
      <c r="S37" s="95">
        <v>4592.881468153738</v>
      </c>
      <c r="T37" s="95">
        <v>4498.273185500801</v>
      </c>
      <c r="U37" s="95">
        <v>4549.645020731237</v>
      </c>
      <c r="V37" s="95">
        <v>4615.198815827171</v>
      </c>
      <c r="W37" s="95">
        <v>4711.786887842932</v>
      </c>
      <c r="X37" s="95">
        <v>4826.69067156582</v>
      </c>
      <c r="Y37" s="141">
        <v>4901.416959384074</v>
      </c>
    </row>
    <row r="38" spans="2:25" ht="21.75" customHeight="1">
      <c r="B38" s="79" t="s">
        <v>8</v>
      </c>
      <c r="C38" s="93">
        <v>112.64489335150509</v>
      </c>
      <c r="D38" s="94">
        <v>114.36749571172734</v>
      </c>
      <c r="E38" s="94">
        <v>118.61705125541111</v>
      </c>
      <c r="F38" s="94">
        <v>122.87241527179086</v>
      </c>
      <c r="G38" s="94">
        <v>126.83120594398916</v>
      </c>
      <c r="H38" s="94">
        <v>104.67205966075467</v>
      </c>
      <c r="I38" s="94">
        <v>108.91900136330536</v>
      </c>
      <c r="J38" s="94">
        <v>110.54182437883776</v>
      </c>
      <c r="K38" s="94">
        <v>114.09979176109505</v>
      </c>
      <c r="L38" s="94">
        <v>117.0701096643725</v>
      </c>
      <c r="M38" s="94">
        <v>120.82613066490492</v>
      </c>
      <c r="N38" s="95">
        <v>119.85102451313769</v>
      </c>
      <c r="O38" s="95">
        <v>116.2463730122309</v>
      </c>
      <c r="P38" s="95">
        <v>120.5472165950099</v>
      </c>
      <c r="Q38" s="95">
        <v>118.34501907526933</v>
      </c>
      <c r="R38" s="95">
        <v>119.43510887476812</v>
      </c>
      <c r="S38" s="95">
        <v>122.8232436658405</v>
      </c>
      <c r="T38" s="95">
        <v>122.88121162023123</v>
      </c>
      <c r="U38" s="95">
        <v>122.36651215039869</v>
      </c>
      <c r="V38" s="95">
        <v>125.26082196549956</v>
      </c>
      <c r="W38" s="95">
        <v>125.10289734645143</v>
      </c>
      <c r="X38" s="95">
        <v>126.3827751576292</v>
      </c>
      <c r="Y38" s="141">
        <v>123.3</v>
      </c>
    </row>
    <row r="39" spans="2:25" ht="21.75" customHeight="1">
      <c r="B39" s="79" t="s">
        <v>46</v>
      </c>
      <c r="C39" s="93">
        <v>514.7284657948057</v>
      </c>
      <c r="D39" s="94">
        <v>519.3074723402809</v>
      </c>
      <c r="E39" s="94">
        <v>522.4775718300093</v>
      </c>
      <c r="F39" s="94">
        <v>525.5552769022315</v>
      </c>
      <c r="G39" s="94">
        <v>527.7253265321467</v>
      </c>
      <c r="H39" s="94">
        <v>545.0470449557031</v>
      </c>
      <c r="I39" s="94">
        <v>544.186813217731</v>
      </c>
      <c r="J39" s="94">
        <v>535.5738746950319</v>
      </c>
      <c r="K39" s="94">
        <v>542.2856048928152</v>
      </c>
      <c r="L39" s="94">
        <v>543.3761824960219</v>
      </c>
      <c r="M39" s="94">
        <v>542.1665398197158</v>
      </c>
      <c r="N39" s="95">
        <v>539.9589271311742</v>
      </c>
      <c r="O39" s="95">
        <v>550.6220191863621</v>
      </c>
      <c r="P39" s="95">
        <v>559.4116387284087</v>
      </c>
      <c r="Q39" s="95">
        <v>536.3139953989106</v>
      </c>
      <c r="R39" s="95">
        <v>529.74113953938</v>
      </c>
      <c r="S39" s="95">
        <v>530.7543105017402</v>
      </c>
      <c r="T39" s="95">
        <v>526.4956241274513</v>
      </c>
      <c r="U39" s="95">
        <v>523.2902880761077</v>
      </c>
      <c r="V39" s="95">
        <v>517.7241313719443</v>
      </c>
      <c r="W39" s="95">
        <v>527.7115340561198</v>
      </c>
      <c r="X39" s="95">
        <v>526.9346175086439</v>
      </c>
      <c r="Y39" s="141">
        <v>510.4</v>
      </c>
    </row>
    <row r="40" spans="2:25" ht="21.75" customHeight="1">
      <c r="B40" s="79" t="s">
        <v>47</v>
      </c>
      <c r="C40" s="93">
        <v>342.92070000000007</v>
      </c>
      <c r="D40" s="94">
        <v>347.8188000000001</v>
      </c>
      <c r="E40" s="94">
        <v>348.03559999999993</v>
      </c>
      <c r="F40" s="94">
        <v>348.1452000000001</v>
      </c>
      <c r="G40" s="94">
        <v>355.2007</v>
      </c>
      <c r="H40" s="94">
        <v>376.9928850249082</v>
      </c>
      <c r="I40" s="94">
        <v>379.2752803094415</v>
      </c>
      <c r="J40" s="94">
        <v>371.8311026138046</v>
      </c>
      <c r="K40" s="94">
        <v>367.9429475633534</v>
      </c>
      <c r="L40" s="94">
        <v>375.421</v>
      </c>
      <c r="M40" s="94">
        <v>384.46600000000007</v>
      </c>
      <c r="N40" s="95">
        <v>396.67600000000004</v>
      </c>
      <c r="O40" s="95">
        <v>403.83000000000004</v>
      </c>
      <c r="P40" s="95">
        <v>419.58782500000007</v>
      </c>
      <c r="Q40" s="95">
        <v>412.01500000000004</v>
      </c>
      <c r="R40" s="95">
        <v>414.11799999999994</v>
      </c>
      <c r="S40" s="95">
        <v>422.51200000000006</v>
      </c>
      <c r="T40" s="95">
        <v>428.07900000000006</v>
      </c>
      <c r="U40" s="95">
        <v>433.7439999999999</v>
      </c>
      <c r="V40" s="95">
        <v>440.98699999999997</v>
      </c>
      <c r="W40" s="95">
        <v>448.253</v>
      </c>
      <c r="X40" s="95">
        <v>454.614265</v>
      </c>
      <c r="Y40" s="141">
        <v>469.73400000000004</v>
      </c>
    </row>
    <row r="41" spans="2:25" ht="21.75" customHeight="1">
      <c r="B41" s="79" t="s">
        <v>1</v>
      </c>
      <c r="C41" s="93">
        <v>73.71903011209119</v>
      </c>
      <c r="D41" s="94">
        <v>74.88954108527673</v>
      </c>
      <c r="E41" s="94">
        <v>75.67054402780744</v>
      </c>
      <c r="F41" s="94">
        <v>76.85262198072537</v>
      </c>
      <c r="G41" s="94">
        <v>78.51509682077854</v>
      </c>
      <c r="H41" s="94">
        <v>80.0924826697441</v>
      </c>
      <c r="I41" s="94">
        <v>80.89515498490023</v>
      </c>
      <c r="J41" s="94">
        <v>81.67139268915017</v>
      </c>
      <c r="K41" s="94">
        <v>82.09006979555612</v>
      </c>
      <c r="L41" s="94">
        <v>85.34013743624409</v>
      </c>
      <c r="M41" s="94">
        <v>86.08519745887872</v>
      </c>
      <c r="N41" s="95">
        <v>87.85912816090782</v>
      </c>
      <c r="O41" s="95">
        <v>89.97241998789852</v>
      </c>
      <c r="P41" s="95">
        <v>93.54354812448204</v>
      </c>
      <c r="Q41" s="95">
        <v>93.45798241195453</v>
      </c>
      <c r="R41" s="95">
        <v>96.12143266802344</v>
      </c>
      <c r="S41" s="95">
        <v>97.3460186098992</v>
      </c>
      <c r="T41" s="95">
        <v>98.92246983318948</v>
      </c>
      <c r="U41" s="95">
        <v>99.36466294826151</v>
      </c>
      <c r="V41" s="95">
        <v>100.67064467596639</v>
      </c>
      <c r="W41" s="95">
        <v>102.14946262726792</v>
      </c>
      <c r="X41" s="95">
        <v>105.4138695717889</v>
      </c>
      <c r="Y41" s="141">
        <v>107.17376713665031</v>
      </c>
    </row>
    <row r="42" spans="2:25" ht="21.75" customHeight="1">
      <c r="B42" s="79" t="s">
        <v>49</v>
      </c>
      <c r="C42" s="96">
        <v>347.903</v>
      </c>
      <c r="D42" s="97">
        <v>368.01300000000003</v>
      </c>
      <c r="E42" s="97">
        <v>392.14500000000004</v>
      </c>
      <c r="F42" s="97">
        <v>411.2495</v>
      </c>
      <c r="G42" s="97">
        <v>427.33750000000003</v>
      </c>
      <c r="H42" s="97">
        <v>459.5135</v>
      </c>
      <c r="I42" s="97">
        <v>455.49150000000003</v>
      </c>
      <c r="J42" s="97">
        <v>447.44750000000005</v>
      </c>
      <c r="K42" s="97">
        <v>465.54650000000004</v>
      </c>
      <c r="L42" s="97">
        <v>495.71150000000006</v>
      </c>
      <c r="M42" s="94">
        <v>529.8985</v>
      </c>
      <c r="N42" s="95">
        <v>552.0195</v>
      </c>
      <c r="O42" s="95">
        <v>575.1460000000001</v>
      </c>
      <c r="P42" s="95">
        <v>563.411748707267</v>
      </c>
      <c r="Q42" s="95">
        <v>524.435007347586</v>
      </c>
      <c r="R42" s="95">
        <v>534.708505187598</v>
      </c>
      <c r="S42" s="95">
        <v>576.832505914575</v>
      </c>
      <c r="T42" s="95">
        <v>570.133968862201</v>
      </c>
      <c r="U42" s="95">
        <v>579.5954015893</v>
      </c>
      <c r="V42" s="95">
        <v>609.555033702514</v>
      </c>
      <c r="W42" s="95">
        <v>639.601966172846</v>
      </c>
      <c r="X42" s="95">
        <v>713.488868917917</v>
      </c>
      <c r="Y42" s="141">
        <v>776.9</v>
      </c>
    </row>
    <row r="43" spans="2:25" ht="21.75" customHeight="1">
      <c r="B43" s="79" t="s">
        <v>48</v>
      </c>
      <c r="C43" s="96">
        <v>30.863906357469897</v>
      </c>
      <c r="D43" s="97">
        <v>30.585853147042243</v>
      </c>
      <c r="E43" s="97">
        <v>30.307799936614586</v>
      </c>
      <c r="F43" s="97">
        <v>29.960233423580018</v>
      </c>
      <c r="G43" s="97">
        <v>29.612666910545446</v>
      </c>
      <c r="H43" s="97">
        <v>28.98704718708322</v>
      </c>
      <c r="I43" s="97">
        <v>29.195587094903964</v>
      </c>
      <c r="J43" s="97">
        <v>30.10901308779163</v>
      </c>
      <c r="K43" s="97">
        <v>29.970021776784698</v>
      </c>
      <c r="L43" s="97">
        <v>29.618143971961665</v>
      </c>
      <c r="M43" s="94">
        <v>28.8903608040052</v>
      </c>
      <c r="N43" s="95">
        <v>28.2088774707559</v>
      </c>
      <c r="O43" s="95">
        <v>27.9660812969169</v>
      </c>
      <c r="P43" s="95">
        <v>31.8688773749607</v>
      </c>
      <c r="Q43" s="95">
        <v>26.6595075212392</v>
      </c>
      <c r="R43" s="95">
        <v>24.734701904423</v>
      </c>
      <c r="S43" s="95">
        <v>22.4358894645507</v>
      </c>
      <c r="T43" s="95">
        <v>20.7245939721202</v>
      </c>
      <c r="U43" s="95">
        <v>21.041720136158</v>
      </c>
      <c r="V43" s="95">
        <v>21.5960056366996</v>
      </c>
      <c r="W43" s="95">
        <v>21.6587392469416</v>
      </c>
      <c r="X43" s="95">
        <v>25.0472784197707</v>
      </c>
      <c r="Y43" s="141">
        <v>24.328</v>
      </c>
    </row>
    <row r="44" spans="2:25" ht="21.75" customHeight="1">
      <c r="B44" s="80" t="s">
        <v>50</v>
      </c>
      <c r="C44" s="98">
        <f>SUM(C37:C43)</f>
        <v>5327.176840439828</v>
      </c>
      <c r="D44" s="541">
        <f aca="true" t="shared" si="0" ref="D44:Y44">SUM(D37:D43)</f>
        <v>5422.942607907889</v>
      </c>
      <c r="E44" s="541">
        <f t="shared" si="0"/>
        <v>5534.284726889568</v>
      </c>
      <c r="F44" s="541">
        <f t="shared" si="0"/>
        <v>5659.617306120418</v>
      </c>
      <c r="G44" s="541">
        <f t="shared" si="0"/>
        <v>5800.002855746507</v>
      </c>
      <c r="H44" s="541">
        <f t="shared" si="0"/>
        <v>5896.161705654178</v>
      </c>
      <c r="I44" s="541">
        <f t="shared" si="0"/>
        <v>5985.342190404299</v>
      </c>
      <c r="J44" s="541">
        <f t="shared" si="0"/>
        <v>6040.67618441662</v>
      </c>
      <c r="K44" s="541">
        <f t="shared" si="0"/>
        <v>6096.878002967128</v>
      </c>
      <c r="L44" s="541">
        <f t="shared" si="0"/>
        <v>6198.435022474352</v>
      </c>
      <c r="M44" s="541">
        <f t="shared" si="0"/>
        <v>6200.629097416988</v>
      </c>
      <c r="N44" s="541">
        <f t="shared" si="0"/>
        <v>6273.992370827425</v>
      </c>
      <c r="O44" s="541">
        <f t="shared" si="0"/>
        <v>6360.371824081479</v>
      </c>
      <c r="P44" s="541">
        <f t="shared" si="0"/>
        <v>6390.813173589516</v>
      </c>
      <c r="Q44" s="541">
        <f t="shared" si="0"/>
        <v>6386.400999218322</v>
      </c>
      <c r="R44" s="541">
        <f t="shared" si="0"/>
        <v>6344.496498026749</v>
      </c>
      <c r="S44" s="541">
        <f t="shared" si="0"/>
        <v>6365.5854363103435</v>
      </c>
      <c r="T44" s="541">
        <f t="shared" si="0"/>
        <v>6265.510053915995</v>
      </c>
      <c r="U44" s="541">
        <f t="shared" si="0"/>
        <v>6329.047605631464</v>
      </c>
      <c r="V44" s="541">
        <f t="shared" si="0"/>
        <v>6430.992453179794</v>
      </c>
      <c r="W44" s="541">
        <f t="shared" si="0"/>
        <v>6576.264487292558</v>
      </c>
      <c r="X44" s="541">
        <f t="shared" si="0"/>
        <v>6778.57234614157</v>
      </c>
      <c r="Y44" s="542">
        <f t="shared" si="0"/>
        <v>6913.2527265207245</v>
      </c>
    </row>
  </sheetData>
  <sheetProtection/>
  <mergeCells count="1">
    <mergeCell ref="Z34:AB34"/>
  </mergeCells>
  <printOptions horizontalCentered="1"/>
  <pageMargins left="0.4724409448818898" right="0.4724409448818898" top="0.5118110236220472" bottom="0.275590551181102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66"/>
  <sheetViews>
    <sheetView zoomScalePageLayoutView="0" workbookViewId="0" topLeftCell="A4">
      <selection activeCell="L26" sqref="L26"/>
    </sheetView>
  </sheetViews>
  <sheetFormatPr defaultColWidth="9.140625" defaultRowHeight="12.75"/>
  <cols>
    <col min="1" max="1" width="3.00390625" style="0" customWidth="1"/>
    <col min="2" max="2" width="4.8515625" style="0" customWidth="1"/>
    <col min="3" max="10" width="6.7109375" style="0" customWidth="1"/>
  </cols>
  <sheetData>
    <row r="1" spans="2:10" ht="14.25" customHeight="1">
      <c r="B1" s="37"/>
      <c r="C1" s="27"/>
      <c r="D1" s="27"/>
      <c r="E1" s="27"/>
      <c r="F1" s="27"/>
      <c r="G1" s="27"/>
      <c r="H1" s="27"/>
      <c r="I1" s="27"/>
      <c r="J1" s="28" t="s">
        <v>86</v>
      </c>
    </row>
    <row r="2" spans="1:10" s="17" customFormat="1" ht="30" customHeight="1">
      <c r="A2"/>
      <c r="B2" s="583" t="s">
        <v>110</v>
      </c>
      <c r="C2" s="584"/>
      <c r="D2" s="584"/>
      <c r="E2" s="584"/>
      <c r="F2" s="584"/>
      <c r="G2" s="584"/>
      <c r="H2" s="584"/>
      <c r="I2" s="584"/>
      <c r="J2" s="584"/>
    </row>
    <row r="3" spans="2:10" ht="15" customHeight="1">
      <c r="B3" s="583" t="s">
        <v>0</v>
      </c>
      <c r="C3" s="584"/>
      <c r="D3" s="584"/>
      <c r="E3" s="584"/>
      <c r="F3" s="584"/>
      <c r="G3" s="584"/>
      <c r="H3" s="584"/>
      <c r="I3" s="584"/>
      <c r="J3" s="584"/>
    </row>
    <row r="4" spans="2:10" s="20" customFormat="1" ht="13.5" customHeight="1">
      <c r="B4" s="585" t="s">
        <v>107</v>
      </c>
      <c r="C4" s="585"/>
      <c r="D4" s="585"/>
      <c r="E4" s="585"/>
      <c r="F4" s="585"/>
      <c r="G4" s="585"/>
      <c r="H4" s="585"/>
      <c r="I4" s="585"/>
      <c r="J4" s="585"/>
    </row>
    <row r="5" spans="2:10" s="18" customFormat="1" ht="19.5" customHeight="1">
      <c r="B5" s="26"/>
      <c r="C5" s="586" t="s">
        <v>79</v>
      </c>
      <c r="D5" s="586" t="s">
        <v>9</v>
      </c>
      <c r="E5" s="586" t="s">
        <v>2</v>
      </c>
      <c r="F5" s="586" t="s">
        <v>80</v>
      </c>
      <c r="G5" s="586" t="s">
        <v>1</v>
      </c>
      <c r="H5" s="586" t="s">
        <v>49</v>
      </c>
      <c r="I5" s="589" t="s">
        <v>48</v>
      </c>
      <c r="J5" s="586" t="s">
        <v>50</v>
      </c>
    </row>
    <row r="6" spans="2:10" s="18" customFormat="1" ht="19.5" customHeight="1">
      <c r="B6" s="26"/>
      <c r="C6" s="587"/>
      <c r="D6" s="587"/>
      <c r="E6" s="587"/>
      <c r="F6" s="587"/>
      <c r="G6" s="587"/>
      <c r="H6" s="587"/>
      <c r="I6" s="587"/>
      <c r="J6" s="588"/>
    </row>
    <row r="7" spans="2:11" s="18" customFormat="1" ht="12.75" customHeight="1">
      <c r="B7" s="92">
        <v>1995</v>
      </c>
      <c r="C7" s="124">
        <v>3904.3968448239566</v>
      </c>
      <c r="D7" s="123">
        <v>112.64489335150509</v>
      </c>
      <c r="E7" s="124">
        <v>514.7284657948057</v>
      </c>
      <c r="F7" s="124">
        <v>342.92070000000007</v>
      </c>
      <c r="G7" s="124">
        <v>73.71903011209119</v>
      </c>
      <c r="H7" s="124">
        <v>347.903</v>
      </c>
      <c r="I7" s="535">
        <v>30.863906357469897</v>
      </c>
      <c r="J7" s="533">
        <v>5327.176840439828</v>
      </c>
      <c r="K7" s="532"/>
    </row>
    <row r="8" spans="1:11" s="18" customFormat="1" ht="12.75" customHeight="1">
      <c r="A8" s="20"/>
      <c r="B8" s="54">
        <v>1996</v>
      </c>
      <c r="C8" s="124">
        <v>3967.960445623563</v>
      </c>
      <c r="D8" s="124">
        <v>114.36749571172734</v>
      </c>
      <c r="E8" s="124">
        <v>519.3074723402809</v>
      </c>
      <c r="F8" s="124">
        <v>347.8188000000001</v>
      </c>
      <c r="G8" s="124">
        <v>74.88954108527673</v>
      </c>
      <c r="H8" s="124">
        <v>368.01300000000003</v>
      </c>
      <c r="I8" s="447">
        <v>30.585853147042243</v>
      </c>
      <c r="J8" s="533">
        <v>5422.942607907889</v>
      </c>
      <c r="K8" s="532"/>
    </row>
    <row r="9" spans="1:11" s="18" customFormat="1" ht="12.75" customHeight="1">
      <c r="A9" s="20"/>
      <c r="B9" s="54">
        <v>1997</v>
      </c>
      <c r="C9" s="124">
        <v>4047.0311598397266</v>
      </c>
      <c r="D9" s="124">
        <v>118.61705125541111</v>
      </c>
      <c r="E9" s="124">
        <v>522.4775718300093</v>
      </c>
      <c r="F9" s="124">
        <v>348.03559999999993</v>
      </c>
      <c r="G9" s="124">
        <v>75.67054402780744</v>
      </c>
      <c r="H9" s="124">
        <v>392.14500000000004</v>
      </c>
      <c r="I9" s="447">
        <v>30.307799936614586</v>
      </c>
      <c r="J9" s="533">
        <v>5534.284726889568</v>
      </c>
      <c r="K9" s="532"/>
    </row>
    <row r="10" spans="1:11" s="18" customFormat="1" ht="12.75" customHeight="1">
      <c r="A10" s="20"/>
      <c r="B10" s="54">
        <v>1998</v>
      </c>
      <c r="C10" s="124">
        <v>4144.982058542091</v>
      </c>
      <c r="D10" s="124">
        <v>122.87241527179086</v>
      </c>
      <c r="E10" s="124">
        <v>525.5552769022315</v>
      </c>
      <c r="F10" s="124">
        <v>348.1452000000001</v>
      </c>
      <c r="G10" s="124">
        <v>76.85262198072537</v>
      </c>
      <c r="H10" s="124">
        <v>411.2495</v>
      </c>
      <c r="I10" s="447">
        <v>29.960233423580018</v>
      </c>
      <c r="J10" s="533">
        <v>5659.617306120418</v>
      </c>
      <c r="K10" s="532"/>
    </row>
    <row r="11" spans="2:11" s="20" customFormat="1" ht="12.75" customHeight="1">
      <c r="B11" s="54">
        <v>1999</v>
      </c>
      <c r="C11" s="124">
        <v>4254.780359539047</v>
      </c>
      <c r="D11" s="124">
        <v>126.83120594398916</v>
      </c>
      <c r="E11" s="124">
        <v>527.7253265321467</v>
      </c>
      <c r="F11" s="124">
        <v>355.2007</v>
      </c>
      <c r="G11" s="124">
        <v>78.51509682077854</v>
      </c>
      <c r="H11" s="124">
        <v>427.33750000000003</v>
      </c>
      <c r="I11" s="447">
        <v>29.612666910545446</v>
      </c>
      <c r="J11" s="533">
        <v>5800.002855746507</v>
      </c>
      <c r="K11" s="532"/>
    </row>
    <row r="12" spans="2:16" s="20" customFormat="1" ht="12.75" customHeight="1">
      <c r="B12" s="54">
        <v>2000</v>
      </c>
      <c r="C12" s="124">
        <v>4300.856686155985</v>
      </c>
      <c r="D12" s="124">
        <v>104.67205966075467</v>
      </c>
      <c r="E12" s="124">
        <v>545.0470449557031</v>
      </c>
      <c r="F12" s="124">
        <v>376.9928850249082</v>
      </c>
      <c r="G12" s="124">
        <v>80.0924826697441</v>
      </c>
      <c r="H12" s="124">
        <v>459.5135</v>
      </c>
      <c r="I12" s="447">
        <v>28.98704718708322</v>
      </c>
      <c r="J12" s="533">
        <v>5896.161705654178</v>
      </c>
      <c r="K12" s="532"/>
      <c r="P12" s="537"/>
    </row>
    <row r="13" spans="2:11" s="20" customFormat="1" ht="13.5" customHeight="1">
      <c r="B13" s="54">
        <v>2001</v>
      </c>
      <c r="C13" s="124">
        <v>4387.3788534340165</v>
      </c>
      <c r="D13" s="124">
        <v>108.91900136330536</v>
      </c>
      <c r="E13" s="124">
        <v>544.186813217731</v>
      </c>
      <c r="F13" s="124">
        <v>379.2752803094415</v>
      </c>
      <c r="G13" s="124">
        <v>80.89515498490023</v>
      </c>
      <c r="H13" s="124">
        <v>455.49150000000003</v>
      </c>
      <c r="I13" s="447">
        <v>29.195587094903964</v>
      </c>
      <c r="J13" s="533">
        <v>5985.342190404299</v>
      </c>
      <c r="K13" s="532"/>
    </row>
    <row r="14" spans="2:11" s="20" customFormat="1" ht="12.75" customHeight="1">
      <c r="B14" s="54">
        <v>2002</v>
      </c>
      <c r="C14" s="124">
        <v>4463.501476952004</v>
      </c>
      <c r="D14" s="124">
        <v>110.54182437883776</v>
      </c>
      <c r="E14" s="124">
        <v>535.5738746950319</v>
      </c>
      <c r="F14" s="124">
        <v>371.8311026138046</v>
      </c>
      <c r="G14" s="124">
        <v>81.67139268915017</v>
      </c>
      <c r="H14" s="124">
        <v>447.44750000000005</v>
      </c>
      <c r="I14" s="447">
        <v>30.10901308779163</v>
      </c>
      <c r="J14" s="533">
        <v>6040.67618441662</v>
      </c>
      <c r="K14" s="532"/>
    </row>
    <row r="15" spans="1:11" s="20" customFormat="1" ht="12.75" customHeight="1">
      <c r="A15" s="19"/>
      <c r="B15" s="54">
        <v>2003</v>
      </c>
      <c r="C15" s="124">
        <v>4494.9430671775235</v>
      </c>
      <c r="D15" s="124">
        <v>114.09979176109505</v>
      </c>
      <c r="E15" s="124">
        <v>542.2856048928152</v>
      </c>
      <c r="F15" s="124">
        <v>367.9429475633534</v>
      </c>
      <c r="G15" s="124">
        <v>82.09006979555612</v>
      </c>
      <c r="H15" s="124">
        <v>465.54650000000004</v>
      </c>
      <c r="I15" s="447">
        <v>29.970021776784698</v>
      </c>
      <c r="J15" s="533">
        <v>6096.878002967128</v>
      </c>
      <c r="K15" s="532"/>
    </row>
    <row r="16" spans="1:11" s="20" customFormat="1" ht="12.75" customHeight="1">
      <c r="A16" s="19"/>
      <c r="B16" s="54">
        <v>2004</v>
      </c>
      <c r="C16" s="124">
        <v>4551.897948905752</v>
      </c>
      <c r="D16" s="124">
        <v>117.0701096643725</v>
      </c>
      <c r="E16" s="124">
        <v>543.3761824960219</v>
      </c>
      <c r="F16" s="124">
        <v>375.421</v>
      </c>
      <c r="G16" s="124">
        <v>85.34013743624409</v>
      </c>
      <c r="H16" s="124">
        <v>495.71150000000006</v>
      </c>
      <c r="I16" s="447">
        <v>29.618143971961665</v>
      </c>
      <c r="J16" s="533">
        <v>6198.435022474352</v>
      </c>
      <c r="K16" s="532"/>
    </row>
    <row r="17" spans="2:11" s="20" customFormat="1" ht="12.75" customHeight="1">
      <c r="B17" s="54">
        <v>2005</v>
      </c>
      <c r="C17" s="124">
        <v>4508.296368669483</v>
      </c>
      <c r="D17" s="124">
        <v>120.82613066490492</v>
      </c>
      <c r="E17" s="124">
        <v>542.1665398197158</v>
      </c>
      <c r="F17" s="124">
        <v>384.46600000000007</v>
      </c>
      <c r="G17" s="124">
        <v>86.08519745887872</v>
      </c>
      <c r="H17" s="124">
        <v>529.8985</v>
      </c>
      <c r="I17" s="447">
        <v>28.8903608040052</v>
      </c>
      <c r="J17" s="533">
        <v>6200.629097416988</v>
      </c>
      <c r="K17" s="532"/>
    </row>
    <row r="18" spans="1:11" s="19" customFormat="1" ht="12.75" customHeight="1">
      <c r="A18" s="24"/>
      <c r="B18" s="54">
        <v>2006</v>
      </c>
      <c r="C18" s="124">
        <v>4549.418913551448</v>
      </c>
      <c r="D18" s="124">
        <v>119.85102451313769</v>
      </c>
      <c r="E18" s="124">
        <v>539.9589271311742</v>
      </c>
      <c r="F18" s="124">
        <v>396.67600000000004</v>
      </c>
      <c r="G18" s="124">
        <v>87.85912816090782</v>
      </c>
      <c r="H18" s="124">
        <v>552.0195</v>
      </c>
      <c r="I18" s="447">
        <v>28.2088774707559</v>
      </c>
      <c r="J18" s="533">
        <v>6273.992370827425</v>
      </c>
      <c r="K18" s="532"/>
    </row>
    <row r="19" spans="1:11" s="19" customFormat="1" ht="12.75" customHeight="1">
      <c r="A19" s="20"/>
      <c r="B19" s="54">
        <v>2007</v>
      </c>
      <c r="C19" s="124">
        <v>4596.588930598071</v>
      </c>
      <c r="D19" s="124">
        <v>116.2463730122309</v>
      </c>
      <c r="E19" s="124">
        <v>550.6220191863621</v>
      </c>
      <c r="F19" s="124">
        <v>403.83000000000004</v>
      </c>
      <c r="G19" s="124">
        <v>89.97241998789852</v>
      </c>
      <c r="H19" s="124">
        <v>575.1460000000001</v>
      </c>
      <c r="I19" s="447">
        <v>27.9660812969169</v>
      </c>
      <c r="J19" s="533">
        <v>6360.371824081479</v>
      </c>
      <c r="K19" s="532"/>
    </row>
    <row r="20" spans="1:11" s="19" customFormat="1" ht="12.75" customHeight="1">
      <c r="A20" s="20"/>
      <c r="B20" s="54">
        <v>2008</v>
      </c>
      <c r="C20" s="124">
        <v>4602.442319059387</v>
      </c>
      <c r="D20" s="124">
        <v>120.5472165950099</v>
      </c>
      <c r="E20" s="124">
        <v>559.4116387284087</v>
      </c>
      <c r="F20" s="124">
        <v>419.58782500000007</v>
      </c>
      <c r="G20" s="124">
        <v>93.54354812448204</v>
      </c>
      <c r="H20" s="124">
        <v>563.411748707267</v>
      </c>
      <c r="I20" s="447">
        <v>31.8688773749607</v>
      </c>
      <c r="J20" s="533">
        <v>6390.813173589516</v>
      </c>
      <c r="K20" s="532"/>
    </row>
    <row r="21" spans="1:11" s="19" customFormat="1" ht="12.75" customHeight="1">
      <c r="A21" s="20"/>
      <c r="B21" s="54">
        <v>2009</v>
      </c>
      <c r="C21" s="124">
        <v>4675.174487463362</v>
      </c>
      <c r="D21" s="124">
        <v>118.34501907526933</v>
      </c>
      <c r="E21" s="124">
        <v>536.3139953989106</v>
      </c>
      <c r="F21" s="124">
        <v>412.01500000000004</v>
      </c>
      <c r="G21" s="124">
        <v>93.45798241195453</v>
      </c>
      <c r="H21" s="124">
        <v>524.435007347586</v>
      </c>
      <c r="I21" s="447">
        <v>26.6595075212392</v>
      </c>
      <c r="J21" s="533">
        <v>6386.400999218322</v>
      </c>
      <c r="K21" s="532"/>
    </row>
    <row r="22" spans="1:11" s="19" customFormat="1" ht="12.75" customHeight="1">
      <c r="A22" s="20"/>
      <c r="B22" s="54">
        <v>2010</v>
      </c>
      <c r="C22" s="124">
        <v>4625.640609852556</v>
      </c>
      <c r="D22" s="124">
        <v>119.43510887476812</v>
      </c>
      <c r="E22" s="124">
        <v>529.74113953938</v>
      </c>
      <c r="F22" s="124">
        <v>414.11799999999994</v>
      </c>
      <c r="G22" s="124">
        <v>96.12143266802344</v>
      </c>
      <c r="H22" s="124">
        <v>534.708505187598</v>
      </c>
      <c r="I22" s="447">
        <v>24.734701904423</v>
      </c>
      <c r="J22" s="533">
        <v>6344.499498026749</v>
      </c>
      <c r="K22" s="532"/>
    </row>
    <row r="23" spans="1:11" s="19" customFormat="1" ht="12.75" customHeight="1">
      <c r="A23" s="20"/>
      <c r="B23" s="54">
        <v>2011</v>
      </c>
      <c r="C23" s="124">
        <v>4592.895468153737</v>
      </c>
      <c r="D23" s="124">
        <v>122.8232436658405</v>
      </c>
      <c r="E23" s="124">
        <v>530.7543105017402</v>
      </c>
      <c r="F23" s="124">
        <v>422.51200000000006</v>
      </c>
      <c r="G23" s="124">
        <v>97.3460186098992</v>
      </c>
      <c r="H23" s="124">
        <v>576.832505914575</v>
      </c>
      <c r="I23" s="447">
        <v>22.4358894645507</v>
      </c>
      <c r="J23" s="533">
        <v>6365.599436310343</v>
      </c>
      <c r="K23" s="532"/>
    </row>
    <row r="24" spans="1:11" s="19" customFormat="1" ht="12.75" customHeight="1">
      <c r="A24" s="20"/>
      <c r="B24" s="54">
        <v>2012</v>
      </c>
      <c r="C24" s="124">
        <v>4498.287185500802</v>
      </c>
      <c r="D24" s="124">
        <v>122.88121162023123</v>
      </c>
      <c r="E24" s="124">
        <v>526.4956241274513</v>
      </c>
      <c r="F24" s="124">
        <v>428.07900000000006</v>
      </c>
      <c r="G24" s="124">
        <v>98.92246983318948</v>
      </c>
      <c r="H24" s="124">
        <v>570.133968862201</v>
      </c>
      <c r="I24" s="447">
        <v>20.7245939721202</v>
      </c>
      <c r="J24" s="533">
        <v>6265.524053915995</v>
      </c>
      <c r="K24" s="532"/>
    </row>
    <row r="25" spans="1:11" s="19" customFormat="1" ht="12.75" customHeight="1">
      <c r="A25" s="20"/>
      <c r="B25" s="54">
        <v>2013</v>
      </c>
      <c r="C25" s="124">
        <v>4549.487020731238</v>
      </c>
      <c r="D25" s="124">
        <v>122.36651215039869</v>
      </c>
      <c r="E25" s="124">
        <v>523.2902880761077</v>
      </c>
      <c r="F25" s="124">
        <v>433.7439999999999</v>
      </c>
      <c r="G25" s="124">
        <v>99.36466294826151</v>
      </c>
      <c r="H25" s="124">
        <v>579.5954015893</v>
      </c>
      <c r="I25" s="447">
        <v>21.041720136158</v>
      </c>
      <c r="J25" s="533">
        <v>6328.889605631464</v>
      </c>
      <c r="K25" s="532"/>
    </row>
    <row r="26" spans="1:11" s="19" customFormat="1" ht="12.75" customHeight="1">
      <c r="A26" s="20"/>
      <c r="B26" s="54">
        <v>2014</v>
      </c>
      <c r="C26" s="124">
        <v>4615.01681582717</v>
      </c>
      <c r="D26" s="124">
        <v>125.26082196549956</v>
      </c>
      <c r="E26" s="124">
        <v>517.7241313719443</v>
      </c>
      <c r="F26" s="124">
        <v>440.98699999999997</v>
      </c>
      <c r="G26" s="124">
        <v>100.67064467596639</v>
      </c>
      <c r="H26" s="124">
        <v>609.555033702514</v>
      </c>
      <c r="I26" s="447">
        <v>21.5960056366996</v>
      </c>
      <c r="J26" s="533">
        <v>6430.8104531797935</v>
      </c>
      <c r="K26" s="532"/>
    </row>
    <row r="27" spans="1:11" s="19" customFormat="1" ht="12.75" customHeight="1">
      <c r="A27" s="20"/>
      <c r="B27" s="54">
        <v>2015</v>
      </c>
      <c r="C27" s="124">
        <v>4711.786887842932</v>
      </c>
      <c r="D27" s="124">
        <v>125.10289734645143</v>
      </c>
      <c r="E27" s="124">
        <v>527.7115340561198</v>
      </c>
      <c r="F27" s="124">
        <v>448.253</v>
      </c>
      <c r="G27" s="124">
        <v>102.14946262726792</v>
      </c>
      <c r="H27" s="124">
        <v>639.601966172846</v>
      </c>
      <c r="I27" s="447">
        <v>21.6587392469416</v>
      </c>
      <c r="J27" s="533">
        <v>6576.264487292558</v>
      </c>
      <c r="K27" s="532"/>
    </row>
    <row r="28" spans="1:11" s="19" customFormat="1" ht="12.75" customHeight="1">
      <c r="A28" s="20"/>
      <c r="B28" s="54">
        <v>2016</v>
      </c>
      <c r="C28" s="124">
        <v>4826.69067156582</v>
      </c>
      <c r="D28" s="124">
        <v>126.3827751576292</v>
      </c>
      <c r="E28" s="124">
        <v>526.9346175086439</v>
      </c>
      <c r="F28" s="124">
        <v>454.614265</v>
      </c>
      <c r="G28" s="124">
        <v>105.4138695717889</v>
      </c>
      <c r="H28" s="124">
        <v>713.488868917917</v>
      </c>
      <c r="I28" s="447">
        <v>25.0472784197707</v>
      </c>
      <c r="J28" s="533">
        <v>6778.57234614157</v>
      </c>
      <c r="K28" s="532"/>
    </row>
    <row r="29" spans="1:11" s="19" customFormat="1" ht="12.75" customHeight="1">
      <c r="A29" s="20"/>
      <c r="B29" s="54">
        <v>2017</v>
      </c>
      <c r="C29" s="124">
        <v>4901.416959384074</v>
      </c>
      <c r="D29" s="483">
        <v>123.3</v>
      </c>
      <c r="E29" s="124">
        <v>510.4184780971248</v>
      </c>
      <c r="F29" s="124">
        <v>469.73400000000004</v>
      </c>
      <c r="G29" s="124">
        <v>107.17376713665031</v>
      </c>
      <c r="H29" s="124">
        <v>776.91</v>
      </c>
      <c r="I29" s="536">
        <v>24.328</v>
      </c>
      <c r="J29" s="534">
        <v>6913.28120461785</v>
      </c>
      <c r="K29" s="532"/>
    </row>
    <row r="30" spans="1:10" ht="22.5" customHeight="1">
      <c r="A30" s="35"/>
      <c r="B30" s="150" t="s">
        <v>143</v>
      </c>
      <c r="C30" s="125">
        <v>0.2553582932743794</v>
      </c>
      <c r="D30" s="125">
        <v>0.09459023246838139</v>
      </c>
      <c r="E30" s="125">
        <v>-0.008373322992785592</v>
      </c>
      <c r="F30" s="125">
        <v>0.3698035726627176</v>
      </c>
      <c r="G30" s="125">
        <v>0.45381412335038274</v>
      </c>
      <c r="H30" s="125">
        <v>1.2331224507980671</v>
      </c>
      <c r="I30" s="484">
        <v>-0.2117653637802731</v>
      </c>
      <c r="J30" s="484">
        <v>0.29773826018643446</v>
      </c>
    </row>
    <row r="31" spans="1:10" s="24" customFormat="1" ht="22.5" customHeight="1">
      <c r="A31" s="35"/>
      <c r="B31" s="128" t="s">
        <v>52</v>
      </c>
      <c r="C31" s="126">
        <v>0.010390933964714133</v>
      </c>
      <c r="D31" s="126">
        <v>0.004116635447547923</v>
      </c>
      <c r="E31" s="126">
        <v>-0.0003821349764888682</v>
      </c>
      <c r="F31" s="126">
        <v>0.01440583966511011</v>
      </c>
      <c r="G31" s="126">
        <v>0.017154131433829933</v>
      </c>
      <c r="H31" s="126">
        <v>0.037193200009087546</v>
      </c>
      <c r="I31" s="485">
        <v>-0.010758053360684694</v>
      </c>
      <c r="J31" s="485">
        <v>0.01191694536513399</v>
      </c>
    </row>
    <row r="32" spans="1:10" ht="22.5" customHeight="1">
      <c r="A32" s="35"/>
      <c r="B32" s="150" t="s">
        <v>144</v>
      </c>
      <c r="C32" s="125">
        <v>0.13963735996161675</v>
      </c>
      <c r="D32" s="125">
        <v>0.17796478257539827</v>
      </c>
      <c r="E32" s="125">
        <v>-0.06353317053832042</v>
      </c>
      <c r="F32" s="125">
        <v>0.2460022951599321</v>
      </c>
      <c r="G32" s="125">
        <v>0.3381251718538185</v>
      </c>
      <c r="H32" s="125">
        <v>0.690722905855867</v>
      </c>
      <c r="I32" s="484">
        <v>-0.1607285887732407</v>
      </c>
      <c r="J32" s="484">
        <v>0.1725053602224469</v>
      </c>
    </row>
    <row r="33" spans="1:10" s="24" customFormat="1" ht="22.5" customHeight="1">
      <c r="A33" s="35"/>
      <c r="B33" s="128" t="s">
        <v>52</v>
      </c>
      <c r="C33" s="126">
        <v>0.007718464750137821</v>
      </c>
      <c r="D33" s="126">
        <v>0.00968116151137366</v>
      </c>
      <c r="E33" s="126">
        <v>-0.0038538007063686486</v>
      </c>
      <c r="F33" s="126">
        <v>0.013021716143460482</v>
      </c>
      <c r="G33" s="126">
        <v>0.017281120816115214</v>
      </c>
      <c r="H33" s="126">
        <v>0.03137363578892982</v>
      </c>
      <c r="I33" s="485">
        <v>-0.010254188973092382</v>
      </c>
      <c r="J33" s="485">
        <v>0.009405295162274063</v>
      </c>
    </row>
    <row r="34" spans="2:10" ht="22.5" customHeight="1">
      <c r="B34" s="149" t="s">
        <v>145</v>
      </c>
      <c r="C34" s="127">
        <v>0.015481888710720426</v>
      </c>
      <c r="D34" s="127">
        <v>-0.024392367977236207</v>
      </c>
      <c r="E34" s="127">
        <v>-0.03134381166606148</v>
      </c>
      <c r="F34" s="127">
        <v>0.033258382246320606</v>
      </c>
      <c r="G34" s="127">
        <v>0.016695123440686244</v>
      </c>
      <c r="H34" s="127">
        <v>0.088888746334989</v>
      </c>
      <c r="I34" s="486">
        <v>-0.02871682933835029</v>
      </c>
      <c r="J34" s="486">
        <v>0.019872747770104837</v>
      </c>
    </row>
    <row r="35" spans="1:10" s="35" customFormat="1" ht="12.75">
      <c r="A35" s="18"/>
      <c r="B35"/>
      <c r="C35"/>
      <c r="D35"/>
      <c r="E35"/>
      <c r="F35"/>
      <c r="G35"/>
      <c r="H35"/>
      <c r="I35"/>
      <c r="J35"/>
    </row>
    <row r="36" spans="1:10" ht="12" customHeight="1">
      <c r="A36" s="18"/>
      <c r="B36" s="590" t="s">
        <v>53</v>
      </c>
      <c r="C36" s="590"/>
      <c r="D36" s="590"/>
      <c r="E36" s="590"/>
      <c r="F36" s="590"/>
      <c r="G36" s="590"/>
      <c r="H36" s="590"/>
      <c r="I36" s="590"/>
      <c r="J36" s="590"/>
    </row>
    <row r="37" spans="1:10" s="18" customFormat="1" ht="19.5" customHeight="1">
      <c r="A37"/>
      <c r="B37" s="591" t="s">
        <v>42</v>
      </c>
      <c r="C37" s="591"/>
      <c r="D37" s="591"/>
      <c r="E37" s="591"/>
      <c r="F37" s="591"/>
      <c r="G37" s="591"/>
      <c r="H37" s="591"/>
      <c r="I37" s="591"/>
      <c r="J37" s="591"/>
    </row>
    <row r="38" spans="1:10" s="18" customFormat="1" ht="19.5" customHeight="1">
      <c r="A38"/>
      <c r="B38" s="26"/>
      <c r="C38" s="586" t="s">
        <v>79</v>
      </c>
      <c r="D38" s="586" t="s">
        <v>9</v>
      </c>
      <c r="E38" s="586" t="s">
        <v>2</v>
      </c>
      <c r="F38" s="586" t="s">
        <v>80</v>
      </c>
      <c r="G38" s="586" t="s">
        <v>1</v>
      </c>
      <c r="H38" s="586" t="s">
        <v>49</v>
      </c>
      <c r="I38" s="586" t="s">
        <v>48</v>
      </c>
      <c r="J38" s="25"/>
    </row>
    <row r="39" spans="1:10" s="18" customFormat="1" ht="17.25" customHeight="1">
      <c r="A39"/>
      <c r="B39" s="26"/>
      <c r="C39" s="587"/>
      <c r="D39" s="587"/>
      <c r="E39" s="587"/>
      <c r="F39" s="587"/>
      <c r="G39" s="587"/>
      <c r="H39" s="587"/>
      <c r="I39" s="587"/>
      <c r="J39" s="507"/>
    </row>
    <row r="40" spans="1:10" s="18" customFormat="1" ht="12.75" customHeight="1">
      <c r="A40"/>
      <c r="B40" s="92">
        <v>1995</v>
      </c>
      <c r="C40" s="129">
        <v>73.29204495681051</v>
      </c>
      <c r="D40" s="129">
        <v>2.114532645066177</v>
      </c>
      <c r="E40" s="129">
        <v>9.66231235065041</v>
      </c>
      <c r="F40" s="129">
        <v>6.437193850911986</v>
      </c>
      <c r="G40" s="129">
        <v>1.3838292273774926</v>
      </c>
      <c r="H40" s="129">
        <v>6.53071993704035</v>
      </c>
      <c r="I40" s="130">
        <v>0.579367032143083</v>
      </c>
      <c r="J40" s="25"/>
    </row>
    <row r="41" spans="1:10" s="18" customFormat="1" ht="12.75" customHeight="1">
      <c r="A41"/>
      <c r="B41" s="54">
        <v>1996</v>
      </c>
      <c r="C41" s="121">
        <v>73.16987717770367</v>
      </c>
      <c r="D41" s="121">
        <v>2.1089564094769027</v>
      </c>
      <c r="E41" s="121">
        <v>9.576119643660103</v>
      </c>
      <c r="F41" s="121">
        <v>6.413838853702801</v>
      </c>
      <c r="G41" s="121">
        <v>1.3809760954517696</v>
      </c>
      <c r="H41" s="121">
        <v>6.7862233958248614</v>
      </c>
      <c r="I41" s="131">
        <v>0.5640084241799108</v>
      </c>
      <c r="J41" s="19"/>
    </row>
    <row r="42" spans="1:10" s="18" customFormat="1" ht="12.75" customHeight="1">
      <c r="A42" s="20"/>
      <c r="B42" s="54">
        <v>1997</v>
      </c>
      <c r="C42" s="121">
        <v>73.1265440712928</v>
      </c>
      <c r="D42" s="121">
        <v>2.1433131309468676</v>
      </c>
      <c r="E42" s="121">
        <v>9.440742527962726</v>
      </c>
      <c r="F42" s="121">
        <v>6.288718726540949</v>
      </c>
      <c r="G42" s="121">
        <v>1.3673048598339197</v>
      </c>
      <c r="H42" s="121">
        <v>7.085739519231369</v>
      </c>
      <c r="I42" s="131">
        <v>0.5476371641913781</v>
      </c>
      <c r="J42" s="19"/>
    </row>
    <row r="43" spans="1:10" ht="12.75" customHeight="1">
      <c r="A43" s="20"/>
      <c r="B43" s="54">
        <v>1998</v>
      </c>
      <c r="C43" s="121">
        <v>73.23785044723128</v>
      </c>
      <c r="D43" s="121">
        <v>2.171037521192719</v>
      </c>
      <c r="E43" s="121">
        <v>9.286056785745672</v>
      </c>
      <c r="F43" s="121">
        <v>6.151391183702637</v>
      </c>
      <c r="G43" s="121">
        <v>1.3579119898728045</v>
      </c>
      <c r="H43" s="121">
        <v>7.266383533658131</v>
      </c>
      <c r="I43" s="131">
        <v>0.5293685385967783</v>
      </c>
      <c r="J43" s="19"/>
    </row>
    <row r="44" spans="1:10" ht="12.75" customHeight="1">
      <c r="A44" s="19"/>
      <c r="B44" s="54">
        <v>1999</v>
      </c>
      <c r="C44" s="121">
        <v>73.35824594161208</v>
      </c>
      <c r="D44" s="121">
        <v>2.1867438533815164</v>
      </c>
      <c r="E44" s="121">
        <v>9.098708046484646</v>
      </c>
      <c r="F44" s="121">
        <v>6.124146984653215</v>
      </c>
      <c r="G44" s="121">
        <v>1.3537078993502154</v>
      </c>
      <c r="H44" s="121">
        <v>7.367884303308646</v>
      </c>
      <c r="I44" s="131">
        <v>0.5105629712096764</v>
      </c>
      <c r="J44" s="19"/>
    </row>
    <row r="45" spans="1:10" ht="12.75" customHeight="1">
      <c r="A45" s="19"/>
      <c r="B45" s="54">
        <v>2000</v>
      </c>
      <c r="C45" s="121">
        <v>72.94332992990404</v>
      </c>
      <c r="D45" s="121">
        <v>1.775257614803516</v>
      </c>
      <c r="E45" s="121">
        <v>9.244099333860285</v>
      </c>
      <c r="F45" s="121">
        <v>6.393869500956656</v>
      </c>
      <c r="G45" s="121">
        <v>1.358383413957909</v>
      </c>
      <c r="H45" s="121">
        <v>7.7934344907695685</v>
      </c>
      <c r="I45" s="131">
        <v>0.4916257157480235</v>
      </c>
      <c r="J45" s="19"/>
    </row>
    <row r="46" spans="1:10" ht="12.75" customHeight="1">
      <c r="A46" s="20"/>
      <c r="B46" s="54">
        <v>2001</v>
      </c>
      <c r="C46" s="121">
        <v>73.30205548594803</v>
      </c>
      <c r="D46" s="121">
        <v>1.819762310965684</v>
      </c>
      <c r="E46" s="121">
        <v>9.091991667413291</v>
      </c>
      <c r="F46" s="121">
        <v>6.3367351146187705</v>
      </c>
      <c r="G46" s="121">
        <v>1.3515543875601859</v>
      </c>
      <c r="H46" s="121">
        <v>7.61011627255404</v>
      </c>
      <c r="I46" s="131">
        <v>0.4877847609399899</v>
      </c>
      <c r="J46" s="22"/>
    </row>
    <row r="47" spans="1:10" ht="12.75" customHeight="1">
      <c r="A47" s="20"/>
      <c r="B47" s="54">
        <v>2002</v>
      </c>
      <c r="C47" s="121">
        <v>73.89075892640432</v>
      </c>
      <c r="D47" s="121">
        <v>1.829957789560166</v>
      </c>
      <c r="E47" s="121">
        <v>8.866124558649142</v>
      </c>
      <c r="F47" s="121">
        <v>6.155454973286476</v>
      </c>
      <c r="G47" s="121">
        <v>1.35202401512336</v>
      </c>
      <c r="H47" s="121">
        <v>7.407241943448296</v>
      </c>
      <c r="I47" s="131">
        <v>0.49843779352823253</v>
      </c>
      <c r="J47" s="22"/>
    </row>
    <row r="48" spans="2:10" s="20" customFormat="1" ht="12.75" customHeight="1">
      <c r="B48" s="54">
        <v>2003</v>
      </c>
      <c r="C48" s="121">
        <v>73.72532409193687</v>
      </c>
      <c r="D48" s="121">
        <v>1.8714462009173687</v>
      </c>
      <c r="E48" s="121">
        <v>8.894480168848787</v>
      </c>
      <c r="F48" s="121">
        <v>6.034940298695316</v>
      </c>
      <c r="G48" s="121">
        <v>1.3464279546942859</v>
      </c>
      <c r="H48" s="121">
        <v>7.635817868972211</v>
      </c>
      <c r="I48" s="131">
        <v>0.4915634159351619</v>
      </c>
      <c r="J48" s="32"/>
    </row>
    <row r="49" spans="1:10" s="20" customFormat="1" ht="12.75" customHeight="1">
      <c r="A49"/>
      <c r="B49" s="54">
        <v>2004</v>
      </c>
      <c r="C49" s="121">
        <v>73.43624531678451</v>
      </c>
      <c r="D49" s="121">
        <v>1.888704313909857</v>
      </c>
      <c r="E49" s="121">
        <v>8.76634473904853</v>
      </c>
      <c r="F49" s="121">
        <v>6.056706227278249</v>
      </c>
      <c r="G49" s="121">
        <v>1.3768013559360854</v>
      </c>
      <c r="H49" s="121">
        <v>7.997365435027455</v>
      </c>
      <c r="I49" s="131">
        <v>0.47783261201532135</v>
      </c>
      <c r="J49" s="32"/>
    </row>
    <row r="50" spans="1:10" s="19" customFormat="1" ht="12.75" customHeight="1">
      <c r="A50"/>
      <c r="B50" s="54">
        <v>2005</v>
      </c>
      <c r="C50" s="121">
        <v>72.70708016622886</v>
      </c>
      <c r="D50" s="121">
        <v>1.9486108387814678</v>
      </c>
      <c r="E50" s="121">
        <v>8.74373440665186</v>
      </c>
      <c r="F50" s="121">
        <v>6.200435374535756</v>
      </c>
      <c r="G50" s="121">
        <v>1.388330056618601</v>
      </c>
      <c r="H50" s="121">
        <v>8.545882872122462</v>
      </c>
      <c r="I50" s="131">
        <v>0.4659262850609809</v>
      </c>
      <c r="J50" s="21"/>
    </row>
    <row r="51" spans="1:10" s="19" customFormat="1" ht="12.75" customHeight="1">
      <c r="A51"/>
      <c r="B51" s="54">
        <v>2006</v>
      </c>
      <c r="C51" s="121">
        <v>72.51234373036802</v>
      </c>
      <c r="D51" s="121">
        <v>1.910283236403291</v>
      </c>
      <c r="E51" s="121">
        <v>8.606305127845788</v>
      </c>
      <c r="F51" s="121">
        <v>6.322545144371697</v>
      </c>
      <c r="G51" s="121">
        <v>1.4003703378638443</v>
      </c>
      <c r="H51" s="121">
        <v>8.798536360464187</v>
      </c>
      <c r="I51" s="131">
        <v>0.4496160626831567</v>
      </c>
      <c r="J51" s="21"/>
    </row>
    <row r="52" spans="1:10" s="19" customFormat="1" ht="12.75" customHeight="1">
      <c r="A52"/>
      <c r="B52" s="54">
        <v>2007</v>
      </c>
      <c r="C52" s="121">
        <v>72.26918579185234</v>
      </c>
      <c r="D52" s="121">
        <v>1.82766630988619</v>
      </c>
      <c r="E52" s="121">
        <v>8.657072800392124</v>
      </c>
      <c r="F52" s="121">
        <v>6.3491571117120715</v>
      </c>
      <c r="G52" s="121">
        <v>1.4145779912936414</v>
      </c>
      <c r="H52" s="121">
        <v>9.042647441182556</v>
      </c>
      <c r="I52" s="131">
        <v>0.4396925536810982</v>
      </c>
      <c r="J52" s="21"/>
    </row>
    <row r="53" spans="2:10" ht="15" customHeight="1">
      <c r="B53" s="54">
        <v>2008</v>
      </c>
      <c r="C53" s="121">
        <v>72.01653676998887</v>
      </c>
      <c r="D53" s="121">
        <v>1.8862578723655974</v>
      </c>
      <c r="E53" s="121">
        <v>8.753371809400038</v>
      </c>
      <c r="F53" s="121">
        <v>6.565484134851199</v>
      </c>
      <c r="G53" s="121">
        <v>1.46371902265986</v>
      </c>
      <c r="H53" s="121">
        <v>8.815963374357516</v>
      </c>
      <c r="I53" s="131">
        <v>0.4986670163768998</v>
      </c>
      <c r="J53" s="87"/>
    </row>
    <row r="54" spans="2:10" ht="15" customHeight="1">
      <c r="B54" s="54">
        <v>2009</v>
      </c>
      <c r="C54" s="121">
        <v>73.2051508828774</v>
      </c>
      <c r="D54" s="121">
        <v>1.8530784253878583</v>
      </c>
      <c r="E54" s="121">
        <v>8.397750085917782</v>
      </c>
      <c r="F54" s="121">
        <v>6.451442683452378</v>
      </c>
      <c r="G54" s="121">
        <v>1.4633904514200335</v>
      </c>
      <c r="H54" s="121">
        <v>8.211745667266673</v>
      </c>
      <c r="I54" s="131">
        <v>0.41744180367788136</v>
      </c>
      <c r="J54" s="132"/>
    </row>
    <row r="55" spans="2:10" ht="15" customHeight="1">
      <c r="B55" s="54">
        <v>2010</v>
      </c>
      <c r="C55" s="121">
        <v>72.90788834156598</v>
      </c>
      <c r="D55" s="121">
        <v>1.8824985156341258</v>
      </c>
      <c r="E55" s="121">
        <v>8.349612758329302</v>
      </c>
      <c r="F55" s="121">
        <v>6.527197301044755</v>
      </c>
      <c r="G55" s="121">
        <v>1.5150357045172578</v>
      </c>
      <c r="H55" s="121">
        <v>8.427906808943742</v>
      </c>
      <c r="I55" s="131">
        <v>0.3898605699648322</v>
      </c>
      <c r="J55" s="132"/>
    </row>
    <row r="56" spans="2:9" ht="15" customHeight="1">
      <c r="B56" s="78">
        <v>2011</v>
      </c>
      <c r="C56" s="158">
        <v>72.15181404527539</v>
      </c>
      <c r="D56" s="121">
        <v>1.9294843304974254</v>
      </c>
      <c r="E56" s="121">
        <v>8.337852794730333</v>
      </c>
      <c r="F56" s="159">
        <v>6.6374267534009075</v>
      </c>
      <c r="G56" s="121">
        <v>1.529251401755234</v>
      </c>
      <c r="H56" s="121">
        <v>9.061715423440486</v>
      </c>
      <c r="I56" s="131">
        <v>0.35245525090022145</v>
      </c>
    </row>
    <row r="57" spans="2:10" ht="12.75" customHeight="1">
      <c r="B57" s="78">
        <v>2012</v>
      </c>
      <c r="C57" s="158">
        <v>71.79426887188059</v>
      </c>
      <c r="D57" s="121">
        <v>1.9612279924682379</v>
      </c>
      <c r="E57" s="121">
        <v>8.403058061813487</v>
      </c>
      <c r="F57" s="159">
        <v>6.832293616883456</v>
      </c>
      <c r="G57" s="121">
        <v>1.5788379229246159</v>
      </c>
      <c r="H57" s="121">
        <v>9.099541617845412</v>
      </c>
      <c r="I57" s="131">
        <v>0.3307719161842047</v>
      </c>
      <c r="J57" s="19"/>
    </row>
    <row r="58" spans="2:10" ht="12.75" customHeight="1">
      <c r="B58" s="78">
        <v>2013</v>
      </c>
      <c r="C58" s="158">
        <v>71.88444267827158</v>
      </c>
      <c r="D58" s="121">
        <v>1.9334594182448155</v>
      </c>
      <c r="E58" s="121">
        <v>8.268279598533091</v>
      </c>
      <c r="F58" s="159">
        <v>6.853398100261589</v>
      </c>
      <c r="G58" s="121">
        <v>1.5700173196234384</v>
      </c>
      <c r="H58" s="121">
        <v>9.157931923375221</v>
      </c>
      <c r="I58" s="131">
        <v>0.33247096169026263</v>
      </c>
      <c r="J58" s="19"/>
    </row>
    <row r="59" spans="2:10" ht="12.75" customHeight="1">
      <c r="B59" s="78">
        <v>2014</v>
      </c>
      <c r="C59" s="158">
        <v>71.76415553571817</v>
      </c>
      <c r="D59" s="121">
        <v>1.9478232623628768</v>
      </c>
      <c r="E59" s="121">
        <v>8.05068249392966</v>
      </c>
      <c r="F59" s="159">
        <v>6.8574093920300285</v>
      </c>
      <c r="G59" s="121">
        <v>1.565442573823468</v>
      </c>
      <c r="H59" s="121">
        <v>9.478665840650178</v>
      </c>
      <c r="I59" s="131">
        <v>0.33582090148561583</v>
      </c>
      <c r="J59" s="19"/>
    </row>
    <row r="60" spans="2:9" ht="11.25" customHeight="1">
      <c r="B60" s="78">
        <v>2015</v>
      </c>
      <c r="C60" s="158">
        <v>71.64837875586676</v>
      </c>
      <c r="D60" s="121">
        <v>1.9023398099056104</v>
      </c>
      <c r="E60" s="121">
        <v>8.024487687133432</v>
      </c>
      <c r="F60" s="159">
        <v>6.816225242554763</v>
      </c>
      <c r="G60" s="121">
        <v>1.553305266609232</v>
      </c>
      <c r="H60" s="121">
        <v>9.725916094292756</v>
      </c>
      <c r="I60" s="131">
        <v>0.3293471436374434</v>
      </c>
    </row>
    <row r="61" spans="2:9" ht="11.25" customHeight="1">
      <c r="B61" s="78">
        <v>2016</v>
      </c>
      <c r="C61" s="158">
        <v>71.20512144881391</v>
      </c>
      <c r="D61" s="121">
        <v>1.8644453242365628</v>
      </c>
      <c r="E61" s="121">
        <v>7.773533874114072</v>
      </c>
      <c r="F61" s="159">
        <v>6.70663735349481</v>
      </c>
      <c r="G61" s="121">
        <v>1.5551042931892805</v>
      </c>
      <c r="H61" s="121">
        <v>10.525651014465337</v>
      </c>
      <c r="I61" s="131">
        <v>0.3695066916860134</v>
      </c>
    </row>
    <row r="62" spans="2:10" ht="11.25" customHeight="1">
      <c r="B62" s="397">
        <v>2017</v>
      </c>
      <c r="C62" s="398">
        <v>70.89856197531913</v>
      </c>
      <c r="D62" s="448">
        <v>1.7835235736923236</v>
      </c>
      <c r="E62" s="448">
        <v>7.3831580546178515</v>
      </c>
      <c r="F62" s="449">
        <v>6.794660684223763</v>
      </c>
      <c r="G62" s="448">
        <v>1.5502590443603204</v>
      </c>
      <c r="H62" s="448">
        <v>11.237934303627762</v>
      </c>
      <c r="I62" s="399">
        <v>0.35190236415885523</v>
      </c>
      <c r="J62" s="117"/>
    </row>
    <row r="63" spans="2:9" ht="11.25" customHeight="1">
      <c r="B63" s="451" t="s">
        <v>139</v>
      </c>
      <c r="C63" s="88"/>
      <c r="D63" s="89"/>
      <c r="E63" s="89"/>
      <c r="F63" s="89"/>
      <c r="G63" s="89"/>
      <c r="H63" s="89"/>
      <c r="I63" s="89"/>
    </row>
    <row r="64" spans="2:9" ht="11.25" customHeight="1">
      <c r="B64" s="99" t="s">
        <v>5</v>
      </c>
      <c r="C64" s="89"/>
      <c r="D64" s="87"/>
      <c r="E64" s="87"/>
      <c r="F64" s="87"/>
      <c r="G64" s="87"/>
      <c r="H64" s="87"/>
      <c r="I64" s="87"/>
    </row>
    <row r="65" spans="2:9" ht="11.25" customHeight="1">
      <c r="B65" s="157" t="s">
        <v>137</v>
      </c>
      <c r="C65" s="87"/>
      <c r="D65" s="19"/>
      <c r="E65" s="19"/>
      <c r="F65" s="19"/>
      <c r="G65" s="19"/>
      <c r="H65" s="19"/>
      <c r="I65" s="19"/>
    </row>
    <row r="66" spans="2:3" ht="11.25" customHeight="1">
      <c r="B66" s="450" t="s">
        <v>138</v>
      </c>
      <c r="C66" s="19"/>
    </row>
    <row r="67" ht="11.25" customHeight="1"/>
  </sheetData>
  <sheetProtection/>
  <mergeCells count="20">
    <mergeCell ref="C38:C39"/>
    <mergeCell ref="D38:D39"/>
    <mergeCell ref="E38:E39"/>
    <mergeCell ref="B36:J36"/>
    <mergeCell ref="F38:F39"/>
    <mergeCell ref="G38:G39"/>
    <mergeCell ref="H38:H39"/>
    <mergeCell ref="I38:I39"/>
    <mergeCell ref="B37:J37"/>
    <mergeCell ref="B2:J2"/>
    <mergeCell ref="B3:J3"/>
    <mergeCell ref="B4:J4"/>
    <mergeCell ref="H5:H6"/>
    <mergeCell ref="J5:J6"/>
    <mergeCell ref="E5:E6"/>
    <mergeCell ref="G5:G6"/>
    <mergeCell ref="I5:I6"/>
    <mergeCell ref="D5:D6"/>
    <mergeCell ref="C5:C6"/>
    <mergeCell ref="F5:F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H49"/>
  <sheetViews>
    <sheetView zoomScalePageLayoutView="0" workbookViewId="0" topLeftCell="A16">
      <selection activeCell="I47" sqref="I47"/>
    </sheetView>
  </sheetViews>
  <sheetFormatPr defaultColWidth="9.140625" defaultRowHeight="12.75"/>
  <cols>
    <col min="1" max="1" width="3.140625" style="0" customWidth="1"/>
    <col min="2" max="2" width="4.00390625" style="0" customWidth="1"/>
    <col min="3" max="4" width="10.7109375" style="0" customWidth="1"/>
    <col min="5" max="5" width="10.7109375" style="20" customWidth="1"/>
    <col min="6" max="6" width="10.7109375" style="0" customWidth="1"/>
    <col min="7" max="7" width="5.57421875" style="0" customWidth="1"/>
  </cols>
  <sheetData>
    <row r="1" spans="2:7" ht="15.75">
      <c r="B1" s="473"/>
      <c r="C1" s="474"/>
      <c r="D1" s="474"/>
      <c r="E1" s="557"/>
      <c r="G1" s="16" t="s">
        <v>85</v>
      </c>
    </row>
    <row r="2" spans="2:7" ht="12.75">
      <c r="B2" s="583" t="s">
        <v>81</v>
      </c>
      <c r="C2" s="583"/>
      <c r="D2" s="583"/>
      <c r="E2" s="583"/>
      <c r="F2" s="583"/>
      <c r="G2" s="583"/>
    </row>
    <row r="3" spans="2:7" ht="12.75" customHeight="1">
      <c r="B3" s="583"/>
      <c r="C3" s="583"/>
      <c r="D3" s="583"/>
      <c r="E3" s="583"/>
      <c r="F3" s="583"/>
      <c r="G3" s="583"/>
    </row>
    <row r="4" spans="2:7" ht="12.75">
      <c r="B4" s="592">
        <v>2017</v>
      </c>
      <c r="C4" s="592"/>
      <c r="D4" s="592"/>
      <c r="E4" s="592"/>
      <c r="F4" s="592"/>
      <c r="G4" s="592"/>
    </row>
    <row r="5" spans="2:6" ht="12.75">
      <c r="B5" s="593" t="s">
        <v>3</v>
      </c>
      <c r="C5" s="593"/>
      <c r="D5" s="593"/>
      <c r="E5" s="593"/>
      <c r="F5" s="593"/>
    </row>
    <row r="6" spans="2:7" ht="22.5">
      <c r="B6" s="13"/>
      <c r="C6" s="475" t="s">
        <v>45</v>
      </c>
      <c r="D6" s="151" t="s">
        <v>4</v>
      </c>
      <c r="E6" s="548" t="s">
        <v>47</v>
      </c>
      <c r="F6" s="476" t="s">
        <v>1</v>
      </c>
      <c r="G6" s="477"/>
    </row>
    <row r="7" spans="2:8" ht="12.75">
      <c r="B7" s="135" t="s">
        <v>113</v>
      </c>
      <c r="C7" s="446">
        <v>81.84288957340645</v>
      </c>
      <c r="D7" s="446">
        <v>8.522866649643008</v>
      </c>
      <c r="E7" s="558">
        <v>7.844677441008165</v>
      </c>
      <c r="F7" s="446">
        <v>1.7895663359423903</v>
      </c>
      <c r="G7" s="135" t="s">
        <v>113</v>
      </c>
      <c r="H7" s="117"/>
    </row>
    <row r="8" spans="2:8" ht="12.75">
      <c r="B8" s="15" t="s">
        <v>29</v>
      </c>
      <c r="C8" s="118">
        <v>81.09742946433273</v>
      </c>
      <c r="D8" s="119">
        <v>10.133494462513696</v>
      </c>
      <c r="E8" s="549">
        <v>7.710095056703488</v>
      </c>
      <c r="F8" s="118">
        <v>1.0589810164501037</v>
      </c>
      <c r="G8" s="15" t="s">
        <v>29</v>
      </c>
      <c r="H8" s="117"/>
    </row>
    <row r="9" spans="2:8" ht="12.75">
      <c r="B9" s="78" t="s">
        <v>12</v>
      </c>
      <c r="C9" s="120">
        <v>81.53976354913036</v>
      </c>
      <c r="D9" s="120">
        <v>14.92003333583729</v>
      </c>
      <c r="E9" s="550">
        <v>2.0274166401583122</v>
      </c>
      <c r="F9" s="120">
        <v>1.512786474874055</v>
      </c>
      <c r="G9" s="78" t="s">
        <v>12</v>
      </c>
      <c r="H9" s="117"/>
    </row>
    <row r="10" spans="2:8" ht="12.75">
      <c r="B10" s="15" t="s">
        <v>14</v>
      </c>
      <c r="C10" s="122">
        <v>66.15442755909058</v>
      </c>
      <c r="D10" s="119">
        <v>15.739568352751462</v>
      </c>
      <c r="E10" s="551">
        <v>8.369099820228568</v>
      </c>
      <c r="F10" s="119">
        <v>9.736904267929392</v>
      </c>
      <c r="G10" s="15" t="s">
        <v>14</v>
      </c>
      <c r="H10" s="117"/>
    </row>
    <row r="11" spans="2:8" ht="12.75">
      <c r="B11" s="78" t="s">
        <v>25</v>
      </c>
      <c r="C11" s="160">
        <v>81.179444887585</v>
      </c>
      <c r="D11" s="120">
        <v>9.869266024037747</v>
      </c>
      <c r="E11" s="550">
        <v>8.4902726891722</v>
      </c>
      <c r="F11" s="120">
        <v>0.4610163992050509</v>
      </c>
      <c r="G11" s="78" t="s">
        <v>25</v>
      </c>
      <c r="H11" s="117"/>
    </row>
    <row r="12" spans="2:8" ht="12.75">
      <c r="B12" s="15" t="s">
        <v>30</v>
      </c>
      <c r="C12" s="119">
        <v>84.20952214673532</v>
      </c>
      <c r="D12" s="119">
        <v>5.62476769709411</v>
      </c>
      <c r="E12" s="551">
        <v>8.61777408593025</v>
      </c>
      <c r="F12" s="119">
        <v>1.5479360702402987</v>
      </c>
      <c r="G12" s="15" t="s">
        <v>30</v>
      </c>
      <c r="H12" s="117"/>
    </row>
    <row r="13" spans="2:8" ht="12.75">
      <c r="B13" s="78" t="s">
        <v>15</v>
      </c>
      <c r="C13" s="120">
        <v>79.87958077019698</v>
      </c>
      <c r="D13" s="120">
        <v>17.15086108426311</v>
      </c>
      <c r="E13" s="550">
        <v>2.234950174403558</v>
      </c>
      <c r="F13" s="120">
        <v>0.7346079711363523</v>
      </c>
      <c r="G13" s="78" t="s">
        <v>15</v>
      </c>
      <c r="H13" s="117"/>
    </row>
    <row r="14" spans="2:8" ht="12.75">
      <c r="B14" s="15" t="s">
        <v>33</v>
      </c>
      <c r="C14" s="119">
        <v>82.34278614566857</v>
      </c>
      <c r="D14" s="118">
        <v>14.298061599271842</v>
      </c>
      <c r="E14" s="549">
        <v>3.0899143223129024</v>
      </c>
      <c r="F14" s="118">
        <v>0.2692379327466812</v>
      </c>
      <c r="G14" s="15" t="s">
        <v>33</v>
      </c>
      <c r="H14" s="117"/>
    </row>
    <row r="15" spans="2:8" ht="12.75">
      <c r="B15" s="78" t="s">
        <v>26</v>
      </c>
      <c r="C15" s="120">
        <v>81.40880854013284</v>
      </c>
      <c r="D15" s="120">
        <v>16.353305628770613</v>
      </c>
      <c r="E15" s="550">
        <v>0.8885864065757711</v>
      </c>
      <c r="F15" s="120">
        <v>1.3492994245207703</v>
      </c>
      <c r="G15" s="78" t="s">
        <v>26</v>
      </c>
      <c r="H15" s="117"/>
    </row>
    <row r="16" spans="2:8" ht="12.75">
      <c r="B16" s="15" t="s">
        <v>31</v>
      </c>
      <c r="C16" s="118">
        <v>83.5079050243029</v>
      </c>
      <c r="D16" s="118">
        <v>7.654393712308195</v>
      </c>
      <c r="E16" s="549">
        <v>6.920565406555935</v>
      </c>
      <c r="F16" s="118">
        <v>1.9171358568329828</v>
      </c>
      <c r="G16" s="15" t="s">
        <v>31</v>
      </c>
      <c r="H16" s="117"/>
    </row>
    <row r="17" spans="2:8" ht="12.75">
      <c r="B17" s="78" t="s">
        <v>32</v>
      </c>
      <c r="C17" s="120">
        <v>81.0355023655509</v>
      </c>
      <c r="D17" s="120">
        <v>6.234707526500456</v>
      </c>
      <c r="E17" s="550">
        <v>10.911560111368905</v>
      </c>
      <c r="F17" s="120">
        <v>1.8182299965797535</v>
      </c>
      <c r="G17" s="78" t="s">
        <v>32</v>
      </c>
      <c r="H17" s="117"/>
    </row>
    <row r="18" spans="2:8" ht="12.75">
      <c r="B18" s="15" t="s">
        <v>44</v>
      </c>
      <c r="C18" s="119">
        <v>82.65951473066788</v>
      </c>
      <c r="D18" s="119">
        <v>13.098514114027711</v>
      </c>
      <c r="E18" s="551">
        <v>2.3230135874516615</v>
      </c>
      <c r="F18" s="119">
        <v>1.9189575678527495</v>
      </c>
      <c r="G18" s="15" t="s">
        <v>44</v>
      </c>
      <c r="H18" s="117"/>
    </row>
    <row r="19" spans="2:8" ht="12.75">
      <c r="B19" s="153" t="s">
        <v>34</v>
      </c>
      <c r="C19" s="154">
        <v>82.03267127421053</v>
      </c>
      <c r="D19" s="154">
        <v>11.361824340693953</v>
      </c>
      <c r="E19" s="552">
        <v>5.861954285764629</v>
      </c>
      <c r="F19" s="154">
        <v>0.7435500993308932</v>
      </c>
      <c r="G19" s="153" t="s">
        <v>34</v>
      </c>
      <c r="H19" s="117"/>
    </row>
    <row r="20" spans="2:8" ht="12.75">
      <c r="B20" s="15" t="s">
        <v>13</v>
      </c>
      <c r="C20" s="119">
        <v>81.02126188980809</v>
      </c>
      <c r="D20" s="119">
        <v>18.978738110191905</v>
      </c>
      <c r="E20" s="119" t="s">
        <v>43</v>
      </c>
      <c r="F20" s="119" t="s">
        <v>43</v>
      </c>
      <c r="G20" s="15" t="s">
        <v>13</v>
      </c>
      <c r="H20" s="117"/>
    </row>
    <row r="21" spans="2:8" ht="12.75">
      <c r="B21" s="153" t="s">
        <v>17</v>
      </c>
      <c r="C21" s="154">
        <v>83.82653291657738</v>
      </c>
      <c r="D21" s="154">
        <v>12.122330771618815</v>
      </c>
      <c r="E21" s="552">
        <v>3.335599787573783</v>
      </c>
      <c r="F21" s="154">
        <v>0.7155365242300263</v>
      </c>
      <c r="G21" s="153" t="s">
        <v>17</v>
      </c>
      <c r="H21" s="117"/>
    </row>
    <row r="22" spans="2:8" ht="12.75">
      <c r="B22" s="15" t="s">
        <v>18</v>
      </c>
      <c r="C22" s="119">
        <v>91.12596251634461</v>
      </c>
      <c r="D22" s="119">
        <v>7.958738921981694</v>
      </c>
      <c r="E22" s="551">
        <v>0.9152985616736888</v>
      </c>
      <c r="F22" s="119" t="s">
        <v>43</v>
      </c>
      <c r="G22" s="15" t="s">
        <v>18</v>
      </c>
      <c r="H22" s="117"/>
    </row>
    <row r="23" spans="2:8" ht="12.75">
      <c r="B23" s="153" t="s">
        <v>35</v>
      </c>
      <c r="C23" s="154">
        <v>82.89466318638124</v>
      </c>
      <c r="D23" s="154">
        <v>12.374001916495715</v>
      </c>
      <c r="E23" s="552">
        <v>4.731334897123037</v>
      </c>
      <c r="F23" s="154" t="s">
        <v>43</v>
      </c>
      <c r="G23" s="153" t="s">
        <v>35</v>
      </c>
      <c r="H23" s="117"/>
    </row>
    <row r="24" spans="2:8" ht="12.75">
      <c r="B24" s="15" t="s">
        <v>16</v>
      </c>
      <c r="C24" s="119">
        <v>67.58394689302601</v>
      </c>
      <c r="D24" s="119">
        <v>20.40636769049372</v>
      </c>
      <c r="E24" s="551">
        <v>8.615574135212862</v>
      </c>
      <c r="F24" s="119">
        <v>3.3941112812674312</v>
      </c>
      <c r="G24" s="15" t="s">
        <v>16</v>
      </c>
      <c r="H24" s="117"/>
    </row>
    <row r="25" spans="2:8" ht="12.75">
      <c r="B25" s="153" t="s">
        <v>19</v>
      </c>
      <c r="C25" s="154">
        <v>82.48139206701629</v>
      </c>
      <c r="D25" s="154">
        <v>17.5186079329837</v>
      </c>
      <c r="E25" s="154" t="s">
        <v>43</v>
      </c>
      <c r="F25" s="154" t="s">
        <v>43</v>
      </c>
      <c r="G25" s="153" t="s">
        <v>19</v>
      </c>
      <c r="H25" s="117"/>
    </row>
    <row r="26" spans="2:8" ht="12.75">
      <c r="B26" s="15" t="s">
        <v>27</v>
      </c>
      <c r="C26" s="119">
        <v>85.28194691244919</v>
      </c>
      <c r="D26" s="119">
        <v>2.8396969926026294</v>
      </c>
      <c r="E26" s="551">
        <v>11.336288790373656</v>
      </c>
      <c r="F26" s="119">
        <v>0.5420673045745198</v>
      </c>
      <c r="G26" s="15" t="s">
        <v>27</v>
      </c>
      <c r="H26" s="117"/>
    </row>
    <row r="27" spans="2:8" ht="12.75">
      <c r="B27" s="153" t="s">
        <v>36</v>
      </c>
      <c r="C27" s="154">
        <v>72.69503546099291</v>
      </c>
      <c r="D27" s="154">
        <v>9.666897740805917</v>
      </c>
      <c r="E27" s="552">
        <v>11.24886684797099</v>
      </c>
      <c r="F27" s="154">
        <v>6.389199950230186</v>
      </c>
      <c r="G27" s="153" t="s">
        <v>36</v>
      </c>
      <c r="H27" s="117"/>
    </row>
    <row r="28" spans="2:8" ht="12.75">
      <c r="B28" s="15" t="s">
        <v>20</v>
      </c>
      <c r="C28" s="119">
        <v>77.22005179162889</v>
      </c>
      <c r="D28" s="119">
        <v>13.535761434220397</v>
      </c>
      <c r="E28" s="551">
        <v>7.626040110409655</v>
      </c>
      <c r="F28" s="119">
        <v>1.6181466637410638</v>
      </c>
      <c r="G28" s="15" t="s">
        <v>20</v>
      </c>
      <c r="H28" s="117"/>
    </row>
    <row r="29" spans="2:8" ht="12.75">
      <c r="B29" s="153" t="s">
        <v>37</v>
      </c>
      <c r="C29" s="154">
        <v>87.59822075008388</v>
      </c>
      <c r="D29" s="154">
        <v>7.045560115691006</v>
      </c>
      <c r="E29" s="552">
        <v>4.2909979072772195</v>
      </c>
      <c r="F29" s="154">
        <v>1.0652212269478794</v>
      </c>
      <c r="G29" s="153" t="s">
        <v>37</v>
      </c>
      <c r="H29" s="117"/>
    </row>
    <row r="30" spans="2:8" ht="12.75">
      <c r="B30" s="15" t="s">
        <v>21</v>
      </c>
      <c r="C30" s="119">
        <v>75.3825015755341</v>
      </c>
      <c r="D30" s="119">
        <v>14.082797677046315</v>
      </c>
      <c r="E30" s="551">
        <v>4.387219894659109</v>
      </c>
      <c r="F30" s="119">
        <v>6.147480852760472</v>
      </c>
      <c r="G30" s="15" t="s">
        <v>21</v>
      </c>
      <c r="H30" s="117"/>
    </row>
    <row r="31" spans="2:8" ht="12.75">
      <c r="B31" s="153" t="s">
        <v>23</v>
      </c>
      <c r="C31" s="154">
        <v>86.45742357557563</v>
      </c>
      <c r="D31" s="154">
        <v>11.726372574839221</v>
      </c>
      <c r="E31" s="552">
        <v>1.8162038495851383</v>
      </c>
      <c r="F31" s="154" t="s">
        <v>43</v>
      </c>
      <c r="G31" s="153" t="s">
        <v>23</v>
      </c>
      <c r="H31" s="117"/>
    </row>
    <row r="32" spans="2:8" ht="12.75">
      <c r="B32" s="15" t="s">
        <v>22</v>
      </c>
      <c r="C32" s="119">
        <v>73.83706679533944</v>
      </c>
      <c r="D32" s="119">
        <v>15.557774564807472</v>
      </c>
      <c r="E32" s="551">
        <v>9.857195901483081</v>
      </c>
      <c r="F32" s="119">
        <v>0.7479627383700153</v>
      </c>
      <c r="G32" s="15" t="s">
        <v>22</v>
      </c>
      <c r="H32" s="117"/>
    </row>
    <row r="33" spans="2:8" ht="12.75">
      <c r="B33" s="153" t="s">
        <v>38</v>
      </c>
      <c r="C33" s="154">
        <v>83.60386896202522</v>
      </c>
      <c r="D33" s="154">
        <v>10.335163827125012</v>
      </c>
      <c r="E33" s="552">
        <v>5.360879852520151</v>
      </c>
      <c r="F33" s="154">
        <v>0.7000873583296205</v>
      </c>
      <c r="G33" s="153" t="s">
        <v>38</v>
      </c>
      <c r="H33" s="117"/>
    </row>
    <row r="34" spans="2:8" ht="12.75">
      <c r="B34" s="15" t="s">
        <v>39</v>
      </c>
      <c r="C34" s="119">
        <v>81.72283852790984</v>
      </c>
      <c r="D34" s="119">
        <v>7.02306744145096</v>
      </c>
      <c r="E34" s="551">
        <v>9.38968128191583</v>
      </c>
      <c r="F34" s="119">
        <v>1.864412748723367</v>
      </c>
      <c r="G34" s="15" t="s">
        <v>39</v>
      </c>
      <c r="H34" s="117"/>
    </row>
    <row r="35" spans="2:8" ht="12.75">
      <c r="B35" s="153" t="s">
        <v>28</v>
      </c>
      <c r="C35" s="154">
        <v>84.51406705708484</v>
      </c>
      <c r="D35" s="154">
        <v>4.976905955871734</v>
      </c>
      <c r="E35" s="552">
        <v>8.6874006399729</v>
      </c>
      <c r="F35" s="154">
        <v>1.8216263470705378</v>
      </c>
      <c r="G35" s="153" t="s">
        <v>28</v>
      </c>
      <c r="H35" s="117"/>
    </row>
    <row r="36" spans="2:8" ht="12.75">
      <c r="B36" s="14" t="s">
        <v>112</v>
      </c>
      <c r="C36" s="152">
        <v>88.9819995337596</v>
      </c>
      <c r="D36" s="152">
        <v>11.000399205756741</v>
      </c>
      <c r="E36" s="553">
        <v>0.01760126048363768</v>
      </c>
      <c r="F36" s="152" t="s">
        <v>43</v>
      </c>
      <c r="G36" s="14" t="s">
        <v>112</v>
      </c>
      <c r="H36" s="117"/>
    </row>
    <row r="37" spans="2:8" ht="12.75">
      <c r="B37" s="153" t="s">
        <v>103</v>
      </c>
      <c r="C37" s="154">
        <v>96.3545275053675</v>
      </c>
      <c r="D37" s="154">
        <v>2.3898274185231276</v>
      </c>
      <c r="E37" s="552">
        <v>1.2556450761093876</v>
      </c>
      <c r="F37" s="154" t="s">
        <v>43</v>
      </c>
      <c r="G37" s="153" t="s">
        <v>103</v>
      </c>
      <c r="H37" s="117"/>
    </row>
    <row r="38" spans="2:8" ht="12.75">
      <c r="B38" s="15" t="s">
        <v>6</v>
      </c>
      <c r="C38" s="119">
        <v>87.52267303102627</v>
      </c>
      <c r="D38" s="119">
        <v>11.914081145584728</v>
      </c>
      <c r="E38" s="551">
        <v>0.5632458233890215</v>
      </c>
      <c r="F38" s="119" t="s">
        <v>43</v>
      </c>
      <c r="G38" s="15" t="s">
        <v>6</v>
      </c>
      <c r="H38" s="117"/>
    </row>
    <row r="39" spans="2:8" ht="12.75">
      <c r="B39" s="153" t="s">
        <v>104</v>
      </c>
      <c r="C39" s="154">
        <v>73.5956670158145</v>
      </c>
      <c r="D39" s="154">
        <v>23.93030736157359</v>
      </c>
      <c r="E39" s="552">
        <v>0.9253052179808454</v>
      </c>
      <c r="F39" s="154">
        <v>1.54872040463107</v>
      </c>
      <c r="G39" s="153" t="s">
        <v>104</v>
      </c>
      <c r="H39" s="117"/>
    </row>
    <row r="40" spans="2:8" ht="12.75">
      <c r="B40" s="464" t="s">
        <v>24</v>
      </c>
      <c r="C40" s="478"/>
      <c r="D40" s="478"/>
      <c r="E40" s="554"/>
      <c r="F40" s="478"/>
      <c r="G40" s="464" t="s">
        <v>24</v>
      </c>
      <c r="H40" s="117"/>
    </row>
    <row r="41" spans="2:8" ht="12.75">
      <c r="B41" s="336" t="s">
        <v>10</v>
      </c>
      <c r="C41" s="337">
        <v>88.13166217089461</v>
      </c>
      <c r="D41" s="337">
        <v>11.868337829105394</v>
      </c>
      <c r="E41" s="154" t="s">
        <v>43</v>
      </c>
      <c r="F41" s="154" t="s">
        <v>43</v>
      </c>
      <c r="G41" s="336" t="s">
        <v>10</v>
      </c>
      <c r="H41" s="117"/>
    </row>
    <row r="42" spans="2:8" ht="12.75">
      <c r="B42" s="15" t="s">
        <v>40</v>
      </c>
      <c r="C42" s="119">
        <v>88.32333337767903</v>
      </c>
      <c r="D42" s="119">
        <v>5.634121356446313</v>
      </c>
      <c r="E42" s="551">
        <v>4.768049809091756</v>
      </c>
      <c r="F42" s="119">
        <v>1.2744954567828968</v>
      </c>
      <c r="G42" s="15" t="s">
        <v>40</v>
      </c>
      <c r="H42" s="117"/>
    </row>
    <row r="43" spans="2:8" ht="12.75">
      <c r="B43" s="463" t="s">
        <v>11</v>
      </c>
      <c r="C43" s="479">
        <v>77.25614873152152</v>
      </c>
      <c r="D43" s="479">
        <v>4.95771738428765</v>
      </c>
      <c r="E43" s="555">
        <v>16.83638887095733</v>
      </c>
      <c r="F43" s="479">
        <v>0.9497450132334905</v>
      </c>
      <c r="G43" s="463" t="s">
        <v>11</v>
      </c>
      <c r="H43" s="117"/>
    </row>
    <row r="45" spans="2:7" ht="12.75">
      <c r="B45" s="480" t="s">
        <v>5</v>
      </c>
      <c r="C45" s="481"/>
      <c r="D45" s="482"/>
      <c r="E45" s="556"/>
      <c r="F45" s="482"/>
      <c r="G45" s="82"/>
    </row>
    <row r="46" spans="2:6" ht="24.75" customHeight="1">
      <c r="B46" s="594" t="s">
        <v>152</v>
      </c>
      <c r="C46" s="594"/>
      <c r="D46" s="594"/>
      <c r="E46" s="594"/>
      <c r="F46" s="594"/>
    </row>
    <row r="47" spans="2:8" ht="12.75">
      <c r="B47" s="133" t="s">
        <v>113</v>
      </c>
      <c r="C47" s="134">
        <v>80.2</v>
      </c>
      <c r="D47" s="134">
        <v>8.4</v>
      </c>
      <c r="E47" s="558">
        <v>7.7</v>
      </c>
      <c r="F47" s="134">
        <v>1.8</v>
      </c>
      <c r="G47" s="133" t="s">
        <v>113</v>
      </c>
      <c r="H47" s="117"/>
    </row>
    <row r="48" spans="2:8" ht="12.75">
      <c r="B48" s="480" t="s">
        <v>97</v>
      </c>
      <c r="H48" s="117"/>
    </row>
    <row r="49" ht="12.75">
      <c r="F49" s="117">
        <f>SUM(C47:F47)+2</f>
        <v>100.10000000000001</v>
      </c>
    </row>
  </sheetData>
  <sheetProtection/>
  <mergeCells count="4">
    <mergeCell ref="B2:G3"/>
    <mergeCell ref="B4:G4"/>
    <mergeCell ref="B5:F5"/>
    <mergeCell ref="B46:F4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0"/>
  </sheetPr>
  <dimension ref="A1:AH85"/>
  <sheetViews>
    <sheetView zoomScalePageLayoutView="0" workbookViewId="0" topLeftCell="A19">
      <selection activeCell="AJ2" sqref="AJ2"/>
    </sheetView>
  </sheetViews>
  <sheetFormatPr defaultColWidth="9.140625" defaultRowHeight="12.75"/>
  <cols>
    <col min="1" max="1" width="2.7109375" style="166" customWidth="1"/>
    <col min="2" max="2" width="5.00390625" style="165" customWidth="1"/>
    <col min="3" max="4" width="7.7109375" style="165" customWidth="1"/>
    <col min="5" max="5" width="6.7109375" style="165" customWidth="1"/>
    <col min="6" max="9" width="7.7109375" style="165" customWidth="1"/>
    <col min="10" max="10" width="6.7109375" style="165" customWidth="1"/>
    <col min="11" max="11" width="8.140625" style="165" customWidth="1"/>
    <col min="12" max="14" width="7.7109375" style="165" customWidth="1"/>
    <col min="15" max="15" width="6.7109375" style="165" customWidth="1"/>
    <col min="16" max="32" width="7.7109375" style="165" customWidth="1"/>
    <col min="33" max="33" width="7.28125" style="180" customWidth="1"/>
    <col min="34" max="34" width="4.57421875" style="165" customWidth="1"/>
    <col min="35" max="35" width="9.140625" style="165" customWidth="1"/>
    <col min="36" max="16384" width="9.140625" style="165" customWidth="1"/>
  </cols>
  <sheetData>
    <row r="1" spans="2:34" ht="14.25" customHeight="1">
      <c r="B1" s="262"/>
      <c r="C1" s="261"/>
      <c r="D1" s="261"/>
      <c r="E1" s="261"/>
      <c r="F1" s="261"/>
      <c r="G1" s="261"/>
      <c r="H1" s="261"/>
      <c r="I1" s="261"/>
      <c r="J1" s="261"/>
      <c r="K1" s="261"/>
      <c r="L1" s="261"/>
      <c r="M1" s="261"/>
      <c r="N1" s="261"/>
      <c r="O1" s="261"/>
      <c r="P1" s="261"/>
      <c r="Q1" s="260"/>
      <c r="T1" s="259"/>
      <c r="U1" s="259"/>
      <c r="V1" s="259"/>
      <c r="W1" s="259"/>
      <c r="X1" s="259"/>
      <c r="Y1" s="259"/>
      <c r="Z1" s="259"/>
      <c r="AA1" s="259"/>
      <c r="AB1" s="259"/>
      <c r="AC1" s="259"/>
      <c r="AD1" s="259"/>
      <c r="AE1" s="259"/>
      <c r="AF1" s="259"/>
      <c r="AH1" s="259" t="s">
        <v>87</v>
      </c>
    </row>
    <row r="2" spans="1:34" s="169" customFormat="1" ht="30" customHeight="1">
      <c r="A2" s="258"/>
      <c r="B2" s="595" t="s">
        <v>45</v>
      </c>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row>
    <row r="3" spans="3:33" ht="12" customHeight="1">
      <c r="C3" s="257"/>
      <c r="D3" s="257"/>
      <c r="E3" s="257"/>
      <c r="F3" s="257"/>
      <c r="G3" s="257"/>
      <c r="H3" s="257"/>
      <c r="I3" s="257"/>
      <c r="J3" s="257"/>
      <c r="K3" s="379"/>
      <c r="L3" s="379"/>
      <c r="M3" s="379"/>
      <c r="N3" s="379"/>
      <c r="O3" s="379"/>
      <c r="P3" s="379"/>
      <c r="Q3" s="379"/>
      <c r="R3" s="379"/>
      <c r="S3" s="379"/>
      <c r="T3" s="379"/>
      <c r="U3" s="379"/>
      <c r="V3" s="379"/>
      <c r="W3" s="379"/>
      <c r="X3" s="379"/>
      <c r="Y3" s="379"/>
      <c r="Z3" s="379"/>
      <c r="AA3" s="379"/>
      <c r="AB3" s="379"/>
      <c r="AC3" s="379"/>
      <c r="AD3" s="379"/>
      <c r="AE3" s="257" t="s">
        <v>105</v>
      </c>
      <c r="AF3" s="257"/>
      <c r="AG3" s="559"/>
    </row>
    <row r="4" spans="2:34" ht="19.5" customHeight="1">
      <c r="B4" s="255"/>
      <c r="C4" s="254">
        <v>1970</v>
      </c>
      <c r="D4" s="254">
        <v>1980</v>
      </c>
      <c r="E4" s="253">
        <v>1990</v>
      </c>
      <c r="F4" s="253">
        <v>1991</v>
      </c>
      <c r="G4" s="253">
        <v>1992</v>
      </c>
      <c r="H4" s="253">
        <v>1993</v>
      </c>
      <c r="I4" s="253">
        <v>1994</v>
      </c>
      <c r="J4" s="253">
        <v>1995</v>
      </c>
      <c r="K4" s="253">
        <v>1996</v>
      </c>
      <c r="L4" s="253">
        <v>1997</v>
      </c>
      <c r="M4" s="253">
        <v>1998</v>
      </c>
      <c r="N4" s="253">
        <v>1999</v>
      </c>
      <c r="O4" s="253">
        <v>2000</v>
      </c>
      <c r="P4" s="253">
        <v>2001</v>
      </c>
      <c r="Q4" s="253">
        <v>2002</v>
      </c>
      <c r="R4" s="253">
        <v>2003</v>
      </c>
      <c r="S4" s="253">
        <v>2004</v>
      </c>
      <c r="T4" s="253">
        <v>2005</v>
      </c>
      <c r="U4" s="253">
        <v>2006</v>
      </c>
      <c r="V4" s="253">
        <v>2007</v>
      </c>
      <c r="W4" s="253">
        <v>2008</v>
      </c>
      <c r="X4" s="253">
        <v>2009</v>
      </c>
      <c r="Y4" s="253">
        <v>2010</v>
      </c>
      <c r="Z4" s="253">
        <v>2011</v>
      </c>
      <c r="AA4" s="253">
        <v>2012</v>
      </c>
      <c r="AB4" s="253">
        <v>2013</v>
      </c>
      <c r="AC4" s="355">
        <v>2014</v>
      </c>
      <c r="AD4" s="355">
        <v>2015</v>
      </c>
      <c r="AE4" s="355">
        <v>2016</v>
      </c>
      <c r="AF4" s="355">
        <v>2017</v>
      </c>
      <c r="AG4" s="252" t="s">
        <v>141</v>
      </c>
      <c r="AH4" s="246"/>
    </row>
    <row r="5" spans="2:34" ht="9.75" customHeight="1">
      <c r="B5" s="251"/>
      <c r="C5" s="250"/>
      <c r="D5" s="250"/>
      <c r="E5" s="249"/>
      <c r="F5" s="249"/>
      <c r="G5" s="249"/>
      <c r="H5" s="249"/>
      <c r="I5" s="249"/>
      <c r="J5" s="249"/>
      <c r="K5" s="249"/>
      <c r="L5" s="249"/>
      <c r="M5" s="249"/>
      <c r="N5" s="249"/>
      <c r="O5" s="249"/>
      <c r="P5" s="249"/>
      <c r="Q5" s="249"/>
      <c r="R5" s="249"/>
      <c r="S5" s="249"/>
      <c r="T5" s="249"/>
      <c r="U5" s="249"/>
      <c r="V5" s="249"/>
      <c r="W5" s="248"/>
      <c r="X5" s="248"/>
      <c r="Y5" s="248"/>
      <c r="Z5" s="248"/>
      <c r="AA5" s="248"/>
      <c r="AB5" s="248"/>
      <c r="AC5" s="248"/>
      <c r="AD5" s="248"/>
      <c r="AE5" s="248"/>
      <c r="AF5" s="248"/>
      <c r="AG5" s="247" t="s">
        <v>42</v>
      </c>
      <c r="AH5" s="246"/>
    </row>
    <row r="6" spans="2:34" ht="12.75" customHeight="1">
      <c r="B6" s="415" t="s">
        <v>113</v>
      </c>
      <c r="C6" s="436" t="s">
        <v>41</v>
      </c>
      <c r="D6" s="436" t="s">
        <v>41</v>
      </c>
      <c r="E6" s="437" t="s">
        <v>41</v>
      </c>
      <c r="F6" s="438" t="s">
        <v>41</v>
      </c>
      <c r="G6" s="438" t="s">
        <v>41</v>
      </c>
      <c r="H6" s="438" t="s">
        <v>41</v>
      </c>
      <c r="I6" s="438" t="s">
        <v>41</v>
      </c>
      <c r="J6" s="438">
        <f aca="true" t="shared" si="0" ref="J6:AE6">SUM(J7:J34)</f>
        <v>3904.3968448239566</v>
      </c>
      <c r="K6" s="438">
        <f t="shared" si="0"/>
        <v>3967.960445623563</v>
      </c>
      <c r="L6" s="438">
        <f t="shared" si="0"/>
        <v>4047.0311598397266</v>
      </c>
      <c r="M6" s="438">
        <f t="shared" si="0"/>
        <v>4144.982058542091</v>
      </c>
      <c r="N6" s="438">
        <f t="shared" si="0"/>
        <v>4254.780359539047</v>
      </c>
      <c r="O6" s="438">
        <f t="shared" si="0"/>
        <v>4300.856686155985</v>
      </c>
      <c r="P6" s="438">
        <f t="shared" si="0"/>
        <v>4387.3788534340165</v>
      </c>
      <c r="Q6" s="438">
        <f t="shared" si="0"/>
        <v>4463.501476952004</v>
      </c>
      <c r="R6" s="438">
        <f t="shared" si="0"/>
        <v>4494.9430671775235</v>
      </c>
      <c r="S6" s="438">
        <f t="shared" si="0"/>
        <v>4551.897948905752</v>
      </c>
      <c r="T6" s="438">
        <f t="shared" si="0"/>
        <v>4508.296368669483</v>
      </c>
      <c r="U6" s="438">
        <f t="shared" si="0"/>
        <v>4549.418913551448</v>
      </c>
      <c r="V6" s="438">
        <f t="shared" si="0"/>
        <v>4596.588930598071</v>
      </c>
      <c r="W6" s="438">
        <f t="shared" si="0"/>
        <v>4602.442319059387</v>
      </c>
      <c r="X6" s="439">
        <f t="shared" si="0"/>
        <v>4675.174487463362</v>
      </c>
      <c r="Y6" s="439">
        <f t="shared" si="0"/>
        <v>4625.637609852555</v>
      </c>
      <c r="Z6" s="439">
        <f t="shared" si="0"/>
        <v>4592.881468153738</v>
      </c>
      <c r="AA6" s="439">
        <f t="shared" si="0"/>
        <v>4498.273185500801</v>
      </c>
      <c r="AB6" s="439">
        <f t="shared" si="0"/>
        <v>4549.645020731237</v>
      </c>
      <c r="AC6" s="439">
        <f t="shared" si="0"/>
        <v>4615.198815827171</v>
      </c>
      <c r="AD6" s="439">
        <f t="shared" si="0"/>
        <v>4711.786887842932</v>
      </c>
      <c r="AE6" s="439">
        <f t="shared" si="0"/>
        <v>4826.69067156582</v>
      </c>
      <c r="AF6" s="439">
        <v>4901.416959384074</v>
      </c>
      <c r="AG6" s="560">
        <f aca="true" t="shared" si="1" ref="AG6:AG42">AF6/AE6*100-100</f>
        <v>1.5481888710720426</v>
      </c>
      <c r="AH6" s="415" t="s">
        <v>113</v>
      </c>
    </row>
    <row r="7" spans="1:34" ht="12.75" customHeight="1">
      <c r="A7" s="180"/>
      <c r="B7" s="187" t="s">
        <v>29</v>
      </c>
      <c r="C7" s="235">
        <v>41.107</v>
      </c>
      <c r="D7" s="235">
        <v>64.577</v>
      </c>
      <c r="E7" s="181">
        <v>89.4865681549422</v>
      </c>
      <c r="F7" s="181">
        <v>93.17072549415899</v>
      </c>
      <c r="G7" s="181">
        <v>94.65159259661695</v>
      </c>
      <c r="H7" s="181">
        <v>95.1590269325277</v>
      </c>
      <c r="I7" s="181">
        <v>97.61982726007605</v>
      </c>
      <c r="J7" s="181">
        <v>96.41122844758948</v>
      </c>
      <c r="K7" s="181">
        <v>96.12470075061294</v>
      </c>
      <c r="L7" s="181">
        <v>97.95004181802459</v>
      </c>
      <c r="M7" s="181">
        <v>100.14564232032866</v>
      </c>
      <c r="N7" s="181">
        <v>102.03922550781316</v>
      </c>
      <c r="O7" s="181">
        <v>102.5443853038904</v>
      </c>
      <c r="P7" s="181">
        <v>103.44056228671244</v>
      </c>
      <c r="Q7" s="181">
        <v>104.84343859901594</v>
      </c>
      <c r="R7" s="181">
        <v>102.49487951863394</v>
      </c>
      <c r="S7" s="181">
        <v>103.03402541013166</v>
      </c>
      <c r="T7" s="181">
        <v>102.80426446068903</v>
      </c>
      <c r="U7" s="181">
        <v>102.65959801049536</v>
      </c>
      <c r="V7" s="181">
        <v>104.57039703409255</v>
      </c>
      <c r="W7" s="181">
        <v>107.94287032877924</v>
      </c>
      <c r="X7" s="181">
        <v>108.07377743339944</v>
      </c>
      <c r="Y7" s="181">
        <v>109.38776021905481</v>
      </c>
      <c r="Z7" s="181">
        <v>109.96953280096133</v>
      </c>
      <c r="AA7" s="181">
        <v>110.14105828193429</v>
      </c>
      <c r="AB7" s="435">
        <v>105.293135637308</v>
      </c>
      <c r="AC7" s="181">
        <v>108.110642511651</v>
      </c>
      <c r="AD7" s="181">
        <v>107.001968595549</v>
      </c>
      <c r="AE7" s="181">
        <v>106.13976370089</v>
      </c>
      <c r="AF7" s="181">
        <v>106.94</v>
      </c>
      <c r="AG7" s="561">
        <f t="shared" si="1"/>
        <v>0.7539458080622126</v>
      </c>
      <c r="AH7" s="187" t="s">
        <v>29</v>
      </c>
    </row>
    <row r="8" spans="1:34" ht="12.75" customHeight="1">
      <c r="A8" s="180"/>
      <c r="B8" s="227" t="s">
        <v>12</v>
      </c>
      <c r="C8" s="230" t="s">
        <v>41</v>
      </c>
      <c r="D8" s="230" t="s">
        <v>41</v>
      </c>
      <c r="E8" s="229"/>
      <c r="F8" s="229"/>
      <c r="G8" s="229"/>
      <c r="H8" s="229"/>
      <c r="I8" s="229"/>
      <c r="J8" s="237">
        <v>25</v>
      </c>
      <c r="K8" s="237">
        <v>24.5</v>
      </c>
      <c r="L8" s="237">
        <v>23.9</v>
      </c>
      <c r="M8" s="237">
        <v>24.6</v>
      </c>
      <c r="N8" s="237">
        <v>25.4</v>
      </c>
      <c r="O8" s="237">
        <v>26.9</v>
      </c>
      <c r="P8" s="237">
        <v>27.9</v>
      </c>
      <c r="Q8" s="237">
        <v>29.3</v>
      </c>
      <c r="R8" s="237">
        <v>30.7</v>
      </c>
      <c r="S8" s="237">
        <v>32.8</v>
      </c>
      <c r="T8" s="237">
        <v>35.1</v>
      </c>
      <c r="U8" s="237">
        <v>37.6</v>
      </c>
      <c r="V8" s="237">
        <v>40.4</v>
      </c>
      <c r="W8" s="237">
        <v>43.2</v>
      </c>
      <c r="X8" s="237">
        <v>46.3</v>
      </c>
      <c r="Y8" s="237">
        <v>46.9</v>
      </c>
      <c r="Z8" s="237">
        <v>48.06803748938479</v>
      </c>
      <c r="AA8" s="237">
        <v>49.702936925862396</v>
      </c>
      <c r="AB8" s="237">
        <v>51.3641140116175</v>
      </c>
      <c r="AC8" s="237">
        <v>53.95682276375314</v>
      </c>
      <c r="AD8" s="237">
        <v>56.84608933803697</v>
      </c>
      <c r="AE8" s="237">
        <v>56.62772543455219</v>
      </c>
      <c r="AF8" s="237">
        <v>57.673404969351786</v>
      </c>
      <c r="AG8" s="562">
        <f t="shared" si="1"/>
        <v>1.8465857965779549</v>
      </c>
      <c r="AH8" s="227" t="s">
        <v>12</v>
      </c>
    </row>
    <row r="9" spans="1:34" ht="12.75" customHeight="1">
      <c r="A9" s="180"/>
      <c r="B9" s="187" t="s">
        <v>14</v>
      </c>
      <c r="C9" s="218"/>
      <c r="D9" s="218"/>
      <c r="E9" s="217"/>
      <c r="F9" s="189"/>
      <c r="G9" s="189"/>
      <c r="H9" s="189">
        <v>49</v>
      </c>
      <c r="I9" s="189">
        <v>51.7</v>
      </c>
      <c r="J9" s="189">
        <v>54.5</v>
      </c>
      <c r="K9" s="189">
        <v>57.9</v>
      </c>
      <c r="L9" s="189">
        <v>59</v>
      </c>
      <c r="M9" s="208">
        <v>59.726</v>
      </c>
      <c r="N9" s="189">
        <v>62.38</v>
      </c>
      <c r="O9" s="189">
        <v>63.94</v>
      </c>
      <c r="P9" s="189">
        <v>63.47</v>
      </c>
      <c r="Q9" s="189">
        <v>65.29</v>
      </c>
      <c r="R9" s="189">
        <v>67.36</v>
      </c>
      <c r="S9" s="189">
        <v>67.57</v>
      </c>
      <c r="T9" s="189">
        <v>68.64</v>
      </c>
      <c r="U9" s="189">
        <v>69.63</v>
      </c>
      <c r="V9" s="189">
        <v>71.54</v>
      </c>
      <c r="W9" s="189">
        <v>72.38</v>
      </c>
      <c r="X9" s="244">
        <v>72.29</v>
      </c>
      <c r="Y9" s="245">
        <v>63.57</v>
      </c>
      <c r="Z9" s="244">
        <v>65.49</v>
      </c>
      <c r="AA9" s="244">
        <v>64.62</v>
      </c>
      <c r="AB9" s="244">
        <v>64.65</v>
      </c>
      <c r="AC9" s="244">
        <v>66.26</v>
      </c>
      <c r="AD9" s="244">
        <v>69.705</v>
      </c>
      <c r="AE9" s="244">
        <v>72.255</v>
      </c>
      <c r="AF9" s="244">
        <v>74.327</v>
      </c>
      <c r="AG9" s="563">
        <f t="shared" si="1"/>
        <v>2.8676216178811273</v>
      </c>
      <c r="AH9" s="187" t="s">
        <v>14</v>
      </c>
    </row>
    <row r="10" spans="1:34" ht="12.75" customHeight="1">
      <c r="A10" s="180"/>
      <c r="B10" s="227" t="s">
        <v>25</v>
      </c>
      <c r="C10" s="230">
        <v>33.3</v>
      </c>
      <c r="D10" s="230">
        <f>38.027+0.458</f>
        <v>38.485</v>
      </c>
      <c r="E10" s="242">
        <v>47.191</v>
      </c>
      <c r="F10" s="242">
        <v>47.865</v>
      </c>
      <c r="G10" s="242">
        <v>48.126</v>
      </c>
      <c r="H10" s="242">
        <v>47.621</v>
      </c>
      <c r="I10" s="242">
        <v>47.77</v>
      </c>
      <c r="J10" s="242">
        <v>48.389</v>
      </c>
      <c r="K10" s="242">
        <v>49.042</v>
      </c>
      <c r="L10" s="242">
        <v>49.91</v>
      </c>
      <c r="M10" s="242">
        <v>50.328</v>
      </c>
      <c r="N10" s="242">
        <v>51.307</v>
      </c>
      <c r="O10" s="242">
        <v>50.615</v>
      </c>
      <c r="P10" s="242">
        <v>49.62</v>
      </c>
      <c r="Q10" s="242">
        <v>49.454</v>
      </c>
      <c r="R10" s="242">
        <v>49.695</v>
      </c>
      <c r="S10" s="242">
        <v>50.557</v>
      </c>
      <c r="T10" s="242">
        <v>49.758</v>
      </c>
      <c r="U10" s="242">
        <v>49.648</v>
      </c>
      <c r="V10" s="242">
        <v>50.733</v>
      </c>
      <c r="W10" s="242">
        <v>51.459</v>
      </c>
      <c r="X10" s="242">
        <v>51.884</v>
      </c>
      <c r="Y10" s="242">
        <v>51.691</v>
      </c>
      <c r="Z10" s="242">
        <v>52.957</v>
      </c>
      <c r="AA10" s="242">
        <v>52.665</v>
      </c>
      <c r="AB10" s="242">
        <v>52.904</v>
      </c>
      <c r="AC10" s="242">
        <v>54.402</v>
      </c>
      <c r="AD10" s="242">
        <v>56.844</v>
      </c>
      <c r="AE10" s="242">
        <v>59.041</v>
      </c>
      <c r="AF10" s="242">
        <v>60.046</v>
      </c>
      <c r="AG10" s="564">
        <f t="shared" si="1"/>
        <v>1.702206940939348</v>
      </c>
      <c r="AH10" s="227" t="s">
        <v>25</v>
      </c>
    </row>
    <row r="11" spans="1:34" s="201" customFormat="1" ht="12.75" customHeight="1">
      <c r="A11" s="206"/>
      <c r="B11" s="187" t="s">
        <v>30</v>
      </c>
      <c r="C11" s="190">
        <v>394.6</v>
      </c>
      <c r="D11" s="190">
        <v>513.7</v>
      </c>
      <c r="E11" s="189">
        <v>683.1</v>
      </c>
      <c r="F11" s="189">
        <v>700</v>
      </c>
      <c r="G11" s="189">
        <v>719.5</v>
      </c>
      <c r="H11" s="223">
        <v>729.8</v>
      </c>
      <c r="I11" s="189">
        <v>807.0219025046072</v>
      </c>
      <c r="J11" s="189">
        <v>815.2976294348988</v>
      </c>
      <c r="K11" s="189">
        <v>816.0723829598729</v>
      </c>
      <c r="L11" s="189">
        <v>817.0706670210186</v>
      </c>
      <c r="M11" s="189">
        <v>828.068802348269</v>
      </c>
      <c r="N11" s="189">
        <v>848.4200042686394</v>
      </c>
      <c r="O11" s="189">
        <v>831.2665448417845</v>
      </c>
      <c r="P11" s="189">
        <v>852.6294387699498</v>
      </c>
      <c r="Q11" s="189">
        <v>862.987</v>
      </c>
      <c r="R11" s="189">
        <v>857.736</v>
      </c>
      <c r="S11" s="189">
        <v>868.65</v>
      </c>
      <c r="T11" s="189">
        <v>856.875</v>
      </c>
      <c r="U11" s="189">
        <v>863.328</v>
      </c>
      <c r="V11" s="189">
        <v>866.5310000000001</v>
      </c>
      <c r="W11" s="189">
        <v>871.328</v>
      </c>
      <c r="X11" s="189">
        <v>881.1</v>
      </c>
      <c r="Y11" s="189">
        <v>887</v>
      </c>
      <c r="Z11" s="189">
        <v>894.4</v>
      </c>
      <c r="AA11" s="189">
        <v>896.3</v>
      </c>
      <c r="AB11" s="189">
        <v>903.1</v>
      </c>
      <c r="AC11" s="189">
        <v>916.4</v>
      </c>
      <c r="AD11" s="189">
        <v>927</v>
      </c>
      <c r="AE11" s="189">
        <v>946.3</v>
      </c>
      <c r="AF11" s="189">
        <v>935.7</v>
      </c>
      <c r="AG11" s="305">
        <f t="shared" si="1"/>
        <v>-1.1201521716157572</v>
      </c>
      <c r="AH11" s="187" t="s">
        <v>30</v>
      </c>
    </row>
    <row r="12" spans="1:34" ht="12.75" customHeight="1">
      <c r="A12" s="180"/>
      <c r="B12" s="227" t="s">
        <v>15</v>
      </c>
      <c r="C12" s="230" t="s">
        <v>41</v>
      </c>
      <c r="D12" s="230" t="s">
        <v>41</v>
      </c>
      <c r="E12" s="229" t="s">
        <v>41</v>
      </c>
      <c r="F12" s="229" t="s">
        <v>41</v>
      </c>
      <c r="G12" s="229" t="s">
        <v>41</v>
      </c>
      <c r="H12" s="229" t="s">
        <v>41</v>
      </c>
      <c r="I12" s="229" t="s">
        <v>41</v>
      </c>
      <c r="J12" s="237">
        <f>3.956535*1.3</f>
        <v>5.1434955</v>
      </c>
      <c r="K12" s="237">
        <v>5.5</v>
      </c>
      <c r="L12" s="237">
        <v>5.8</v>
      </c>
      <c r="M12" s="237">
        <f>4.763427*1.3</f>
        <v>6.1924551</v>
      </c>
      <c r="N12" s="237">
        <v>6.4</v>
      </c>
      <c r="O12" s="237">
        <f>5.140089*1.3</f>
        <v>6.6821157</v>
      </c>
      <c r="P12" s="237">
        <f>5.23781*1.3</f>
        <v>6.809152999999999</v>
      </c>
      <c r="Q12" s="237">
        <f>5.430492*1.3</f>
        <v>7.059639600000001</v>
      </c>
      <c r="R12" s="237">
        <f>5.894855*1.3</f>
        <v>7.6633115</v>
      </c>
      <c r="S12" s="229">
        <v>7.813</v>
      </c>
      <c r="T12" s="229">
        <v>9.929</v>
      </c>
      <c r="U12" s="229">
        <v>9.946</v>
      </c>
      <c r="V12" s="237">
        <v>10</v>
      </c>
      <c r="W12" s="237">
        <v>10.5</v>
      </c>
      <c r="X12" s="237">
        <v>10.5</v>
      </c>
      <c r="Y12" s="237">
        <v>10.1</v>
      </c>
      <c r="Z12" s="237">
        <v>10.381082222547919</v>
      </c>
      <c r="AA12" s="237">
        <v>10.808595077153129</v>
      </c>
      <c r="AB12" s="237">
        <v>11.24613332249695</v>
      </c>
      <c r="AC12" s="237">
        <v>11.85200134241278</v>
      </c>
      <c r="AD12" s="237">
        <v>12.33194848698124</v>
      </c>
      <c r="AE12" s="237">
        <v>12.840848785603473</v>
      </c>
      <c r="AF12" s="237">
        <v>13.081243106323074</v>
      </c>
      <c r="AG12" s="562">
        <f t="shared" si="1"/>
        <v>1.8721061569475097</v>
      </c>
      <c r="AH12" s="227" t="s">
        <v>15</v>
      </c>
    </row>
    <row r="13" spans="1:34" s="201" customFormat="1" ht="12.75" customHeight="1">
      <c r="A13" s="206"/>
      <c r="B13" s="187" t="s">
        <v>33</v>
      </c>
      <c r="C13" s="241">
        <v>10</v>
      </c>
      <c r="D13" s="241">
        <v>19</v>
      </c>
      <c r="E13" s="240">
        <v>28.507</v>
      </c>
      <c r="F13" s="240">
        <v>29.038</v>
      </c>
      <c r="G13" s="240">
        <v>29.52</v>
      </c>
      <c r="H13" s="240">
        <v>29.836</v>
      </c>
      <c r="I13" s="240">
        <v>30.56</v>
      </c>
      <c r="J13" s="240">
        <v>31.558</v>
      </c>
      <c r="K13" s="240">
        <v>32.8</v>
      </c>
      <c r="L13" s="240">
        <v>34.361</v>
      </c>
      <c r="M13" s="240">
        <v>35.756</v>
      </c>
      <c r="N13" s="240">
        <v>36.838</v>
      </c>
      <c r="O13" s="240">
        <v>34.608</v>
      </c>
      <c r="P13" s="239">
        <v>36.459</v>
      </c>
      <c r="Q13" s="239">
        <v>37.788</v>
      </c>
      <c r="R13" s="239">
        <v>39.9495</v>
      </c>
      <c r="S13" s="239">
        <v>42.627</v>
      </c>
      <c r="T13" s="239">
        <v>44.379</v>
      </c>
      <c r="U13" s="239">
        <v>45.99</v>
      </c>
      <c r="V13" s="239">
        <v>47.9595</v>
      </c>
      <c r="W13" s="239">
        <v>48.888</v>
      </c>
      <c r="X13" s="239">
        <v>48.858</v>
      </c>
      <c r="Y13" s="239">
        <v>48.0825</v>
      </c>
      <c r="Z13" s="239">
        <v>47.457</v>
      </c>
      <c r="AA13" s="239">
        <v>46.614</v>
      </c>
      <c r="AB13" s="239">
        <f>32.031*1.5</f>
        <v>48.046499999999995</v>
      </c>
      <c r="AC13" s="239">
        <f>31.457*1.5</f>
        <v>47.185500000000005</v>
      </c>
      <c r="AD13" s="239">
        <f>1.5*34.609</f>
        <v>51.9135</v>
      </c>
      <c r="AE13" s="239">
        <f>1.5*36.689</f>
        <v>55.033500000000004</v>
      </c>
      <c r="AF13" s="239">
        <v>56.54894407244163</v>
      </c>
      <c r="AG13" s="565">
        <f t="shared" si="1"/>
        <v>2.7536756201979244</v>
      </c>
      <c r="AH13" s="187" t="s">
        <v>33</v>
      </c>
    </row>
    <row r="14" spans="1:34" ht="13.5" customHeight="1">
      <c r="A14" s="180"/>
      <c r="B14" s="227" t="s">
        <v>26</v>
      </c>
      <c r="C14" s="238">
        <v>4.5</v>
      </c>
      <c r="D14" s="238">
        <v>17.5</v>
      </c>
      <c r="E14" s="237">
        <v>35</v>
      </c>
      <c r="F14" s="237">
        <v>36</v>
      </c>
      <c r="G14" s="237">
        <v>37</v>
      </c>
      <c r="H14" s="237">
        <v>39</v>
      </c>
      <c r="I14" s="237">
        <v>42</v>
      </c>
      <c r="J14" s="237">
        <v>44</v>
      </c>
      <c r="K14" s="237">
        <v>47</v>
      </c>
      <c r="L14" s="237">
        <v>50</v>
      </c>
      <c r="M14" s="237">
        <v>53</v>
      </c>
      <c r="N14" s="237">
        <v>58</v>
      </c>
      <c r="O14" s="237">
        <v>63</v>
      </c>
      <c r="P14" s="237">
        <v>68</v>
      </c>
      <c r="Q14" s="237">
        <v>72</v>
      </c>
      <c r="R14" s="237">
        <v>76</v>
      </c>
      <c r="S14" s="237">
        <v>80</v>
      </c>
      <c r="T14" s="237">
        <v>85</v>
      </c>
      <c r="U14" s="237">
        <v>90</v>
      </c>
      <c r="V14" s="237">
        <v>95</v>
      </c>
      <c r="W14" s="237">
        <v>100</v>
      </c>
      <c r="X14" s="237">
        <v>101.3</v>
      </c>
      <c r="Y14" s="237">
        <v>99.6</v>
      </c>
      <c r="Z14" s="237">
        <v>98.32207994126013</v>
      </c>
      <c r="AA14" s="237">
        <v>96.93448152779109</v>
      </c>
      <c r="AB14" s="237">
        <v>95.8113792150171</v>
      </c>
      <c r="AC14" s="237">
        <v>96.87004146599509</v>
      </c>
      <c r="AD14" s="237">
        <v>98.27578451557844</v>
      </c>
      <c r="AE14" s="237">
        <v>99.92236297139189</v>
      </c>
      <c r="AF14" s="237">
        <v>101.87708750292296</v>
      </c>
      <c r="AG14" s="562">
        <f t="shared" si="1"/>
        <v>1.95624330070207</v>
      </c>
      <c r="AH14" s="227" t="s">
        <v>26</v>
      </c>
    </row>
    <row r="15" spans="1:34" ht="12.75" customHeight="1">
      <c r="A15" s="180"/>
      <c r="B15" s="187" t="s">
        <v>31</v>
      </c>
      <c r="C15" s="235">
        <v>64.3</v>
      </c>
      <c r="D15" s="235">
        <v>130.9</v>
      </c>
      <c r="E15" s="234">
        <v>174.4</v>
      </c>
      <c r="F15" s="232">
        <v>207.542</v>
      </c>
      <c r="G15" s="233">
        <v>218.27</v>
      </c>
      <c r="H15" s="233">
        <v>229</v>
      </c>
      <c r="I15" s="233">
        <v>239.7</v>
      </c>
      <c r="J15" s="232">
        <v>250.374</v>
      </c>
      <c r="K15" s="233">
        <v>259</v>
      </c>
      <c r="L15" s="233">
        <v>267.6</v>
      </c>
      <c r="M15" s="232">
        <v>276.173</v>
      </c>
      <c r="N15" s="232">
        <v>293.54</v>
      </c>
      <c r="O15" s="232">
        <v>302.611</v>
      </c>
      <c r="P15" s="232">
        <v>307.955</v>
      </c>
      <c r="Q15" s="233">
        <v>315</v>
      </c>
      <c r="R15" s="232">
        <v>321.928</v>
      </c>
      <c r="S15" s="232">
        <v>330.192</v>
      </c>
      <c r="T15" s="232">
        <v>337.797</v>
      </c>
      <c r="U15" s="232">
        <v>340.937</v>
      </c>
      <c r="V15" s="232">
        <v>343.293</v>
      </c>
      <c r="W15" s="232">
        <v>342.611</v>
      </c>
      <c r="X15" s="232">
        <v>350.401</v>
      </c>
      <c r="Y15" s="232">
        <v>341.629</v>
      </c>
      <c r="Z15" s="232">
        <v>334.021</v>
      </c>
      <c r="AA15" s="232">
        <v>321.045</v>
      </c>
      <c r="AB15" s="232">
        <v>316.539</v>
      </c>
      <c r="AC15" s="462">
        <v>308.704</v>
      </c>
      <c r="AD15" s="462">
        <v>317.553</v>
      </c>
      <c r="AE15" s="462">
        <v>329.88</v>
      </c>
      <c r="AF15" s="232">
        <v>332.858</v>
      </c>
      <c r="AG15" s="561">
        <f t="shared" si="1"/>
        <v>0.9027525160664425</v>
      </c>
      <c r="AH15" s="187" t="s">
        <v>31</v>
      </c>
    </row>
    <row r="16" spans="1:34" ht="12.75" customHeight="1">
      <c r="A16" s="180"/>
      <c r="B16" s="227" t="s">
        <v>32</v>
      </c>
      <c r="C16" s="230">
        <v>304.7</v>
      </c>
      <c r="D16" s="230">
        <v>443.84071500000005</v>
      </c>
      <c r="E16" s="229">
        <v>592.4626365733575</v>
      </c>
      <c r="F16" s="229">
        <v>598.4351534578577</v>
      </c>
      <c r="G16" s="229">
        <v>614.232666348461</v>
      </c>
      <c r="H16" s="229">
        <v>618.0859814358054</v>
      </c>
      <c r="I16" s="229">
        <v>628.6417837953759</v>
      </c>
      <c r="J16" s="229">
        <v>641.2174914414686</v>
      </c>
      <c r="K16" s="229">
        <v>643.9598899530233</v>
      </c>
      <c r="L16" s="229">
        <v>653.444008546068</v>
      </c>
      <c r="M16" s="229">
        <v>672.2056361870265</v>
      </c>
      <c r="N16" s="229">
        <v>689.1919277863982</v>
      </c>
      <c r="O16" s="229">
        <v>687.735734121925</v>
      </c>
      <c r="P16" s="229">
        <v>712.217258157967</v>
      </c>
      <c r="Q16" s="229">
        <v>716.879483834627</v>
      </c>
      <c r="R16" s="229">
        <v>718.2961493866516</v>
      </c>
      <c r="S16" s="229">
        <v>714.9662367495789</v>
      </c>
      <c r="T16" s="229">
        <v>704.6155537135559</v>
      </c>
      <c r="U16" s="229">
        <v>700.9141843686657</v>
      </c>
      <c r="V16" s="229">
        <v>705.3497495000736</v>
      </c>
      <c r="W16" s="229">
        <v>689.6663151892991</v>
      </c>
      <c r="X16" s="229">
        <v>690.1304523298496</v>
      </c>
      <c r="Y16" s="229">
        <v>695.8712970248097</v>
      </c>
      <c r="Z16" s="229">
        <v>695.8946859251822</v>
      </c>
      <c r="AA16" s="229">
        <v>696.7346270761763</v>
      </c>
      <c r="AB16" s="229">
        <v>699.016313152445</v>
      </c>
      <c r="AC16" s="229">
        <v>706.9440129785258</v>
      </c>
      <c r="AD16" s="229">
        <v>722.9</v>
      </c>
      <c r="AE16" s="229">
        <v>742.5</v>
      </c>
      <c r="AF16" s="229">
        <v>743.4</v>
      </c>
      <c r="AG16" s="566">
        <f t="shared" si="1"/>
        <v>0.12121212121212466</v>
      </c>
      <c r="AH16" s="227" t="s">
        <v>32</v>
      </c>
    </row>
    <row r="17" spans="1:34" ht="12.75" customHeight="1">
      <c r="A17" s="180"/>
      <c r="B17" s="187" t="s">
        <v>44</v>
      </c>
      <c r="C17" s="190"/>
      <c r="D17" s="190"/>
      <c r="E17" s="189"/>
      <c r="F17" s="189"/>
      <c r="G17" s="189"/>
      <c r="H17" s="189"/>
      <c r="I17" s="189"/>
      <c r="J17" s="208">
        <v>12.5</v>
      </c>
      <c r="K17" s="208">
        <v>14.75</v>
      </c>
      <c r="L17" s="208">
        <v>16.5</v>
      </c>
      <c r="M17" s="208">
        <v>17.5</v>
      </c>
      <c r="N17" s="208">
        <v>19</v>
      </c>
      <c r="O17" s="208">
        <v>20</v>
      </c>
      <c r="P17" s="208">
        <v>21</v>
      </c>
      <c r="Q17" s="208">
        <v>22</v>
      </c>
      <c r="R17" s="208">
        <v>22.5</v>
      </c>
      <c r="S17" s="208">
        <v>23.5</v>
      </c>
      <c r="T17" s="208">
        <v>24</v>
      </c>
      <c r="U17" s="208">
        <v>25</v>
      </c>
      <c r="V17" s="208">
        <v>26</v>
      </c>
      <c r="W17" s="208">
        <v>27</v>
      </c>
      <c r="X17" s="208">
        <v>26.8</v>
      </c>
      <c r="Y17" s="208">
        <v>25.7</v>
      </c>
      <c r="Z17" s="189">
        <v>25.242</v>
      </c>
      <c r="AA17" s="189">
        <v>26.147</v>
      </c>
      <c r="AB17" s="189">
        <v>26.145</v>
      </c>
      <c r="AC17" s="189">
        <v>26.057</v>
      </c>
      <c r="AD17" s="189">
        <v>26.393</v>
      </c>
      <c r="AE17" s="189">
        <v>26.181</v>
      </c>
      <c r="AF17" s="189">
        <v>26.189</v>
      </c>
      <c r="AG17" s="305">
        <f t="shared" si="1"/>
        <v>0.03055651044650176</v>
      </c>
      <c r="AH17" s="187" t="s">
        <v>44</v>
      </c>
    </row>
    <row r="18" spans="1:34" ht="12.75" customHeight="1">
      <c r="A18" s="180"/>
      <c r="B18" s="191" t="s">
        <v>34</v>
      </c>
      <c r="C18" s="205">
        <v>211.934</v>
      </c>
      <c r="D18" s="205">
        <v>324.034</v>
      </c>
      <c r="E18" s="226">
        <v>522.593</v>
      </c>
      <c r="F18" s="203">
        <v>538.27</v>
      </c>
      <c r="G18" s="203">
        <v>602.21</v>
      </c>
      <c r="H18" s="203">
        <v>603.09</v>
      </c>
      <c r="I18" s="193">
        <v>600.3</v>
      </c>
      <c r="J18" s="193">
        <v>614.713</v>
      </c>
      <c r="K18" s="193">
        <v>627.383</v>
      </c>
      <c r="L18" s="193">
        <v>638.837</v>
      </c>
      <c r="M18" s="193">
        <v>662.545</v>
      </c>
      <c r="N18" s="225">
        <v>663.319</v>
      </c>
      <c r="O18" s="224">
        <v>713.931</v>
      </c>
      <c r="P18" s="193">
        <f>O18+($T$16-$O$16)/5</f>
        <v>717.3069639183262</v>
      </c>
      <c r="Q18" s="193">
        <f>P18+($T$16-$O$16)/5</f>
        <v>720.6829278366524</v>
      </c>
      <c r="R18" s="193">
        <f>Q18+($T$16-$O$16)/5</f>
        <v>724.0588917549786</v>
      </c>
      <c r="S18" s="193">
        <f>R18+($T$16-$O$16)/5</f>
        <v>727.4348556733048</v>
      </c>
      <c r="T18" s="193">
        <v>677.014</v>
      </c>
      <c r="U18" s="193">
        <v>676.255</v>
      </c>
      <c r="V18" s="193">
        <v>677.056</v>
      </c>
      <c r="W18" s="193">
        <v>676.359</v>
      </c>
      <c r="X18" s="193">
        <v>719.912</v>
      </c>
      <c r="Y18" s="193">
        <v>698.39</v>
      </c>
      <c r="Z18" s="193">
        <v>665.328</v>
      </c>
      <c r="AA18" s="193">
        <v>578.668</v>
      </c>
      <c r="AB18" s="193">
        <v>620.368</v>
      </c>
      <c r="AC18" s="193">
        <v>642.92</v>
      </c>
      <c r="AD18" s="193">
        <v>676.35</v>
      </c>
      <c r="AE18" s="193">
        <v>704.542</v>
      </c>
      <c r="AF18" s="193">
        <v>744.919</v>
      </c>
      <c r="AG18" s="309">
        <f t="shared" si="1"/>
        <v>5.730957132434966</v>
      </c>
      <c r="AH18" s="191" t="s">
        <v>34</v>
      </c>
    </row>
    <row r="19" spans="1:34" ht="12.75" customHeight="1">
      <c r="A19" s="180"/>
      <c r="B19" s="187" t="s">
        <v>13</v>
      </c>
      <c r="C19" s="190" t="s">
        <v>41</v>
      </c>
      <c r="D19" s="190" t="s">
        <v>41</v>
      </c>
      <c r="E19" s="189" t="s">
        <v>41</v>
      </c>
      <c r="F19" s="189" t="s">
        <v>41</v>
      </c>
      <c r="G19" s="189" t="s">
        <v>41</v>
      </c>
      <c r="H19" s="189" t="s">
        <v>41</v>
      </c>
      <c r="I19" s="189" t="s">
        <v>41</v>
      </c>
      <c r="J19" s="209">
        <v>3.4</v>
      </c>
      <c r="K19" s="209">
        <v>3.5</v>
      </c>
      <c r="L19" s="209">
        <v>3.6</v>
      </c>
      <c r="M19" s="209">
        <v>3.7</v>
      </c>
      <c r="N19" s="209">
        <v>3.8</v>
      </c>
      <c r="O19" s="209">
        <v>3.9</v>
      </c>
      <c r="P19" s="209">
        <v>4</v>
      </c>
      <c r="Q19" s="209">
        <v>4.1</v>
      </c>
      <c r="R19" s="209">
        <v>4.15</v>
      </c>
      <c r="S19" s="208">
        <v>4.6</v>
      </c>
      <c r="T19" s="208">
        <v>4.8</v>
      </c>
      <c r="U19" s="208">
        <v>5</v>
      </c>
      <c r="V19" s="208">
        <v>5.3</v>
      </c>
      <c r="W19" s="208">
        <v>5.75</v>
      </c>
      <c r="X19" s="208">
        <v>6</v>
      </c>
      <c r="Y19" s="208">
        <v>5.9</v>
      </c>
      <c r="Z19" s="208">
        <v>5.93190592556501</v>
      </c>
      <c r="AA19" s="208">
        <v>5.951576551601025</v>
      </c>
      <c r="AB19" s="208">
        <v>5.921143432419876</v>
      </c>
      <c r="AC19" s="208">
        <v>6.055761785762059</v>
      </c>
      <c r="AD19" s="208">
        <v>6.198133573005254</v>
      </c>
      <c r="AE19" s="208">
        <v>6.47289651806175</v>
      </c>
      <c r="AF19" s="208">
        <v>6.557394186752313</v>
      </c>
      <c r="AG19" s="565">
        <f t="shared" si="1"/>
        <v>1.305407377590285</v>
      </c>
      <c r="AH19" s="187" t="s">
        <v>13</v>
      </c>
    </row>
    <row r="20" spans="1:34" s="201" customFormat="1" ht="12.75" customHeight="1">
      <c r="A20" s="206"/>
      <c r="B20" s="191" t="s">
        <v>17</v>
      </c>
      <c r="C20" s="205" t="s">
        <v>41</v>
      </c>
      <c r="D20" s="205" t="s">
        <v>41</v>
      </c>
      <c r="E20" s="193" t="s">
        <v>41</v>
      </c>
      <c r="F20" s="193" t="s">
        <v>41</v>
      </c>
      <c r="G20" s="193" t="s">
        <v>41</v>
      </c>
      <c r="H20" s="193" t="s">
        <v>41</v>
      </c>
      <c r="I20" s="193" t="s">
        <v>41</v>
      </c>
      <c r="J20" s="204">
        <v>7.5</v>
      </c>
      <c r="K20" s="204">
        <v>8</v>
      </c>
      <c r="L20" s="204">
        <v>9</v>
      </c>
      <c r="M20" s="204">
        <v>10</v>
      </c>
      <c r="N20" s="204">
        <v>11</v>
      </c>
      <c r="O20" s="204">
        <v>11.5</v>
      </c>
      <c r="P20" s="204">
        <v>12</v>
      </c>
      <c r="Q20" s="204">
        <v>12.5</v>
      </c>
      <c r="R20" s="204">
        <v>13</v>
      </c>
      <c r="S20" s="203">
        <v>11.5064</v>
      </c>
      <c r="T20" s="193">
        <v>12.1115</v>
      </c>
      <c r="U20" s="203">
        <v>14.0196</v>
      </c>
      <c r="V20" s="203">
        <v>15.9572</v>
      </c>
      <c r="W20" s="193">
        <v>14.2525</v>
      </c>
      <c r="X20" s="193">
        <v>12.70369</v>
      </c>
      <c r="Y20" s="193">
        <v>12.31234</v>
      </c>
      <c r="Z20" s="193">
        <v>11.3499</v>
      </c>
      <c r="AA20" s="193">
        <v>11.528</v>
      </c>
      <c r="AB20" s="193">
        <v>11.7334</v>
      </c>
      <c r="AC20" s="193">
        <v>12.6258</v>
      </c>
      <c r="AD20" s="193">
        <v>13.5426</v>
      </c>
      <c r="AE20" s="193">
        <v>13.8988</v>
      </c>
      <c r="AF20" s="193">
        <v>14.978</v>
      </c>
      <c r="AG20" s="309">
        <f t="shared" si="1"/>
        <v>7.764699110714602</v>
      </c>
      <c r="AH20" s="191" t="s">
        <v>17</v>
      </c>
    </row>
    <row r="21" spans="1:34" ht="12.75" customHeight="1">
      <c r="A21" s="180"/>
      <c r="B21" s="187" t="s">
        <v>18</v>
      </c>
      <c r="C21" s="190" t="s">
        <v>41</v>
      </c>
      <c r="D21" s="190" t="s">
        <v>41</v>
      </c>
      <c r="E21" s="189" t="s">
        <v>41</v>
      </c>
      <c r="F21" s="189" t="s">
        <v>41</v>
      </c>
      <c r="G21" s="189" t="s">
        <v>41</v>
      </c>
      <c r="H21" s="189" t="s">
        <v>41</v>
      </c>
      <c r="I21" s="189" t="s">
        <v>41</v>
      </c>
      <c r="J21" s="208">
        <v>16</v>
      </c>
      <c r="K21" s="208">
        <v>18</v>
      </c>
      <c r="L21" s="208">
        <v>20</v>
      </c>
      <c r="M21" s="208">
        <v>22</v>
      </c>
      <c r="N21" s="208">
        <v>25</v>
      </c>
      <c r="O21" s="208">
        <v>26</v>
      </c>
      <c r="P21" s="208">
        <v>26</v>
      </c>
      <c r="Q21" s="208">
        <v>26</v>
      </c>
      <c r="R21" s="208">
        <v>29</v>
      </c>
      <c r="S21" s="208">
        <v>31</v>
      </c>
      <c r="T21" s="189">
        <v>34.793</v>
      </c>
      <c r="U21" s="189">
        <v>39.472</v>
      </c>
      <c r="V21" s="189">
        <v>39.119</v>
      </c>
      <c r="W21" s="189">
        <v>37.991</v>
      </c>
      <c r="X21" s="189">
        <v>36.055</v>
      </c>
      <c r="Y21" s="189">
        <v>32.569</v>
      </c>
      <c r="Z21" s="189">
        <v>29.908</v>
      </c>
      <c r="AA21" s="189">
        <v>34.191</v>
      </c>
      <c r="AB21" s="189">
        <v>33.325</v>
      </c>
      <c r="AC21" s="189">
        <v>24.336</v>
      </c>
      <c r="AD21" s="189">
        <v>24.865</v>
      </c>
      <c r="AE21" s="189">
        <v>25.854</v>
      </c>
      <c r="AF21" s="189">
        <v>31.361</v>
      </c>
      <c r="AG21" s="305">
        <f t="shared" si="1"/>
        <v>21.30037905159743</v>
      </c>
      <c r="AH21" s="187" t="s">
        <v>18</v>
      </c>
    </row>
    <row r="22" spans="1:34" s="201" customFormat="1" ht="12.75" customHeight="1">
      <c r="A22" s="206"/>
      <c r="B22" s="191" t="s">
        <v>35</v>
      </c>
      <c r="C22" s="221">
        <v>2.1</v>
      </c>
      <c r="D22" s="221">
        <v>2.7</v>
      </c>
      <c r="E22" s="203">
        <v>4</v>
      </c>
      <c r="F22" s="203">
        <v>4.15</v>
      </c>
      <c r="G22" s="203">
        <v>4.3</v>
      </c>
      <c r="H22" s="203">
        <v>4.5</v>
      </c>
      <c r="I22" s="203">
        <v>4.6</v>
      </c>
      <c r="J22" s="203">
        <v>4.7</v>
      </c>
      <c r="K22" s="203">
        <v>4.8</v>
      </c>
      <c r="L22" s="203">
        <v>4.9</v>
      </c>
      <c r="M22" s="203">
        <v>5</v>
      </c>
      <c r="N22" s="203">
        <v>5</v>
      </c>
      <c r="O22" s="203">
        <v>5.6</v>
      </c>
      <c r="P22" s="203">
        <v>5.8</v>
      </c>
      <c r="Q22" s="203">
        <v>5.9</v>
      </c>
      <c r="R22" s="203">
        <v>6</v>
      </c>
      <c r="S22" s="203">
        <v>6.1</v>
      </c>
      <c r="T22" s="203">
        <v>6.3</v>
      </c>
      <c r="U22" s="203">
        <v>6.5</v>
      </c>
      <c r="V22" s="203">
        <v>6.6</v>
      </c>
      <c r="W22" s="203">
        <v>6.7</v>
      </c>
      <c r="X22" s="203">
        <v>6.7</v>
      </c>
      <c r="Y22" s="203">
        <v>6.5</v>
      </c>
      <c r="Z22" s="203">
        <v>6.591758023581571</v>
      </c>
      <c r="AA22" s="203">
        <v>6.733132688657702</v>
      </c>
      <c r="AB22" s="203">
        <v>6.850930549747795</v>
      </c>
      <c r="AC22" s="203">
        <v>7.132396036634483</v>
      </c>
      <c r="AD22" s="203">
        <v>7.321358260666726</v>
      </c>
      <c r="AE22" s="203">
        <v>7.525420478671155</v>
      </c>
      <c r="AF22" s="203">
        <v>7.673915134968052</v>
      </c>
      <c r="AG22" s="301">
        <f t="shared" si="1"/>
        <v>1.9732406543629963</v>
      </c>
      <c r="AH22" s="191" t="s">
        <v>35</v>
      </c>
    </row>
    <row r="23" spans="1:34" ht="12.75" customHeight="1">
      <c r="A23" s="180"/>
      <c r="B23" s="187" t="s">
        <v>16</v>
      </c>
      <c r="C23" s="190" t="s">
        <v>41</v>
      </c>
      <c r="D23" s="190" t="s">
        <v>41</v>
      </c>
      <c r="E23" s="189">
        <v>47</v>
      </c>
      <c r="F23" s="189">
        <v>46.8</v>
      </c>
      <c r="G23" s="189">
        <v>44.6</v>
      </c>
      <c r="H23" s="189">
        <v>44</v>
      </c>
      <c r="I23" s="189">
        <v>44.9</v>
      </c>
      <c r="J23" s="189">
        <v>45.4</v>
      </c>
      <c r="K23" s="189">
        <v>45.6</v>
      </c>
      <c r="L23" s="189">
        <v>46.1</v>
      </c>
      <c r="M23" s="189">
        <v>46.15</v>
      </c>
      <c r="N23" s="189">
        <v>46.17</v>
      </c>
      <c r="O23" s="189">
        <v>46.18</v>
      </c>
      <c r="P23" s="189">
        <v>46.18</v>
      </c>
      <c r="Q23" s="189">
        <v>46.3</v>
      </c>
      <c r="R23" s="189">
        <v>47.517</v>
      </c>
      <c r="S23" s="189">
        <v>49.121</v>
      </c>
      <c r="T23" s="223">
        <v>49.403</v>
      </c>
      <c r="U23" s="189">
        <v>52.315</v>
      </c>
      <c r="V23" s="189">
        <v>53.946</v>
      </c>
      <c r="W23" s="189">
        <v>54.005</v>
      </c>
      <c r="X23" s="189">
        <v>54.396</v>
      </c>
      <c r="Y23" s="189">
        <v>52.595</v>
      </c>
      <c r="Z23" s="189">
        <v>52.251</v>
      </c>
      <c r="AA23" s="189">
        <v>51.793</v>
      </c>
      <c r="AB23" s="189">
        <v>51.824</v>
      </c>
      <c r="AC23" s="189">
        <v>52.723</v>
      </c>
      <c r="AD23" s="189">
        <v>54.603</v>
      </c>
      <c r="AE23" s="189">
        <v>56.677</v>
      </c>
      <c r="AF23" s="189">
        <v>60.645</v>
      </c>
      <c r="AG23" s="305">
        <f t="shared" si="1"/>
        <v>7.001076274326451</v>
      </c>
      <c r="AH23" s="187" t="s">
        <v>16</v>
      </c>
    </row>
    <row r="24" spans="1:34" s="201" customFormat="1" ht="12.75" customHeight="1">
      <c r="A24" s="206"/>
      <c r="B24" s="191" t="s">
        <v>19</v>
      </c>
      <c r="C24" s="205" t="s">
        <v>41</v>
      </c>
      <c r="D24" s="205" t="s">
        <v>41</v>
      </c>
      <c r="E24" s="193" t="s">
        <v>41</v>
      </c>
      <c r="F24" s="193" t="s">
        <v>41</v>
      </c>
      <c r="G24" s="193" t="s">
        <v>41</v>
      </c>
      <c r="H24" s="193" t="s">
        <v>41</v>
      </c>
      <c r="I24" s="193" t="s">
        <v>41</v>
      </c>
      <c r="J24" s="203">
        <v>1.7</v>
      </c>
      <c r="K24" s="203">
        <v>1.72</v>
      </c>
      <c r="L24" s="203">
        <v>1.74</v>
      </c>
      <c r="M24" s="203">
        <v>1.76</v>
      </c>
      <c r="N24" s="203">
        <v>1.78</v>
      </c>
      <c r="O24" s="203">
        <v>1.8</v>
      </c>
      <c r="P24" s="203">
        <v>1.8</v>
      </c>
      <c r="Q24" s="203">
        <v>1.85</v>
      </c>
      <c r="R24" s="203">
        <v>1.9</v>
      </c>
      <c r="S24" s="203">
        <v>1.95</v>
      </c>
      <c r="T24" s="203">
        <v>2</v>
      </c>
      <c r="U24" s="203">
        <v>2.05</v>
      </c>
      <c r="V24" s="203">
        <v>2.1</v>
      </c>
      <c r="W24" s="203">
        <v>2.15</v>
      </c>
      <c r="X24" s="203">
        <v>2.2</v>
      </c>
      <c r="Y24" s="203">
        <v>2.2</v>
      </c>
      <c r="Z24" s="203">
        <v>2.2297181531995443</v>
      </c>
      <c r="AA24" s="203">
        <v>2.240448897501395</v>
      </c>
      <c r="AB24" s="203">
        <v>2.291235362302769</v>
      </c>
      <c r="AC24" s="203">
        <v>2.4135009155436644</v>
      </c>
      <c r="AD24" s="203">
        <v>2.5042317396135667</v>
      </c>
      <c r="AE24" s="203">
        <f>AD24*2648.08/2556.52</f>
        <v>2.5939190716426603</v>
      </c>
      <c r="AF24" s="203">
        <v>2.618296229959271</v>
      </c>
      <c r="AG24" s="301">
        <f t="shared" si="1"/>
        <v>0.9397809894343965</v>
      </c>
      <c r="AH24" s="191" t="s">
        <v>19</v>
      </c>
    </row>
    <row r="25" spans="1:34" ht="12.75" customHeight="1">
      <c r="A25" s="180"/>
      <c r="B25" s="187" t="s">
        <v>27</v>
      </c>
      <c r="C25" s="190">
        <v>67.1</v>
      </c>
      <c r="D25" s="216">
        <v>108.1</v>
      </c>
      <c r="E25" s="189">
        <v>137.3</v>
      </c>
      <c r="F25" s="189">
        <v>124.5</v>
      </c>
      <c r="G25" s="189">
        <v>129.1</v>
      </c>
      <c r="H25" s="189">
        <v>126.1</v>
      </c>
      <c r="I25" s="189">
        <v>128.8</v>
      </c>
      <c r="J25" s="189">
        <v>131.4</v>
      </c>
      <c r="K25" s="189">
        <v>132.7</v>
      </c>
      <c r="L25" s="189">
        <v>136.5</v>
      </c>
      <c r="M25" s="189">
        <v>137.1</v>
      </c>
      <c r="N25" s="189">
        <v>141.3</v>
      </c>
      <c r="O25" s="189">
        <v>141.1</v>
      </c>
      <c r="P25" s="189">
        <v>141.6</v>
      </c>
      <c r="Q25" s="189">
        <v>144.2</v>
      </c>
      <c r="R25" s="189">
        <v>146.1</v>
      </c>
      <c r="S25" s="189">
        <v>151.6</v>
      </c>
      <c r="T25" s="189">
        <v>148.8</v>
      </c>
      <c r="U25" s="189">
        <v>148</v>
      </c>
      <c r="V25" s="189">
        <v>148.8</v>
      </c>
      <c r="W25" s="189">
        <v>147</v>
      </c>
      <c r="X25" s="208">
        <v>146.3</v>
      </c>
      <c r="Y25" s="215">
        <v>144.2</v>
      </c>
      <c r="Z25" s="189">
        <v>144.4</v>
      </c>
      <c r="AA25" s="189">
        <v>139.7</v>
      </c>
      <c r="AB25" s="189">
        <v>145.4</v>
      </c>
      <c r="AC25" s="189">
        <v>144.969</v>
      </c>
      <c r="AD25" s="189">
        <v>139.5</v>
      </c>
      <c r="AE25" s="189">
        <f>97.7+43.1</f>
        <v>140.8</v>
      </c>
      <c r="AF25" s="189">
        <v>138.7</v>
      </c>
      <c r="AG25" s="305">
        <f t="shared" si="1"/>
        <v>-1.4914772727272947</v>
      </c>
      <c r="AH25" s="187" t="s">
        <v>27</v>
      </c>
    </row>
    <row r="26" spans="1:34" s="201" customFormat="1" ht="12.75" customHeight="1">
      <c r="A26" s="206"/>
      <c r="B26" s="191" t="s">
        <v>36</v>
      </c>
      <c r="C26" s="205">
        <v>32.9</v>
      </c>
      <c r="D26" s="205">
        <v>47.8</v>
      </c>
      <c r="E26" s="193">
        <v>55.677</v>
      </c>
      <c r="F26" s="193">
        <v>57.391</v>
      </c>
      <c r="G26" s="193">
        <v>58.959</v>
      </c>
      <c r="H26" s="193">
        <v>59.785</v>
      </c>
      <c r="I26" s="193">
        <v>61.803</v>
      </c>
      <c r="J26" s="193">
        <v>62.156</v>
      </c>
      <c r="K26" s="193">
        <v>63.073</v>
      </c>
      <c r="L26" s="193">
        <v>63.864</v>
      </c>
      <c r="M26" s="193">
        <v>64.861</v>
      </c>
      <c r="N26" s="193">
        <v>66.11</v>
      </c>
      <c r="O26" s="193">
        <v>66.668</v>
      </c>
      <c r="P26" s="193">
        <v>67.104</v>
      </c>
      <c r="Q26" s="193">
        <v>67.96</v>
      </c>
      <c r="R26" s="193">
        <v>68.941</v>
      </c>
      <c r="S26" s="193">
        <v>69.608</v>
      </c>
      <c r="T26" s="193">
        <v>70.557</v>
      </c>
      <c r="U26" s="193">
        <v>70.893</v>
      </c>
      <c r="V26" s="193">
        <v>72.023</v>
      </c>
      <c r="W26" s="193">
        <v>73.281</v>
      </c>
      <c r="X26" s="193">
        <v>72.675</v>
      </c>
      <c r="Y26" s="193">
        <v>73.467</v>
      </c>
      <c r="Z26" s="193">
        <v>74.451</v>
      </c>
      <c r="AA26" s="193">
        <v>74.154</v>
      </c>
      <c r="AB26" s="193">
        <v>74.837</v>
      </c>
      <c r="AC26" s="193">
        <v>76.594</v>
      </c>
      <c r="AD26" s="193">
        <v>78.347</v>
      </c>
      <c r="AE26" s="193">
        <v>80.444</v>
      </c>
      <c r="AF26" s="193">
        <v>81.795</v>
      </c>
      <c r="AG26" s="309">
        <f t="shared" si="1"/>
        <v>1.6794291681169398</v>
      </c>
      <c r="AH26" s="191" t="s">
        <v>36</v>
      </c>
    </row>
    <row r="27" spans="1:34" ht="12.75" customHeight="1">
      <c r="A27" s="180"/>
      <c r="B27" s="187" t="s">
        <v>20</v>
      </c>
      <c r="C27" s="190" t="s">
        <v>41</v>
      </c>
      <c r="D27" s="190" t="s">
        <v>41</v>
      </c>
      <c r="E27" s="189" t="s">
        <v>41</v>
      </c>
      <c r="F27" s="189"/>
      <c r="G27" s="189"/>
      <c r="H27" s="189"/>
      <c r="I27" s="189"/>
      <c r="J27" s="189">
        <v>110.7</v>
      </c>
      <c r="K27" s="189">
        <v>121.6</v>
      </c>
      <c r="L27" s="189">
        <v>132</v>
      </c>
      <c r="M27" s="189">
        <v>141.1</v>
      </c>
      <c r="N27" s="189">
        <v>143</v>
      </c>
      <c r="O27" s="215">
        <v>130.1</v>
      </c>
      <c r="P27" s="189">
        <v>132.3</v>
      </c>
      <c r="Q27" s="189">
        <v>135.8</v>
      </c>
      <c r="R27" s="189">
        <v>141.3</v>
      </c>
      <c r="S27" s="189">
        <v>146.8</v>
      </c>
      <c r="T27" s="189">
        <v>152.3</v>
      </c>
      <c r="U27" s="189">
        <v>156.6</v>
      </c>
      <c r="V27" s="189">
        <v>162.3</v>
      </c>
      <c r="W27" s="189">
        <v>172.6</v>
      </c>
      <c r="X27" s="189">
        <v>182.758</v>
      </c>
      <c r="Y27" s="189">
        <v>188.81</v>
      </c>
      <c r="Z27" s="189">
        <v>189.103</v>
      </c>
      <c r="AA27" s="189">
        <v>189.324</v>
      </c>
      <c r="AB27" s="189">
        <v>193.336</v>
      </c>
      <c r="AC27" s="189">
        <v>197.032</v>
      </c>
      <c r="AD27" s="189">
        <v>200.57</v>
      </c>
      <c r="AE27" s="189">
        <v>203.783</v>
      </c>
      <c r="AF27" s="189">
        <v>205.74691578298317</v>
      </c>
      <c r="AG27" s="305">
        <f t="shared" si="1"/>
        <v>0.9637289582463637</v>
      </c>
      <c r="AH27" s="187" t="s">
        <v>20</v>
      </c>
    </row>
    <row r="28" spans="1:34" s="201" customFormat="1" ht="12.75" customHeight="1">
      <c r="A28" s="206"/>
      <c r="B28" s="191" t="s">
        <v>37</v>
      </c>
      <c r="C28" s="221">
        <v>13.8</v>
      </c>
      <c r="D28" s="221">
        <v>29</v>
      </c>
      <c r="E28" s="203">
        <v>40</v>
      </c>
      <c r="F28" s="203">
        <v>41</v>
      </c>
      <c r="G28" s="203">
        <v>43</v>
      </c>
      <c r="H28" s="203">
        <v>46</v>
      </c>
      <c r="I28" s="203">
        <v>49</v>
      </c>
      <c r="J28" s="203">
        <v>52.5</v>
      </c>
      <c r="K28" s="203">
        <v>56</v>
      </c>
      <c r="L28" s="203">
        <v>60</v>
      </c>
      <c r="M28" s="203">
        <v>64</v>
      </c>
      <c r="N28" s="203">
        <v>68</v>
      </c>
      <c r="O28" s="203">
        <v>71</v>
      </c>
      <c r="P28" s="203">
        <v>73.2</v>
      </c>
      <c r="Q28" s="203">
        <v>77.7</v>
      </c>
      <c r="R28" s="203">
        <v>81.5</v>
      </c>
      <c r="S28" s="203">
        <v>83</v>
      </c>
      <c r="T28" s="203">
        <v>85</v>
      </c>
      <c r="U28" s="203">
        <v>86</v>
      </c>
      <c r="V28" s="203">
        <v>86.6</v>
      </c>
      <c r="W28" s="203">
        <v>87</v>
      </c>
      <c r="X28" s="203">
        <v>86</v>
      </c>
      <c r="Y28" s="203">
        <v>83.7</v>
      </c>
      <c r="Z28" s="203">
        <v>83.19008452892002</v>
      </c>
      <c r="AA28" s="203">
        <v>82.13077342280117</v>
      </c>
      <c r="AB28" s="203">
        <v>81.86593727133295</v>
      </c>
      <c r="AC28" s="203">
        <v>83.3358926901149</v>
      </c>
      <c r="AD28" s="203">
        <v>84.46785751462882</v>
      </c>
      <c r="AE28" s="203">
        <v>90.461994001226</v>
      </c>
      <c r="AF28" s="203">
        <v>92.19150730334336</v>
      </c>
      <c r="AG28" s="301">
        <f t="shared" si="1"/>
        <v>1.9118673219760325</v>
      </c>
      <c r="AH28" s="191" t="s">
        <v>37</v>
      </c>
    </row>
    <row r="29" spans="1:34" ht="12.75" customHeight="1">
      <c r="A29" s="180"/>
      <c r="B29" s="187" t="s">
        <v>21</v>
      </c>
      <c r="C29" s="220"/>
      <c r="D29" s="220"/>
      <c r="E29" s="208"/>
      <c r="F29" s="208"/>
      <c r="G29" s="208"/>
      <c r="H29" s="208"/>
      <c r="I29" s="208"/>
      <c r="J29" s="208">
        <v>40</v>
      </c>
      <c r="K29" s="208">
        <v>42.5</v>
      </c>
      <c r="L29" s="208">
        <v>45</v>
      </c>
      <c r="M29" s="208">
        <v>47</v>
      </c>
      <c r="N29" s="208">
        <v>49</v>
      </c>
      <c r="O29" s="208">
        <v>51</v>
      </c>
      <c r="P29" s="208">
        <v>52.5</v>
      </c>
      <c r="Q29" s="208">
        <v>54</v>
      </c>
      <c r="R29" s="208">
        <v>56</v>
      </c>
      <c r="S29" s="208">
        <v>58</v>
      </c>
      <c r="T29" s="208">
        <v>61</v>
      </c>
      <c r="U29" s="208">
        <v>64.1</v>
      </c>
      <c r="V29" s="208">
        <v>67.5</v>
      </c>
      <c r="W29" s="208">
        <v>70.5</v>
      </c>
      <c r="X29" s="208">
        <v>75.5</v>
      </c>
      <c r="Y29" s="208">
        <v>75.5</v>
      </c>
      <c r="Z29" s="208">
        <v>74.97833815332045</v>
      </c>
      <c r="AA29" s="208">
        <v>77.04505960700007</v>
      </c>
      <c r="AB29" s="208">
        <v>80.36341832605608</v>
      </c>
      <c r="AC29" s="208">
        <v>85.19385987224148</v>
      </c>
      <c r="AD29" s="208">
        <v>89.86636208053349</v>
      </c>
      <c r="AE29" s="208">
        <v>95.59168254437643</v>
      </c>
      <c r="AF29" s="208">
        <v>97.30333028028437</v>
      </c>
      <c r="AG29" s="565">
        <f t="shared" si="1"/>
        <v>1.7905822874425752</v>
      </c>
      <c r="AH29" s="187" t="s">
        <v>21</v>
      </c>
    </row>
    <row r="30" spans="1:34" s="201" customFormat="1" ht="12.75" customHeight="1">
      <c r="A30" s="206"/>
      <c r="B30" s="191" t="s">
        <v>23</v>
      </c>
      <c r="C30" s="205" t="s">
        <v>41</v>
      </c>
      <c r="D30" s="205" t="s">
        <v>41</v>
      </c>
      <c r="E30" s="219">
        <v>13.32</v>
      </c>
      <c r="F30" s="219">
        <v>12.606</v>
      </c>
      <c r="G30" s="219">
        <v>13.386</v>
      </c>
      <c r="H30" s="219">
        <v>13.979</v>
      </c>
      <c r="I30" s="219">
        <v>15.178</v>
      </c>
      <c r="J30" s="219">
        <v>16.338</v>
      </c>
      <c r="K30" s="219">
        <v>17.794</v>
      </c>
      <c r="L30" s="219">
        <v>19.011</v>
      </c>
      <c r="M30" s="219">
        <v>18.98</v>
      </c>
      <c r="N30" s="219">
        <v>20.074</v>
      </c>
      <c r="O30" s="219">
        <v>20.325</v>
      </c>
      <c r="P30" s="219">
        <v>20.801</v>
      </c>
      <c r="Q30" s="219">
        <v>21.287</v>
      </c>
      <c r="R30" s="219">
        <v>21.331</v>
      </c>
      <c r="S30" s="193">
        <v>22.042</v>
      </c>
      <c r="T30" s="193">
        <v>22.509</v>
      </c>
      <c r="U30" s="193">
        <v>23.006</v>
      </c>
      <c r="V30" s="193">
        <v>24.355</v>
      </c>
      <c r="W30" s="193">
        <v>24.878</v>
      </c>
      <c r="X30" s="193">
        <v>25.775</v>
      </c>
      <c r="Y30" s="193">
        <v>25.636</v>
      </c>
      <c r="Z30" s="203">
        <v>25.487436219641157</v>
      </c>
      <c r="AA30" s="203">
        <v>25.30277592122288</v>
      </c>
      <c r="AB30" s="203">
        <v>25.168354826572546</v>
      </c>
      <c r="AC30" s="203">
        <v>25.638692920142624</v>
      </c>
      <c r="AD30" s="203">
        <v>25.996532775797913</v>
      </c>
      <c r="AE30" s="203">
        <v>26.478496232138678</v>
      </c>
      <c r="AF30" s="203">
        <v>27.13392081474496</v>
      </c>
      <c r="AG30" s="301">
        <f t="shared" si="1"/>
        <v>2.4753089331815943</v>
      </c>
      <c r="AH30" s="191" t="s">
        <v>23</v>
      </c>
    </row>
    <row r="31" spans="1:34" ht="12.75" customHeight="1">
      <c r="A31" s="180"/>
      <c r="B31" s="187" t="s">
        <v>22</v>
      </c>
      <c r="C31" s="218"/>
      <c r="D31" s="218"/>
      <c r="E31" s="217"/>
      <c r="F31" s="189"/>
      <c r="G31" s="189"/>
      <c r="H31" s="189">
        <v>17.554</v>
      </c>
      <c r="I31" s="189">
        <v>17.293</v>
      </c>
      <c r="J31" s="189">
        <v>17.977</v>
      </c>
      <c r="K31" s="189">
        <v>17.993</v>
      </c>
      <c r="L31" s="189">
        <v>18.568</v>
      </c>
      <c r="M31" s="189">
        <v>19.302</v>
      </c>
      <c r="N31" s="189">
        <v>21.541</v>
      </c>
      <c r="O31" s="189">
        <v>23.929</v>
      </c>
      <c r="P31" s="189">
        <v>24.056</v>
      </c>
      <c r="Q31" s="189">
        <v>24.978</v>
      </c>
      <c r="R31" s="189">
        <v>25.224</v>
      </c>
      <c r="S31" s="189">
        <v>25.332</v>
      </c>
      <c r="T31" s="189">
        <v>25.824</v>
      </c>
      <c r="U31" s="189">
        <v>26.342</v>
      </c>
      <c r="V31" s="189">
        <v>25.994</v>
      </c>
      <c r="W31" s="189">
        <v>26.395</v>
      </c>
      <c r="X31" s="189">
        <v>26.42</v>
      </c>
      <c r="Y31" s="189">
        <v>26.879</v>
      </c>
      <c r="Z31" s="189">
        <v>26.887</v>
      </c>
      <c r="AA31" s="189">
        <v>26.935</v>
      </c>
      <c r="AB31" s="189">
        <v>27.155</v>
      </c>
      <c r="AC31" s="189">
        <v>27.251</v>
      </c>
      <c r="AD31" s="189">
        <v>27.531</v>
      </c>
      <c r="AE31" s="189">
        <v>27.836</v>
      </c>
      <c r="AF31" s="189">
        <v>28.12</v>
      </c>
      <c r="AG31" s="305">
        <f t="shared" si="1"/>
        <v>1.0202615318293056</v>
      </c>
      <c r="AH31" s="187" t="s">
        <v>22</v>
      </c>
    </row>
    <row r="32" spans="1:34" ht="12.75" customHeight="1">
      <c r="A32" s="180"/>
      <c r="B32" s="191" t="s">
        <v>38</v>
      </c>
      <c r="C32" s="205">
        <v>23.7</v>
      </c>
      <c r="D32" s="205">
        <v>34.8</v>
      </c>
      <c r="E32" s="193">
        <v>51.2</v>
      </c>
      <c r="F32" s="193">
        <v>50.6</v>
      </c>
      <c r="G32" s="193">
        <v>50.5</v>
      </c>
      <c r="H32" s="193">
        <v>49.7</v>
      </c>
      <c r="I32" s="193">
        <v>49.6</v>
      </c>
      <c r="J32" s="193">
        <v>50</v>
      </c>
      <c r="K32" s="193">
        <v>50.4</v>
      </c>
      <c r="L32" s="193">
        <v>51.9</v>
      </c>
      <c r="M32" s="193">
        <v>53.3</v>
      </c>
      <c r="N32" s="193">
        <v>54.9</v>
      </c>
      <c r="O32" s="193">
        <v>55.7</v>
      </c>
      <c r="P32" s="193">
        <v>57</v>
      </c>
      <c r="Q32" s="193">
        <v>58.3</v>
      </c>
      <c r="R32" s="193">
        <v>59.59</v>
      </c>
      <c r="S32" s="193">
        <v>60.94</v>
      </c>
      <c r="T32" s="193">
        <v>61.91</v>
      </c>
      <c r="U32" s="193">
        <v>62.455</v>
      </c>
      <c r="V32" s="193">
        <v>63.785</v>
      </c>
      <c r="W32" s="193">
        <v>63.4</v>
      </c>
      <c r="X32" s="193">
        <v>64.33</v>
      </c>
      <c r="Y32" s="193">
        <f>64.745</f>
        <v>64.745</v>
      </c>
      <c r="Z32" s="193">
        <v>65.49</v>
      </c>
      <c r="AA32" s="193">
        <v>65.27</v>
      </c>
      <c r="AB32" s="193">
        <v>65.115</v>
      </c>
      <c r="AC32" s="193">
        <v>65.52</v>
      </c>
      <c r="AD32" s="193">
        <v>66.295</v>
      </c>
      <c r="AE32" s="224">
        <v>57.006</v>
      </c>
      <c r="AF32" s="386">
        <v>66.607</v>
      </c>
      <c r="AG32" s="309">
        <f t="shared" si="1"/>
        <v>16.842086797880924</v>
      </c>
      <c r="AH32" s="191" t="s">
        <v>38</v>
      </c>
    </row>
    <row r="33" spans="1:34" ht="12.75" customHeight="1">
      <c r="A33" s="180"/>
      <c r="B33" s="187" t="s">
        <v>39</v>
      </c>
      <c r="C33" s="190">
        <v>56.1</v>
      </c>
      <c r="D33" s="216">
        <v>67.4</v>
      </c>
      <c r="E33" s="189">
        <v>85.945</v>
      </c>
      <c r="F33" s="189">
        <v>86.494</v>
      </c>
      <c r="G33" s="189">
        <v>87.552</v>
      </c>
      <c r="H33" s="189">
        <v>85.683</v>
      </c>
      <c r="I33" s="189">
        <v>86.65</v>
      </c>
      <c r="J33" s="189">
        <v>87.622</v>
      </c>
      <c r="K33" s="189">
        <v>87.983</v>
      </c>
      <c r="L33" s="189">
        <v>88.107</v>
      </c>
      <c r="M33" s="189">
        <v>88.811</v>
      </c>
      <c r="N33" s="215">
        <v>100.18352</v>
      </c>
      <c r="O33" s="215">
        <v>103.65483369766447</v>
      </c>
      <c r="P33" s="189">
        <v>104.83427759943993</v>
      </c>
      <c r="Q33" s="189">
        <v>106.62251789890334</v>
      </c>
      <c r="R33" s="189">
        <v>107.32208833613136</v>
      </c>
      <c r="S33" s="189">
        <v>108.35985149670047</v>
      </c>
      <c r="T33" s="189">
        <v>107.98311590611746</v>
      </c>
      <c r="U33" s="189">
        <v>108.13703214573366</v>
      </c>
      <c r="V33" s="189">
        <v>110.23856590007244</v>
      </c>
      <c r="W33" s="189">
        <v>109.46845217694035</v>
      </c>
      <c r="X33" s="189">
        <v>108.89703801054038</v>
      </c>
      <c r="Y33" s="189">
        <v>108.01282861161354</v>
      </c>
      <c r="Z33" s="189">
        <v>109.02898505595721</v>
      </c>
      <c r="AA33" s="189">
        <v>108.37233901934596</v>
      </c>
      <c r="AB33" s="189">
        <v>108.2057882235005</v>
      </c>
      <c r="AC33" s="189">
        <v>110.34047754415158</v>
      </c>
      <c r="AD33" s="189">
        <v>111.895515890943</v>
      </c>
      <c r="AE33" s="189">
        <v>114.504261827266</v>
      </c>
      <c r="AF33" s="296">
        <v>116.026</v>
      </c>
      <c r="AG33" s="305">
        <f t="shared" si="1"/>
        <v>1.3289795056096665</v>
      </c>
      <c r="AH33" s="187" t="s">
        <v>39</v>
      </c>
    </row>
    <row r="34" spans="1:34" ht="12.75" customHeight="1">
      <c r="A34" s="180"/>
      <c r="B34" s="191" t="s">
        <v>28</v>
      </c>
      <c r="C34" s="205">
        <v>297</v>
      </c>
      <c r="D34" s="205">
        <v>388</v>
      </c>
      <c r="E34" s="193">
        <v>588.0080122315558</v>
      </c>
      <c r="F34" s="193">
        <v>582.210511129872</v>
      </c>
      <c r="G34" s="193">
        <v>583.0444742310589</v>
      </c>
      <c r="H34" s="185">
        <v>607.1</v>
      </c>
      <c r="I34" s="184">
        <v>614</v>
      </c>
      <c r="J34" s="214">
        <v>617.9</v>
      </c>
      <c r="K34" s="184">
        <v>622.2654719600544</v>
      </c>
      <c r="L34" s="184">
        <v>632.3684424546157</v>
      </c>
      <c r="M34" s="193">
        <v>635.6775225864668</v>
      </c>
      <c r="N34" s="193">
        <v>642.0866819761951</v>
      </c>
      <c r="O34" s="193">
        <v>638.5660724907208</v>
      </c>
      <c r="P34" s="193">
        <v>651.3961997016211</v>
      </c>
      <c r="Q34" s="193">
        <v>672.7194691828055</v>
      </c>
      <c r="R34" s="193">
        <v>667.6862466811284</v>
      </c>
      <c r="S34" s="193">
        <v>672.7945795760364</v>
      </c>
      <c r="T34" s="193">
        <v>667.0939345891204</v>
      </c>
      <c r="U34" s="193">
        <v>672.6214990265529</v>
      </c>
      <c r="V34" s="193">
        <v>673.5385181638319</v>
      </c>
      <c r="W34" s="193">
        <v>665.7371813643687</v>
      </c>
      <c r="X34" s="193">
        <v>660.9155296895736</v>
      </c>
      <c r="Y34" s="193">
        <v>644.6898839970787</v>
      </c>
      <c r="Z34" s="193">
        <v>644.0729237142161</v>
      </c>
      <c r="AA34" s="193">
        <v>647.2213805037545</v>
      </c>
      <c r="AB34" s="193">
        <v>641.7692374004212</v>
      </c>
      <c r="AC34" s="193">
        <v>654.3754130002416</v>
      </c>
      <c r="AD34" s="193">
        <v>655.1690050715963</v>
      </c>
      <c r="AE34" s="193">
        <v>665.5</v>
      </c>
      <c r="AF34" s="193">
        <v>670.4</v>
      </c>
      <c r="AG34" s="309">
        <f t="shared" si="1"/>
        <v>0.7362885048835466</v>
      </c>
      <c r="AH34" s="191" t="s">
        <v>28</v>
      </c>
    </row>
    <row r="35" spans="1:34" ht="12.75" customHeight="1">
      <c r="A35" s="180"/>
      <c r="B35" s="210" t="s">
        <v>112</v>
      </c>
      <c r="C35" s="212"/>
      <c r="D35" s="212"/>
      <c r="E35" s="211"/>
      <c r="F35" s="211"/>
      <c r="G35" s="211">
        <v>2.685</v>
      </c>
      <c r="H35" s="211">
        <v>4.293</v>
      </c>
      <c r="I35" s="211">
        <v>4.638</v>
      </c>
      <c r="J35" s="211">
        <v>4.759</v>
      </c>
      <c r="K35" s="211">
        <v>5.01</v>
      </c>
      <c r="L35" s="211">
        <v>3.531</v>
      </c>
      <c r="M35" s="211">
        <v>4.734</v>
      </c>
      <c r="N35" s="211">
        <v>4.962</v>
      </c>
      <c r="O35" s="211">
        <v>5.115</v>
      </c>
      <c r="P35" s="211">
        <v>5.173</v>
      </c>
      <c r="Q35" s="211">
        <v>5.906</v>
      </c>
      <c r="R35" s="211">
        <v>6.319</v>
      </c>
      <c r="S35" s="211">
        <v>6.34</v>
      </c>
      <c r="T35" s="211">
        <v>6.645</v>
      </c>
      <c r="U35" s="211">
        <v>6.87</v>
      </c>
      <c r="V35" s="211">
        <v>6.377</v>
      </c>
      <c r="W35" s="211">
        <v>5.647</v>
      </c>
      <c r="X35" s="211">
        <v>6.068</v>
      </c>
      <c r="Y35" s="211">
        <v>5.535</v>
      </c>
      <c r="Z35" s="211">
        <v>6.726</v>
      </c>
      <c r="AA35" s="211">
        <v>6.654</v>
      </c>
      <c r="AB35" s="211">
        <v>7.587</v>
      </c>
      <c r="AC35" s="378">
        <v>8.514708763183696</v>
      </c>
      <c r="AD35" s="378">
        <v>9.130100123541187</v>
      </c>
      <c r="AE35" s="378">
        <v>9.881313326312377</v>
      </c>
      <c r="AF35" s="378">
        <v>10.110866732127308</v>
      </c>
      <c r="AG35" s="340">
        <f t="shared" si="1"/>
        <v>2.3231062332945953</v>
      </c>
      <c r="AH35" s="210" t="s">
        <v>112</v>
      </c>
    </row>
    <row r="36" spans="1:34" ht="12.75" customHeight="1">
      <c r="A36" s="180"/>
      <c r="B36" s="191" t="s">
        <v>103</v>
      </c>
      <c r="C36" s="205"/>
      <c r="D36" s="205"/>
      <c r="E36" s="193"/>
      <c r="F36" s="193"/>
      <c r="G36" s="193"/>
      <c r="H36" s="193"/>
      <c r="I36" s="193"/>
      <c r="J36" s="203"/>
      <c r="K36" s="203"/>
      <c r="L36" s="203"/>
      <c r="M36" s="203"/>
      <c r="N36" s="203"/>
      <c r="O36" s="203"/>
      <c r="P36" s="203"/>
      <c r="Q36" s="203"/>
      <c r="R36" s="203"/>
      <c r="S36" s="203"/>
      <c r="T36" s="203"/>
      <c r="U36" s="203"/>
      <c r="V36" s="203"/>
      <c r="W36" s="203"/>
      <c r="X36" s="203"/>
      <c r="Y36" s="203">
        <v>4.079443943033051</v>
      </c>
      <c r="Z36" s="203">
        <v>3.929694286390853</v>
      </c>
      <c r="AA36" s="203">
        <v>3.976974965962094</v>
      </c>
      <c r="AB36" s="203">
        <v>4.073523343797696</v>
      </c>
      <c r="AC36" s="203">
        <v>4.025779622039214</v>
      </c>
      <c r="AD36" s="203">
        <v>4.085406232758256</v>
      </c>
      <c r="AE36" s="203">
        <v>4.496951770863971</v>
      </c>
      <c r="AF36" s="203">
        <v>4.604224362695947</v>
      </c>
      <c r="AG36" s="301">
        <f t="shared" si="1"/>
        <v>2.385451241149667</v>
      </c>
      <c r="AH36" s="191" t="s">
        <v>103</v>
      </c>
    </row>
    <row r="37" spans="1:34" ht="12.75" customHeight="1">
      <c r="A37" s="180"/>
      <c r="B37" s="187" t="s">
        <v>6</v>
      </c>
      <c r="C37" s="190"/>
      <c r="D37" s="190"/>
      <c r="E37" s="189"/>
      <c r="F37" s="189"/>
      <c r="G37" s="189"/>
      <c r="H37" s="209"/>
      <c r="I37" s="209"/>
      <c r="J37" s="208"/>
      <c r="K37" s="208"/>
      <c r="L37" s="208"/>
      <c r="M37" s="208"/>
      <c r="N37" s="208"/>
      <c r="O37" s="181">
        <v>4.793</v>
      </c>
      <c r="P37" s="181">
        <v>4.671</v>
      </c>
      <c r="Q37" s="181">
        <v>4.687</v>
      </c>
      <c r="R37" s="181">
        <v>4.637</v>
      </c>
      <c r="S37" s="181">
        <v>4.2</v>
      </c>
      <c r="T37" s="181">
        <v>3.974</v>
      </c>
      <c r="U37" s="181">
        <v>3.806</v>
      </c>
      <c r="V37" s="181">
        <v>3.974</v>
      </c>
      <c r="W37" s="181">
        <v>4.215</v>
      </c>
      <c r="X37" s="181">
        <v>4.244</v>
      </c>
      <c r="Y37" s="181">
        <v>4.683</v>
      </c>
      <c r="Z37" s="181">
        <v>5.322</v>
      </c>
      <c r="AA37" s="181">
        <v>5.116</v>
      </c>
      <c r="AB37" s="181">
        <v>6.341</v>
      </c>
      <c r="AC37" s="181">
        <v>6.769</v>
      </c>
      <c r="AD37" s="181">
        <v>6.987</v>
      </c>
      <c r="AE37" s="181">
        <v>7.192</v>
      </c>
      <c r="AF37" s="181">
        <v>9.168</v>
      </c>
      <c r="AG37" s="305">
        <f t="shared" si="1"/>
        <v>27.474972191323687</v>
      </c>
      <c r="AH37" s="187" t="s">
        <v>6</v>
      </c>
    </row>
    <row r="38" spans="1:34" ht="12.75" customHeight="1">
      <c r="A38" s="180"/>
      <c r="B38" s="191" t="s">
        <v>104</v>
      </c>
      <c r="C38" s="205"/>
      <c r="D38" s="205"/>
      <c r="E38" s="193"/>
      <c r="F38" s="193"/>
      <c r="G38" s="193"/>
      <c r="H38" s="204"/>
      <c r="I38" s="204"/>
      <c r="J38" s="203"/>
      <c r="K38" s="203"/>
      <c r="L38" s="203"/>
      <c r="M38" s="203"/>
      <c r="N38" s="203"/>
      <c r="O38" s="203"/>
      <c r="P38" s="203"/>
      <c r="Q38" s="203"/>
      <c r="R38" s="203"/>
      <c r="S38" s="203"/>
      <c r="T38" s="203"/>
      <c r="U38" s="203"/>
      <c r="V38" s="203"/>
      <c r="W38" s="203"/>
      <c r="X38" s="203"/>
      <c r="Y38" s="203">
        <v>30.589796610169493</v>
      </c>
      <c r="Z38" s="203">
        <v>26.07948717948718</v>
      </c>
      <c r="AA38" s="203">
        <v>26.5184804926127</v>
      </c>
      <c r="AB38" s="203">
        <v>27.10630859758152</v>
      </c>
      <c r="AC38" s="203">
        <v>27.918314222064502</v>
      </c>
      <c r="AD38" s="203">
        <v>28.61996915457172</v>
      </c>
      <c r="AE38" s="203">
        <v>29.51249293040295</v>
      </c>
      <c r="AF38" s="203">
        <v>29.985312873850475</v>
      </c>
      <c r="AG38" s="301">
        <f t="shared" si="1"/>
        <v>1.6021009968983009</v>
      </c>
      <c r="AH38" s="191" t="s">
        <v>104</v>
      </c>
    </row>
    <row r="39" spans="1:34" s="201" customFormat="1" ht="12.75" customHeight="1">
      <c r="A39" s="206"/>
      <c r="B39" s="195" t="s">
        <v>24</v>
      </c>
      <c r="C39" s="200" t="s">
        <v>41</v>
      </c>
      <c r="D39" s="200" t="s">
        <v>41</v>
      </c>
      <c r="E39" s="197">
        <v>34.325</v>
      </c>
      <c r="F39" s="197">
        <v>33.58</v>
      </c>
      <c r="G39" s="197">
        <v>36.889</v>
      </c>
      <c r="H39" s="197">
        <v>41.848</v>
      </c>
      <c r="I39" s="197">
        <v>45.736</v>
      </c>
      <c r="J39" s="197">
        <v>52.652</v>
      </c>
      <c r="K39" s="197">
        <v>57.486</v>
      </c>
      <c r="L39" s="199">
        <v>62.5</v>
      </c>
      <c r="M39" s="199">
        <v>67.5</v>
      </c>
      <c r="N39" s="199">
        <v>72.5</v>
      </c>
      <c r="O39" s="199">
        <v>79</v>
      </c>
      <c r="P39" s="199">
        <v>81</v>
      </c>
      <c r="Q39" s="199">
        <v>82</v>
      </c>
      <c r="R39" s="199">
        <v>84</v>
      </c>
      <c r="S39" s="199">
        <v>95</v>
      </c>
      <c r="T39" s="199">
        <v>100</v>
      </c>
      <c r="U39" s="199">
        <v>108</v>
      </c>
      <c r="V39" s="199">
        <v>114</v>
      </c>
      <c r="W39" s="199">
        <v>120</v>
      </c>
      <c r="X39" s="198">
        <v>124.038</v>
      </c>
      <c r="Y39" s="197">
        <v>137.857</v>
      </c>
      <c r="Z39" s="197">
        <v>146.931</v>
      </c>
      <c r="AA39" s="197">
        <v>162.315</v>
      </c>
      <c r="AB39" s="197">
        <v>173.332</v>
      </c>
      <c r="AC39" s="356">
        <v>182.155</v>
      </c>
      <c r="AD39" s="356">
        <v>199.895</v>
      </c>
      <c r="AE39" s="431">
        <v>213.853</v>
      </c>
      <c r="AF39" s="465">
        <v>217.99504601287668</v>
      </c>
      <c r="AG39" s="300">
        <f t="shared" si="1"/>
        <v>1.9368659840529148</v>
      </c>
      <c r="AH39" s="195" t="s">
        <v>24</v>
      </c>
    </row>
    <row r="40" spans="1:34" s="201" customFormat="1" ht="12.75" customHeight="1">
      <c r="A40" s="206"/>
      <c r="B40" s="191" t="s">
        <v>10</v>
      </c>
      <c r="C40" s="194" t="s">
        <v>41</v>
      </c>
      <c r="D40" s="194" t="s">
        <v>41</v>
      </c>
      <c r="E40" s="192" t="s">
        <v>41</v>
      </c>
      <c r="F40" s="192"/>
      <c r="G40" s="192"/>
      <c r="H40" s="192"/>
      <c r="I40" s="192"/>
      <c r="J40" s="192">
        <v>3.026</v>
      </c>
      <c r="K40" s="192">
        <v>3.168</v>
      </c>
      <c r="L40" s="192">
        <v>3.36</v>
      </c>
      <c r="M40" s="192">
        <v>3.561</v>
      </c>
      <c r="N40" s="192">
        <v>3.712</v>
      </c>
      <c r="O40" s="192">
        <v>3.765</v>
      </c>
      <c r="P40" s="192">
        <v>3.95</v>
      </c>
      <c r="Q40" s="192">
        <v>4.06</v>
      </c>
      <c r="R40" s="192">
        <v>4.174</v>
      </c>
      <c r="S40" s="192">
        <v>4.301</v>
      </c>
      <c r="T40" s="192">
        <v>4.558</v>
      </c>
      <c r="U40" s="193">
        <v>4.833</v>
      </c>
      <c r="V40" s="193">
        <v>5.077</v>
      </c>
      <c r="W40" s="193">
        <v>4.948</v>
      </c>
      <c r="X40" s="192">
        <v>5.002</v>
      </c>
      <c r="Y40" s="192">
        <v>4.958</v>
      </c>
      <c r="Z40" s="192">
        <v>4.776</v>
      </c>
      <c r="AA40" s="192">
        <v>4.832</v>
      </c>
      <c r="AB40" s="192">
        <v>4.971</v>
      </c>
      <c r="AC40" s="357">
        <v>5.226</v>
      </c>
      <c r="AD40" s="357">
        <v>5.578</v>
      </c>
      <c r="AE40" s="357">
        <v>6.468</v>
      </c>
      <c r="AF40" s="203">
        <v>6.646318678877559</v>
      </c>
      <c r="AG40" s="297">
        <f t="shared" si="1"/>
        <v>2.7569369028688726</v>
      </c>
      <c r="AH40" s="191" t="s">
        <v>10</v>
      </c>
    </row>
    <row r="41" spans="1:34" ht="12" customHeight="1">
      <c r="A41" s="180"/>
      <c r="B41" s="187" t="s">
        <v>40</v>
      </c>
      <c r="C41" s="190">
        <f>17.781+0.429</f>
        <v>18.209999999999997</v>
      </c>
      <c r="D41" s="190">
        <f>30.436+0.625</f>
        <v>31.061</v>
      </c>
      <c r="E41" s="189">
        <f>42.696+0.523+0.278</f>
        <v>43.497</v>
      </c>
      <c r="F41" s="189">
        <f>42.252+0.513+0.247</f>
        <v>43.012</v>
      </c>
      <c r="G41" s="189">
        <f>42.39+0.545+0.237</f>
        <v>43.172000000000004</v>
      </c>
      <c r="H41" s="189">
        <f>43.128+0.553+0.262</f>
        <v>43.943</v>
      </c>
      <c r="I41" s="189">
        <f>43.605+0.561+0.367</f>
        <v>44.532999999999994</v>
      </c>
      <c r="J41" s="189">
        <f>43.659+0.566+0.505</f>
        <v>44.730000000000004</v>
      </c>
      <c r="K41" s="189">
        <f>45.217+0.57+0.642</f>
        <v>46.429</v>
      </c>
      <c r="L41" s="189">
        <f>46.078+0.6+0.98</f>
        <v>47.658</v>
      </c>
      <c r="M41" s="189">
        <f>47.294+0.613+1.359</f>
        <v>49.266</v>
      </c>
      <c r="N41" s="189">
        <f>48.233+0.601+1.497</f>
        <v>50.330999999999996</v>
      </c>
      <c r="O41" s="189">
        <f>49.055+0.583+1.535</f>
        <v>51.172999999999995</v>
      </c>
      <c r="P41" s="189">
        <f>50.226+0.609+1.522</f>
        <v>52.357</v>
      </c>
      <c r="Q41" s="189">
        <f>51.478+0.58+1.429</f>
        <v>53.487</v>
      </c>
      <c r="R41" s="189">
        <f>52.127+0.575+1.3</f>
        <v>54.002</v>
      </c>
      <c r="S41" s="189">
        <f>52.606+0.571+1.165</f>
        <v>54.342</v>
      </c>
      <c r="T41" s="189">
        <f>52.4+0.556+1.071</f>
        <v>54.026999999999994</v>
      </c>
      <c r="U41" s="189">
        <f>53.302+0.552+1.084</f>
        <v>54.938</v>
      </c>
      <c r="V41" s="189">
        <f>54.866+0.665+1.143</f>
        <v>56.674</v>
      </c>
      <c r="W41" s="189">
        <f>55.956+0.636+1.151</f>
        <v>57.74300000000001</v>
      </c>
      <c r="X41" s="189">
        <f>56.536+1.132+0.624</f>
        <v>58.292</v>
      </c>
      <c r="Y41" s="189">
        <f>57.034+1.199+0.545</f>
        <v>58.778</v>
      </c>
      <c r="Z41" s="189">
        <f>58.029+1.342+0.532</f>
        <v>59.903000000000006</v>
      </c>
      <c r="AA41" s="189">
        <f>58.701+1.487+0.516</f>
        <v>60.704</v>
      </c>
      <c r="AB41" s="189">
        <f>59.407+1.595+0.511</f>
        <v>61.513</v>
      </c>
      <c r="AC41" s="189">
        <f>61.288+1.698+0.494</f>
        <v>63.48</v>
      </c>
      <c r="AD41" s="189">
        <f>62.391+1.83+0.495</f>
        <v>64.71600000000001</v>
      </c>
      <c r="AE41" s="189">
        <f>62.63+1.926+0.436</f>
        <v>64.992</v>
      </c>
      <c r="AF41" s="189">
        <v>66.39</v>
      </c>
      <c r="AG41" s="305">
        <f t="shared" si="1"/>
        <v>2.1510339734120976</v>
      </c>
      <c r="AH41" s="187" t="s">
        <v>40</v>
      </c>
    </row>
    <row r="42" spans="1:34" ht="12.75" customHeight="1">
      <c r="A42" s="180"/>
      <c r="B42" s="182" t="s">
        <v>11</v>
      </c>
      <c r="C42" s="186">
        <v>41.836</v>
      </c>
      <c r="D42" s="186">
        <v>61.817</v>
      </c>
      <c r="E42" s="184">
        <v>73.271</v>
      </c>
      <c r="F42" s="184">
        <v>74.744</v>
      </c>
      <c r="G42" s="184">
        <v>73.372</v>
      </c>
      <c r="H42" s="184">
        <v>71.417</v>
      </c>
      <c r="I42" s="185">
        <v>68.358</v>
      </c>
      <c r="J42" s="184">
        <v>69.586</v>
      </c>
      <c r="K42" s="184">
        <v>70.774</v>
      </c>
      <c r="L42" s="184">
        <v>71.406</v>
      </c>
      <c r="M42" s="184">
        <v>72.54</v>
      </c>
      <c r="N42" s="184">
        <v>73.531</v>
      </c>
      <c r="O42" s="184">
        <v>74.984</v>
      </c>
      <c r="P42" s="184">
        <v>75.494</v>
      </c>
      <c r="Q42" s="184">
        <v>76.369</v>
      </c>
      <c r="R42" s="184">
        <v>77.001</v>
      </c>
      <c r="S42" s="184">
        <v>77.74</v>
      </c>
      <c r="T42" s="184">
        <v>77.844</v>
      </c>
      <c r="U42" s="184">
        <v>78.394</v>
      </c>
      <c r="V42" s="184">
        <v>79.261</v>
      </c>
      <c r="W42" s="184">
        <v>81.397</v>
      </c>
      <c r="X42" s="184">
        <v>83.887</v>
      </c>
      <c r="Y42" s="184">
        <v>85.934</v>
      </c>
      <c r="Z42" s="184">
        <v>86.723</v>
      </c>
      <c r="AA42" s="184">
        <v>88.15</v>
      </c>
      <c r="AB42" s="184">
        <v>89.467</v>
      </c>
      <c r="AC42" s="358">
        <v>90.704</v>
      </c>
      <c r="AD42" s="358">
        <v>91.995</v>
      </c>
      <c r="AE42" s="411">
        <v>93.97</v>
      </c>
      <c r="AF42" s="411">
        <v>95.742</v>
      </c>
      <c r="AG42" s="567">
        <f t="shared" si="1"/>
        <v>1.8857082047462086</v>
      </c>
      <c r="AH42" s="182" t="s">
        <v>11</v>
      </c>
    </row>
    <row r="43" spans="1:34" ht="12.75" customHeight="1">
      <c r="A43" s="180"/>
      <c r="B43" s="179" t="s">
        <v>101</v>
      </c>
      <c r="C43" s="178"/>
      <c r="D43" s="178"/>
      <c r="E43" s="178"/>
      <c r="F43" s="178"/>
      <c r="G43" s="178"/>
      <c r="H43" s="178"/>
      <c r="I43" s="178"/>
      <c r="J43" s="178"/>
      <c r="K43" s="178"/>
      <c r="L43" s="178"/>
      <c r="M43" s="178"/>
      <c r="N43" s="178"/>
      <c r="O43" s="178"/>
      <c r="P43" s="178"/>
      <c r="Q43" s="178"/>
      <c r="R43" s="178"/>
      <c r="S43" s="178"/>
      <c r="T43" s="177"/>
      <c r="U43" s="177"/>
      <c r="V43" s="177"/>
      <c r="W43" s="177"/>
      <c r="X43" s="177"/>
      <c r="Y43" s="177"/>
      <c r="Z43" s="177"/>
      <c r="AA43" s="177"/>
      <c r="AB43" s="177"/>
      <c r="AC43" s="177"/>
      <c r="AD43" s="177"/>
      <c r="AE43" s="177"/>
      <c r="AF43" s="177"/>
      <c r="AH43" s="177"/>
    </row>
    <row r="44" spans="1:34" ht="12.75" customHeight="1">
      <c r="A44" s="180"/>
      <c r="B44" s="176" t="s">
        <v>5</v>
      </c>
      <c r="C44" s="175"/>
      <c r="D44" s="173"/>
      <c r="E44" s="172"/>
      <c r="F44" s="172"/>
      <c r="G44" s="172"/>
      <c r="H44" s="174"/>
      <c r="I44" s="172"/>
      <c r="J44" s="173"/>
      <c r="K44" s="174"/>
      <c r="L44" s="172"/>
      <c r="M44" s="172"/>
      <c r="N44" s="173"/>
      <c r="O44" s="173"/>
      <c r="P44" s="172"/>
      <c r="Q44" s="172"/>
      <c r="R44" s="171"/>
      <c r="S44" s="171"/>
      <c r="T44" s="170"/>
      <c r="U44" s="170"/>
      <c r="V44" s="170"/>
      <c r="W44" s="170"/>
      <c r="X44" s="170"/>
      <c r="Y44" s="170"/>
      <c r="Z44" s="170"/>
      <c r="AA44" s="170"/>
      <c r="AB44" s="170"/>
      <c r="AC44" s="170"/>
      <c r="AD44" s="170"/>
      <c r="AE44" s="170"/>
      <c r="AF44" s="170"/>
      <c r="AG44" s="568"/>
      <c r="AH44" s="170"/>
    </row>
    <row r="45" spans="1:2" ht="15" customHeight="1">
      <c r="A45" s="180"/>
      <c r="B45" s="169" t="s">
        <v>155</v>
      </c>
    </row>
    <row r="46" ht="12.75" customHeight="1">
      <c r="B46" s="167" t="s">
        <v>114</v>
      </c>
    </row>
    <row r="47" ht="12.75" customHeight="1">
      <c r="B47" s="167" t="s">
        <v>73</v>
      </c>
    </row>
    <row r="48" spans="1:2" ht="13.5" customHeight="1">
      <c r="A48" s="165"/>
      <c r="B48" s="167" t="s">
        <v>142</v>
      </c>
    </row>
    <row r="49" spans="1:2" ht="12.75" customHeight="1">
      <c r="A49" s="165"/>
      <c r="B49" s="165" t="s">
        <v>115</v>
      </c>
    </row>
    <row r="50" spans="1:18" ht="12.75" customHeight="1">
      <c r="A50" s="165"/>
      <c r="B50" s="165" t="s">
        <v>116</v>
      </c>
      <c r="K50" s="181"/>
      <c r="L50" s="181"/>
      <c r="M50" s="181"/>
      <c r="N50" s="181"/>
      <c r="O50" s="181"/>
      <c r="P50" s="181"/>
      <c r="Q50" s="181"/>
      <c r="R50" s="181"/>
    </row>
    <row r="51" ht="11.25">
      <c r="B51" s="222" t="s">
        <v>136</v>
      </c>
    </row>
    <row r="52" ht="11.25">
      <c r="B52" s="222" t="s">
        <v>122</v>
      </c>
    </row>
    <row r="55" spans="5:32" ht="11.25">
      <c r="E55" s="143"/>
      <c r="F55" s="143"/>
      <c r="G55" s="143"/>
      <c r="H55" s="143"/>
      <c r="I55" s="143"/>
      <c r="J55" s="143"/>
      <c r="K55" s="143"/>
      <c r="L55" s="143"/>
      <c r="M55" s="143"/>
      <c r="N55" s="143"/>
      <c r="O55" s="143"/>
      <c r="P55" s="143"/>
      <c r="Q55" s="143"/>
      <c r="R55" s="143"/>
      <c r="AC55" s="143"/>
      <c r="AD55" s="143"/>
      <c r="AE55" s="143"/>
      <c r="AF55" s="143"/>
    </row>
    <row r="56" spans="5:32" ht="11.25">
      <c r="E56" s="143"/>
      <c r="F56" s="143"/>
      <c r="G56" s="143"/>
      <c r="H56" s="143"/>
      <c r="I56" s="143"/>
      <c r="J56" s="143"/>
      <c r="K56" s="143"/>
      <c r="L56" s="143"/>
      <c r="M56" s="143"/>
      <c r="N56" s="143"/>
      <c r="O56" s="143"/>
      <c r="P56" s="143"/>
      <c r="Q56" s="143"/>
      <c r="R56" s="143"/>
      <c r="AC56" s="143"/>
      <c r="AD56" s="143"/>
      <c r="AE56" s="143"/>
      <c r="AF56" s="143"/>
    </row>
    <row r="57" spans="5:32" ht="11.25">
      <c r="E57" s="380"/>
      <c r="F57" s="380"/>
      <c r="G57" s="380"/>
      <c r="H57" s="380"/>
      <c r="I57" s="380"/>
      <c r="J57" s="380"/>
      <c r="K57" s="380"/>
      <c r="L57" s="380"/>
      <c r="M57" s="380"/>
      <c r="N57" s="380"/>
      <c r="O57" s="380"/>
      <c r="P57" s="380"/>
      <c r="Q57" s="380"/>
      <c r="R57" s="380"/>
      <c r="AC57" s="380"/>
      <c r="AD57" s="380"/>
      <c r="AE57" s="380"/>
      <c r="AF57" s="380"/>
    </row>
    <row r="58" spans="5:32" ht="11.25">
      <c r="E58" s="181"/>
      <c r="F58" s="181"/>
      <c r="G58" s="181"/>
      <c r="H58" s="181"/>
      <c r="I58" s="181"/>
      <c r="J58" s="181"/>
      <c r="K58" s="181"/>
      <c r="L58" s="181"/>
      <c r="M58" s="181"/>
      <c r="N58" s="181"/>
      <c r="O58" s="181"/>
      <c r="P58" s="181"/>
      <c r="Q58" s="181"/>
      <c r="R58" s="181"/>
      <c r="AC58" s="181"/>
      <c r="AD58" s="181"/>
      <c r="AE58" s="181"/>
      <c r="AF58" s="181"/>
    </row>
    <row r="59" spans="30:32" ht="11.25">
      <c r="AD59" s="181"/>
      <c r="AE59" s="181"/>
      <c r="AF59" s="181"/>
    </row>
    <row r="60" spans="30:32" ht="11.25">
      <c r="AD60" s="181"/>
      <c r="AE60" s="181"/>
      <c r="AF60" s="181"/>
    </row>
    <row r="61" spans="30:32" ht="11.25">
      <c r="AD61" s="181"/>
      <c r="AE61" s="181"/>
      <c r="AF61" s="181"/>
    </row>
    <row r="62" spans="30:32" ht="11.25">
      <c r="AD62" s="181"/>
      <c r="AE62" s="181"/>
      <c r="AF62" s="181"/>
    </row>
    <row r="63" spans="30:32" ht="11.25">
      <c r="AD63" s="181"/>
      <c r="AE63" s="181"/>
      <c r="AF63" s="181"/>
    </row>
    <row r="64" spans="30:32" ht="11.25">
      <c r="AD64" s="181"/>
      <c r="AE64" s="181"/>
      <c r="AF64" s="181"/>
    </row>
    <row r="65" spans="30:32" ht="11.25">
      <c r="AD65" s="181"/>
      <c r="AE65" s="181"/>
      <c r="AF65" s="181"/>
    </row>
    <row r="66" spans="30:32" ht="11.25">
      <c r="AD66" s="181"/>
      <c r="AE66" s="181"/>
      <c r="AF66" s="181"/>
    </row>
    <row r="67" spans="30:32" ht="11.25">
      <c r="AD67" s="181"/>
      <c r="AE67" s="181"/>
      <c r="AF67" s="181"/>
    </row>
    <row r="68" spans="30:32" ht="11.25">
      <c r="AD68" s="181"/>
      <c r="AE68" s="181"/>
      <c r="AF68" s="181"/>
    </row>
    <row r="69" spans="30:32" ht="11.25">
      <c r="AD69" s="181"/>
      <c r="AE69" s="181"/>
      <c r="AF69" s="181"/>
    </row>
    <row r="70" spans="30:32" ht="11.25">
      <c r="AD70" s="181"/>
      <c r="AE70" s="181"/>
      <c r="AF70" s="181"/>
    </row>
    <row r="71" spans="30:32" ht="11.25">
      <c r="AD71" s="181"/>
      <c r="AE71" s="181"/>
      <c r="AF71" s="181"/>
    </row>
    <row r="72" spans="30:32" ht="11.25">
      <c r="AD72" s="181"/>
      <c r="AE72" s="181"/>
      <c r="AF72" s="181"/>
    </row>
    <row r="73" spans="30:32" ht="11.25">
      <c r="AD73" s="181"/>
      <c r="AE73" s="181"/>
      <c r="AF73" s="181"/>
    </row>
    <row r="74" spans="30:32" ht="11.25">
      <c r="AD74" s="181"/>
      <c r="AE74" s="181"/>
      <c r="AF74" s="181"/>
    </row>
    <row r="75" spans="30:32" ht="11.25">
      <c r="AD75" s="181"/>
      <c r="AE75" s="181"/>
      <c r="AF75" s="181"/>
    </row>
    <row r="76" spans="30:32" ht="11.25">
      <c r="AD76" s="181"/>
      <c r="AE76" s="181"/>
      <c r="AF76" s="181"/>
    </row>
    <row r="77" spans="30:32" ht="11.25">
      <c r="AD77" s="181"/>
      <c r="AE77" s="181"/>
      <c r="AF77" s="181"/>
    </row>
    <row r="78" spans="30:32" ht="11.25">
      <c r="AD78" s="181"/>
      <c r="AE78" s="181"/>
      <c r="AF78" s="181"/>
    </row>
    <row r="79" spans="30:32" ht="11.25">
      <c r="AD79" s="181"/>
      <c r="AE79" s="181"/>
      <c r="AF79" s="181"/>
    </row>
    <row r="80" spans="30:32" ht="11.25">
      <c r="AD80" s="181"/>
      <c r="AE80" s="181"/>
      <c r="AF80" s="181"/>
    </row>
    <row r="81" spans="30:32" ht="11.25">
      <c r="AD81" s="181"/>
      <c r="AE81" s="181"/>
      <c r="AF81" s="181"/>
    </row>
    <row r="82" spans="30:32" ht="11.25">
      <c r="AD82" s="181"/>
      <c r="AE82" s="181"/>
      <c r="AF82" s="181"/>
    </row>
    <row r="83" spans="30:32" ht="11.25">
      <c r="AD83" s="181"/>
      <c r="AE83" s="181"/>
      <c r="AF83" s="181"/>
    </row>
    <row r="84" spans="30:32" ht="11.25">
      <c r="AD84" s="181"/>
      <c r="AE84" s="181"/>
      <c r="AF84" s="181"/>
    </row>
    <row r="85" spans="30:32" ht="11.25">
      <c r="AD85" s="181"/>
      <c r="AE85" s="181"/>
      <c r="AF85" s="181"/>
    </row>
  </sheetData>
  <sheetProtection/>
  <mergeCells count="1">
    <mergeCell ref="B2:AH2"/>
  </mergeCells>
  <printOptions horizontalCentered="1"/>
  <pageMargins left="0.4724409448818898"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0"/>
  </sheetPr>
  <dimension ref="A1:AI90"/>
  <sheetViews>
    <sheetView zoomScalePageLayoutView="0" workbookViewId="0" topLeftCell="B28">
      <selection activeCell="B48" sqref="B48"/>
    </sheetView>
  </sheetViews>
  <sheetFormatPr defaultColWidth="9.140625" defaultRowHeight="12.75"/>
  <cols>
    <col min="1" max="1" width="2.7109375" style="165" customWidth="1"/>
    <col min="2" max="2" width="4.28125" style="165" customWidth="1"/>
    <col min="3" max="14" width="6.7109375" style="165" customWidth="1"/>
    <col min="15" max="15" width="10.140625" style="165" customWidth="1"/>
    <col min="16" max="16" width="10.421875" style="165" customWidth="1"/>
    <col min="17" max="17" width="8.7109375" style="165" customWidth="1"/>
    <col min="18" max="20" width="10.421875" style="165" customWidth="1"/>
    <col min="21" max="21" width="7.28125" style="165" customWidth="1"/>
    <col min="22" max="22" width="7.8515625" style="165" customWidth="1"/>
    <col min="23" max="32" width="7.28125" style="165" customWidth="1"/>
    <col min="33" max="33" width="6.28125" style="165" customWidth="1"/>
    <col min="34" max="34" width="6.140625" style="165" customWidth="1"/>
    <col min="35" max="16384" width="9.140625" style="165" customWidth="1"/>
  </cols>
  <sheetData>
    <row r="1" spans="2:34" ht="14.25" customHeight="1">
      <c r="B1" s="262"/>
      <c r="C1" s="261"/>
      <c r="D1" s="261"/>
      <c r="E1" s="261"/>
      <c r="F1" s="261"/>
      <c r="G1" s="261"/>
      <c r="H1" s="261"/>
      <c r="I1" s="261"/>
      <c r="J1" s="261"/>
      <c r="K1" s="261"/>
      <c r="L1" s="261"/>
      <c r="M1" s="261"/>
      <c r="N1" s="261"/>
      <c r="O1" s="261"/>
      <c r="P1" s="261"/>
      <c r="Q1" s="259"/>
      <c r="T1" s="259"/>
      <c r="U1" s="259"/>
      <c r="V1" s="259"/>
      <c r="W1" s="259"/>
      <c r="X1" s="259"/>
      <c r="Y1" s="259"/>
      <c r="Z1" s="259"/>
      <c r="AA1" s="259"/>
      <c r="AB1" s="259"/>
      <c r="AC1" s="259"/>
      <c r="AD1" s="259"/>
      <c r="AE1" s="259"/>
      <c r="AF1" s="259"/>
      <c r="AH1" s="259" t="s">
        <v>88</v>
      </c>
    </row>
    <row r="2" spans="2:34" s="169" customFormat="1" ht="30" customHeight="1">
      <c r="B2" s="595" t="s">
        <v>46</v>
      </c>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row>
    <row r="3" spans="3:34" ht="10.5" customHeight="1">
      <c r="C3" s="257"/>
      <c r="D3" s="257"/>
      <c r="E3" s="257"/>
      <c r="F3" s="257"/>
      <c r="G3" s="257"/>
      <c r="H3" s="257"/>
      <c r="I3" s="257"/>
      <c r="J3" s="257"/>
      <c r="K3" s="257"/>
      <c r="L3" s="257"/>
      <c r="M3" s="257"/>
      <c r="N3" s="257"/>
      <c r="O3" s="257"/>
      <c r="P3" s="257"/>
      <c r="Q3" s="257"/>
      <c r="R3" s="257"/>
      <c r="Y3" s="257"/>
      <c r="Z3" s="257"/>
      <c r="AA3" s="257"/>
      <c r="AB3" s="257"/>
      <c r="AC3" s="257"/>
      <c r="AD3" s="257"/>
      <c r="AF3" s="257" t="s">
        <v>105</v>
      </c>
      <c r="AG3" s="256"/>
      <c r="AH3" s="257"/>
    </row>
    <row r="4" spans="2:34" ht="19.5" customHeight="1">
      <c r="B4" s="255"/>
      <c r="C4" s="254">
        <v>1970</v>
      </c>
      <c r="D4" s="254">
        <v>1980</v>
      </c>
      <c r="E4" s="253">
        <v>1990</v>
      </c>
      <c r="F4" s="253">
        <v>1991</v>
      </c>
      <c r="G4" s="253">
        <v>1992</v>
      </c>
      <c r="H4" s="253">
        <v>1993</v>
      </c>
      <c r="I4" s="253">
        <v>1994</v>
      </c>
      <c r="J4" s="253">
        <v>1995</v>
      </c>
      <c r="K4" s="253">
        <v>1996</v>
      </c>
      <c r="L4" s="253">
        <v>1997</v>
      </c>
      <c r="M4" s="253">
        <v>1998</v>
      </c>
      <c r="N4" s="253">
        <v>1999</v>
      </c>
      <c r="O4" s="253">
        <v>2000</v>
      </c>
      <c r="P4" s="253">
        <v>2001</v>
      </c>
      <c r="Q4" s="253">
        <v>2002</v>
      </c>
      <c r="R4" s="253">
        <v>2003</v>
      </c>
      <c r="S4" s="253">
        <v>2004</v>
      </c>
      <c r="T4" s="253">
        <v>2005</v>
      </c>
      <c r="U4" s="253">
        <v>2006</v>
      </c>
      <c r="V4" s="253">
        <v>2007</v>
      </c>
      <c r="W4" s="253">
        <v>2008</v>
      </c>
      <c r="X4" s="253">
        <v>2009</v>
      </c>
      <c r="Y4" s="253">
        <v>2010</v>
      </c>
      <c r="Z4" s="253">
        <v>2011</v>
      </c>
      <c r="AA4" s="253">
        <v>2012</v>
      </c>
      <c r="AB4" s="253">
        <v>2013</v>
      </c>
      <c r="AC4" s="355">
        <v>2014</v>
      </c>
      <c r="AD4" s="355">
        <v>2015</v>
      </c>
      <c r="AE4" s="355">
        <v>2016</v>
      </c>
      <c r="AF4" s="355">
        <v>2017</v>
      </c>
      <c r="AG4" s="252" t="s">
        <v>141</v>
      </c>
      <c r="AH4" s="289"/>
    </row>
    <row r="5" spans="2:34" ht="9.75" customHeight="1">
      <c r="B5" s="255"/>
      <c r="C5" s="291"/>
      <c r="D5" s="291"/>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90" t="s">
        <v>42</v>
      </c>
      <c r="AH5" s="289"/>
    </row>
    <row r="6" spans="2:35" ht="12.75" customHeight="1">
      <c r="B6" s="415" t="s">
        <v>113</v>
      </c>
      <c r="C6" s="441" t="s">
        <v>41</v>
      </c>
      <c r="D6" s="441" t="s">
        <v>41</v>
      </c>
      <c r="E6" s="442" t="s">
        <v>41</v>
      </c>
      <c r="F6" s="442" t="s">
        <v>41</v>
      </c>
      <c r="G6" s="442" t="s">
        <v>41</v>
      </c>
      <c r="H6" s="442" t="s">
        <v>41</v>
      </c>
      <c r="I6" s="442" t="s">
        <v>41</v>
      </c>
      <c r="J6" s="443">
        <f aca="true" t="shared" si="0" ref="J6:AD6">SUM(J7:J34)</f>
        <v>514.7284657948057</v>
      </c>
      <c r="K6" s="443">
        <f t="shared" si="0"/>
        <v>519.3074723402809</v>
      </c>
      <c r="L6" s="443">
        <f t="shared" si="0"/>
        <v>522.4775718300093</v>
      </c>
      <c r="M6" s="443">
        <f t="shared" si="0"/>
        <v>525.5552769022315</v>
      </c>
      <c r="N6" s="443">
        <f t="shared" si="0"/>
        <v>527.7253265321467</v>
      </c>
      <c r="O6" s="443">
        <f t="shared" si="0"/>
        <v>545.0470449557031</v>
      </c>
      <c r="P6" s="443">
        <f t="shared" si="0"/>
        <v>544.186813217731</v>
      </c>
      <c r="Q6" s="443">
        <f t="shared" si="0"/>
        <v>535.5738746950319</v>
      </c>
      <c r="R6" s="443">
        <f t="shared" si="0"/>
        <v>542.2856048928152</v>
      </c>
      <c r="S6" s="443">
        <f t="shared" si="0"/>
        <v>543.3761824960219</v>
      </c>
      <c r="T6" s="443">
        <f t="shared" si="0"/>
        <v>542.1665398197158</v>
      </c>
      <c r="U6" s="443">
        <f t="shared" si="0"/>
        <v>539.9589271311742</v>
      </c>
      <c r="V6" s="443">
        <f t="shared" si="0"/>
        <v>550.6220191863621</v>
      </c>
      <c r="W6" s="443">
        <f t="shared" si="0"/>
        <v>559.4116387284087</v>
      </c>
      <c r="X6" s="443">
        <f t="shared" si="0"/>
        <v>536.3139953989106</v>
      </c>
      <c r="Y6" s="443">
        <f t="shared" si="0"/>
        <v>529.74113953938</v>
      </c>
      <c r="Z6" s="443">
        <f t="shared" si="0"/>
        <v>530.7543105017402</v>
      </c>
      <c r="AA6" s="443">
        <f t="shared" si="0"/>
        <v>526.4956241274513</v>
      </c>
      <c r="AB6" s="443">
        <f t="shared" si="0"/>
        <v>523.2902880761077</v>
      </c>
      <c r="AC6" s="443">
        <f t="shared" si="0"/>
        <v>517.7241313719443</v>
      </c>
      <c r="AD6" s="443">
        <f t="shared" si="0"/>
        <v>527.7115340561198</v>
      </c>
      <c r="AE6" s="443">
        <v>526.9346175086439</v>
      </c>
      <c r="AF6" s="443">
        <v>510.4184780971248</v>
      </c>
      <c r="AG6" s="440">
        <f aca="true" t="shared" si="1" ref="AG6:AG42">AF6/AE6*100-100</f>
        <v>-3.134381166606147</v>
      </c>
      <c r="AH6" s="415" t="s">
        <v>113</v>
      </c>
      <c r="AI6" s="181"/>
    </row>
    <row r="7" spans="1:34" ht="12.75" customHeight="1">
      <c r="A7" s="180"/>
      <c r="B7" s="187" t="s">
        <v>29</v>
      </c>
      <c r="C7" s="235">
        <v>12.153</v>
      </c>
      <c r="D7" s="235">
        <v>14.422</v>
      </c>
      <c r="E7" s="244">
        <v>11.371379813302717</v>
      </c>
      <c r="F7" s="244">
        <v>11.928856672785459</v>
      </c>
      <c r="G7" s="244">
        <v>12.208590988011615</v>
      </c>
      <c r="H7" s="244">
        <v>12.449307712355173</v>
      </c>
      <c r="I7" s="244">
        <v>12.920557778575041</v>
      </c>
      <c r="J7" s="244">
        <v>13.1163927490109</v>
      </c>
      <c r="K7" s="244">
        <v>13.048036161999931</v>
      </c>
      <c r="L7" s="232">
        <v>13.062294037072977</v>
      </c>
      <c r="M7" s="232">
        <v>13.264206083397962</v>
      </c>
      <c r="N7" s="233">
        <v>13.441653719101833</v>
      </c>
      <c r="O7" s="232">
        <v>13.298261168538518</v>
      </c>
      <c r="P7" s="232">
        <v>13.785338279369089</v>
      </c>
      <c r="Q7" s="232">
        <v>14.959423828844177</v>
      </c>
      <c r="R7" s="232">
        <v>16.483572017775955</v>
      </c>
      <c r="S7" s="232">
        <v>17.1429920041393</v>
      </c>
      <c r="T7" s="232">
        <v>17.51504805548251</v>
      </c>
      <c r="U7" s="232">
        <v>18.078005341336816</v>
      </c>
      <c r="V7" s="232">
        <v>18.729636998103302</v>
      </c>
      <c r="W7" s="232">
        <v>17.61</v>
      </c>
      <c r="X7" s="232">
        <v>17.63</v>
      </c>
      <c r="Y7" s="232">
        <v>17.38</v>
      </c>
      <c r="Z7" s="232">
        <v>17.67</v>
      </c>
      <c r="AA7" s="232">
        <v>17.91</v>
      </c>
      <c r="AB7" s="368">
        <v>15.7664</v>
      </c>
      <c r="AC7" s="232">
        <v>15.4046</v>
      </c>
      <c r="AD7" s="232">
        <v>14.3808</v>
      </c>
      <c r="AE7" s="232">
        <v>13.5866</v>
      </c>
      <c r="AF7" s="387">
        <v>13.36264176286652</v>
      </c>
      <c r="AG7" s="231">
        <f t="shared" si="1"/>
        <v>-1.6483758786854708</v>
      </c>
      <c r="AH7" s="187" t="s">
        <v>29</v>
      </c>
    </row>
    <row r="8" spans="1:34" ht="12.75" customHeight="1">
      <c r="A8" s="180"/>
      <c r="B8" s="227" t="s">
        <v>12</v>
      </c>
      <c r="C8" s="230">
        <v>12.235</v>
      </c>
      <c r="D8" s="230">
        <v>21.614</v>
      </c>
      <c r="E8" s="229">
        <v>25.955</v>
      </c>
      <c r="F8" s="229">
        <v>19.026</v>
      </c>
      <c r="G8" s="229">
        <v>16.957</v>
      </c>
      <c r="H8" s="229">
        <v>14.062</v>
      </c>
      <c r="I8" s="229">
        <v>12.817</v>
      </c>
      <c r="J8" s="242">
        <v>11.566</v>
      </c>
      <c r="K8" s="242">
        <v>10.577</v>
      </c>
      <c r="L8" s="242">
        <v>11.863</v>
      </c>
      <c r="M8" s="242">
        <v>12.764</v>
      </c>
      <c r="N8" s="242">
        <v>14.741</v>
      </c>
      <c r="O8" s="242">
        <v>14.587</v>
      </c>
      <c r="P8" s="242">
        <v>14.963</v>
      </c>
      <c r="Q8" s="242">
        <v>16.985</v>
      </c>
      <c r="R8" s="242">
        <v>14.4</v>
      </c>
      <c r="S8" s="242">
        <v>13.029</v>
      </c>
      <c r="T8" s="229">
        <v>13.688</v>
      </c>
      <c r="U8" s="229">
        <v>12.942</v>
      </c>
      <c r="V8" s="229">
        <v>13.571</v>
      </c>
      <c r="W8" s="229">
        <v>13.839</v>
      </c>
      <c r="X8" s="229">
        <v>10.451</v>
      </c>
      <c r="Y8" s="229">
        <v>10.613</v>
      </c>
      <c r="Z8" s="229">
        <v>10.843</v>
      </c>
      <c r="AA8" s="229">
        <v>10.482</v>
      </c>
      <c r="AB8" s="229">
        <v>10.317</v>
      </c>
      <c r="AC8" s="229">
        <v>11.477</v>
      </c>
      <c r="AD8" s="229">
        <v>12.508</v>
      </c>
      <c r="AE8" s="229">
        <v>12.21</v>
      </c>
      <c r="AF8" s="383">
        <v>10.553</v>
      </c>
      <c r="AG8" s="228">
        <f t="shared" si="1"/>
        <v>-13.570843570843579</v>
      </c>
      <c r="AH8" s="227" t="s">
        <v>12</v>
      </c>
    </row>
    <row r="9" spans="1:34" s="201" customFormat="1" ht="12.75" customHeight="1">
      <c r="A9" s="206"/>
      <c r="B9" s="187" t="s">
        <v>14</v>
      </c>
      <c r="C9" s="288"/>
      <c r="D9" s="288"/>
      <c r="E9" s="287"/>
      <c r="F9" s="244" t="s">
        <v>41</v>
      </c>
      <c r="G9" s="244" t="s">
        <v>41</v>
      </c>
      <c r="H9" s="244">
        <v>13.617</v>
      </c>
      <c r="I9" s="286">
        <v>11.523</v>
      </c>
      <c r="J9" s="244">
        <f>11.7632+1.1693+5.668</f>
        <v>18.6005</v>
      </c>
      <c r="K9" s="244">
        <f>9.7292+1.2833+5.59</f>
        <v>16.6025</v>
      </c>
      <c r="L9" s="244">
        <f>8.804+1.2948+5.512</f>
        <v>15.610800000000001</v>
      </c>
      <c r="M9" s="244">
        <f>8.6809+1.234+5.4582</f>
        <v>15.373099999999999</v>
      </c>
      <c r="N9" s="286">
        <f>8.649+1.2615+5.5333</f>
        <v>15.4438</v>
      </c>
      <c r="O9" s="244">
        <f>9.3513+1.221+5.599</f>
        <v>16.171300000000002</v>
      </c>
      <c r="P9" s="244">
        <f>10.6081+1.2103+5.7009</f>
        <v>17.5193</v>
      </c>
      <c r="Q9" s="244">
        <f>9.6675+1.1339+5.7291</f>
        <v>16.5305</v>
      </c>
      <c r="R9" s="244">
        <f>9.4486+1.1103+5.8659</f>
        <v>16.4248</v>
      </c>
      <c r="S9" s="244">
        <f>8.5162+1.1043+5.5975</f>
        <v>15.218</v>
      </c>
      <c r="T9" s="244">
        <f>8.6073+7.0006</f>
        <v>15.6079</v>
      </c>
      <c r="U9" s="244">
        <f>9.5012+6.5139</f>
        <v>16.0151</v>
      </c>
      <c r="V9" s="244">
        <f>9.5188+6.6021</f>
        <v>16.1209</v>
      </c>
      <c r="W9" s="244">
        <f>9.3691+6.7378</f>
        <v>16.1069</v>
      </c>
      <c r="X9" s="244">
        <v>16.062</v>
      </c>
      <c r="Y9" s="244">
        <f>10.3357+1.0618+5.5581</f>
        <v>16.955599999999997</v>
      </c>
      <c r="Z9" s="244">
        <f>1.0184+5.5477+9.2667</f>
        <v>15.832799999999999</v>
      </c>
      <c r="AA9" s="244">
        <f>9.0154+0.8681+5.4433</f>
        <v>15.326799999999999</v>
      </c>
      <c r="AB9" s="244">
        <f>0.9886+5.7067+9.0256</f>
        <v>15.7209</v>
      </c>
      <c r="AC9" s="244">
        <f>10.0102+0.9721+5.7406</f>
        <v>16.7229</v>
      </c>
      <c r="AD9" s="244">
        <f>9.9959+0.856+5.411</f>
        <v>16.262900000000002</v>
      </c>
      <c r="AE9" s="244">
        <v>16.7102</v>
      </c>
      <c r="AF9" s="384">
        <v>17.684</v>
      </c>
      <c r="AG9" s="243">
        <f t="shared" si="1"/>
        <v>5.8275783653098046</v>
      </c>
      <c r="AH9" s="187" t="s">
        <v>14</v>
      </c>
    </row>
    <row r="10" spans="1:34" ht="12.75" customHeight="1">
      <c r="A10" s="180"/>
      <c r="B10" s="227" t="s">
        <v>25</v>
      </c>
      <c r="C10" s="230">
        <v>3.898</v>
      </c>
      <c r="D10" s="230">
        <v>4.611</v>
      </c>
      <c r="E10" s="229">
        <v>6.443</v>
      </c>
      <c r="F10" s="229">
        <v>6.394</v>
      </c>
      <c r="G10" s="229">
        <v>6.421</v>
      </c>
      <c r="H10" s="229">
        <v>6.601</v>
      </c>
      <c r="I10" s="229">
        <v>6.745</v>
      </c>
      <c r="J10" s="229">
        <v>7.284</v>
      </c>
      <c r="K10" s="229">
        <v>7.717</v>
      </c>
      <c r="L10" s="229">
        <v>7.596</v>
      </c>
      <c r="M10" s="229">
        <v>7.543</v>
      </c>
      <c r="N10" s="229">
        <v>7.397</v>
      </c>
      <c r="O10" s="229">
        <v>7.418</v>
      </c>
      <c r="P10" s="229">
        <v>7.332</v>
      </c>
      <c r="Q10" s="229">
        <v>7.295</v>
      </c>
      <c r="R10" s="229">
        <v>7.272</v>
      </c>
      <c r="S10" s="229">
        <v>7.3</v>
      </c>
      <c r="T10" s="229">
        <v>7.169</v>
      </c>
      <c r="U10" s="229">
        <v>7.054</v>
      </c>
      <c r="V10" s="229">
        <v>6.845</v>
      </c>
      <c r="W10" s="229">
        <v>6.739</v>
      </c>
      <c r="X10" s="229">
        <v>6.746</v>
      </c>
      <c r="Y10" s="229">
        <v>6.821</v>
      </c>
      <c r="Z10" s="229">
        <v>6.673</v>
      </c>
      <c r="AA10" s="229">
        <v>6.466</v>
      </c>
      <c r="AB10" s="229">
        <v>6.466</v>
      </c>
      <c r="AC10" s="229">
        <v>6.558</v>
      </c>
      <c r="AD10" s="229">
        <v>6.855</v>
      </c>
      <c r="AE10" s="229">
        <v>7.069</v>
      </c>
      <c r="AF10" s="383">
        <v>7.3</v>
      </c>
      <c r="AG10" s="389">
        <f t="shared" si="1"/>
        <v>3.2677889376149523</v>
      </c>
      <c r="AH10" s="227" t="s">
        <v>25</v>
      </c>
    </row>
    <row r="11" spans="1:34" s="201" customFormat="1" ht="12.75" customHeight="1">
      <c r="A11" s="206"/>
      <c r="B11" s="187" t="s">
        <v>30</v>
      </c>
      <c r="C11" s="285">
        <v>67.7</v>
      </c>
      <c r="D11" s="284">
        <v>90</v>
      </c>
      <c r="E11" s="244">
        <v>73.1</v>
      </c>
      <c r="F11" s="244">
        <v>70.3</v>
      </c>
      <c r="G11" s="244">
        <v>69.9</v>
      </c>
      <c r="H11" s="244">
        <v>70.2</v>
      </c>
      <c r="I11" s="244">
        <v>68.6</v>
      </c>
      <c r="J11" s="244">
        <v>68.5</v>
      </c>
      <c r="K11" s="244">
        <v>68.3</v>
      </c>
      <c r="L11" s="244">
        <v>68</v>
      </c>
      <c r="M11" s="244">
        <v>68.2</v>
      </c>
      <c r="N11" s="244">
        <v>68</v>
      </c>
      <c r="O11" s="244">
        <v>69</v>
      </c>
      <c r="P11" s="244">
        <v>68.7</v>
      </c>
      <c r="Q11" s="244">
        <v>67.5</v>
      </c>
      <c r="R11" s="244">
        <v>67.5</v>
      </c>
      <c r="S11" s="244">
        <f>40.359+27.447</f>
        <v>67.806</v>
      </c>
      <c r="T11" s="244">
        <f>40.365+26.697</f>
        <v>67.062</v>
      </c>
      <c r="U11" s="244">
        <f>38.542+1.495+26.147</f>
        <v>66.184</v>
      </c>
      <c r="V11" s="244">
        <f>40.141+25.246</f>
        <v>65.387</v>
      </c>
      <c r="W11" s="244">
        <f>39.479+24.113</f>
        <v>63.592</v>
      </c>
      <c r="X11" s="244">
        <v>62.097</v>
      </c>
      <c r="Y11" s="244">
        <v>61.767</v>
      </c>
      <c r="Z11" s="244">
        <v>61.4</v>
      </c>
      <c r="AA11" s="244">
        <v>59.4</v>
      </c>
      <c r="AB11" s="244">
        <v>60.5</v>
      </c>
      <c r="AC11" s="244">
        <v>62.2</v>
      </c>
      <c r="AD11" s="244">
        <v>65.1</v>
      </c>
      <c r="AE11" s="244">
        <v>64</v>
      </c>
      <c r="AF11" s="384">
        <v>62.5</v>
      </c>
      <c r="AG11" s="188">
        <f t="shared" si="1"/>
        <v>-2.34375</v>
      </c>
      <c r="AH11" s="187" t="s">
        <v>30</v>
      </c>
    </row>
    <row r="12" spans="1:34" ht="12.75" customHeight="1">
      <c r="A12" s="180"/>
      <c r="B12" s="227" t="s">
        <v>15</v>
      </c>
      <c r="C12" s="230">
        <v>2.61</v>
      </c>
      <c r="D12" s="230">
        <v>3.66</v>
      </c>
      <c r="E12" s="229">
        <v>4.45</v>
      </c>
      <c r="F12" s="229">
        <v>3.83</v>
      </c>
      <c r="G12" s="229">
        <v>2.97</v>
      </c>
      <c r="H12" s="229">
        <v>2.54</v>
      </c>
      <c r="I12" s="229">
        <v>2.35</v>
      </c>
      <c r="J12" s="229">
        <v>2.048</v>
      </c>
      <c r="K12" s="229">
        <v>2.091</v>
      </c>
      <c r="L12" s="229">
        <v>2.238</v>
      </c>
      <c r="M12" s="229">
        <v>2.265</v>
      </c>
      <c r="N12" s="229">
        <v>2.223</v>
      </c>
      <c r="O12" s="229">
        <v>2.63</v>
      </c>
      <c r="P12" s="229">
        <v>2.461</v>
      </c>
      <c r="Q12" s="229">
        <v>2.33</v>
      </c>
      <c r="R12" s="229">
        <v>2.297</v>
      </c>
      <c r="S12" s="229">
        <v>2.469</v>
      </c>
      <c r="T12" s="229">
        <v>2.716</v>
      </c>
      <c r="U12" s="229">
        <v>2.881</v>
      </c>
      <c r="V12" s="229">
        <v>2.677</v>
      </c>
      <c r="W12" s="229">
        <v>2.453</v>
      </c>
      <c r="X12" s="229">
        <v>2.114</v>
      </c>
      <c r="Y12" s="229">
        <f>2.061</f>
        <v>2.061</v>
      </c>
      <c r="Z12" s="229">
        <v>2.0706943</v>
      </c>
      <c r="AA12" s="229">
        <v>2.2335885</v>
      </c>
      <c r="AB12" s="229">
        <f>2.4146148</f>
        <v>2.4146148</v>
      </c>
      <c r="AC12" s="229">
        <v>2.3926965</v>
      </c>
      <c r="AD12" s="229">
        <v>3.1464145</v>
      </c>
      <c r="AE12" s="229">
        <v>2.8647497</v>
      </c>
      <c r="AF12" s="383">
        <v>2.80866</v>
      </c>
      <c r="AG12" s="228">
        <f t="shared" si="1"/>
        <v>-1.9579267256751791</v>
      </c>
      <c r="AH12" s="227" t="s">
        <v>15</v>
      </c>
    </row>
    <row r="13" spans="1:34" s="201" customFormat="1" ht="12.75" customHeight="1">
      <c r="A13" s="206"/>
      <c r="B13" s="187" t="s">
        <v>33</v>
      </c>
      <c r="C13" s="235">
        <v>3.3</v>
      </c>
      <c r="D13" s="235">
        <v>4.5</v>
      </c>
      <c r="E13" s="232">
        <v>3.86</v>
      </c>
      <c r="F13" s="232">
        <v>4.1</v>
      </c>
      <c r="G13" s="232">
        <v>4.3</v>
      </c>
      <c r="H13" s="232">
        <v>4.49</v>
      </c>
      <c r="I13" s="232">
        <v>5</v>
      </c>
      <c r="J13" s="232">
        <v>5.15</v>
      </c>
      <c r="K13" s="232">
        <v>5.3</v>
      </c>
      <c r="L13" s="233">
        <v>5.5</v>
      </c>
      <c r="M13" s="233">
        <v>5.7</v>
      </c>
      <c r="N13" s="233">
        <v>5.9</v>
      </c>
      <c r="O13" s="283">
        <v>6.9632</v>
      </c>
      <c r="P13" s="233">
        <v>7.2896</v>
      </c>
      <c r="Q13" s="233">
        <v>7.2624</v>
      </c>
      <c r="R13" s="233">
        <v>7.5344</v>
      </c>
      <c r="S13" s="233">
        <v>7.8608</v>
      </c>
      <c r="T13" s="233">
        <v>7.9152</v>
      </c>
      <c r="U13" s="233">
        <v>8.024</v>
      </c>
      <c r="V13" s="233">
        <v>8.296</v>
      </c>
      <c r="W13" s="233">
        <v>8.568</v>
      </c>
      <c r="X13" s="233">
        <v>8.9488</v>
      </c>
      <c r="Y13" s="233">
        <v>8.4592</v>
      </c>
      <c r="Z13" s="233">
        <v>8.3776</v>
      </c>
      <c r="AA13" s="233">
        <v>8.1056</v>
      </c>
      <c r="AB13" s="233">
        <v>8.1328</v>
      </c>
      <c r="AC13" s="233">
        <f>27.2*0.309</f>
        <v>8.4048</v>
      </c>
      <c r="AD13" s="233">
        <f>27.2*0.313</f>
        <v>8.5136</v>
      </c>
      <c r="AE13" s="233">
        <v>8.976</v>
      </c>
      <c r="AF13" s="382">
        <v>9.819199999999999</v>
      </c>
      <c r="AG13" s="207">
        <f t="shared" si="1"/>
        <v>9.393939393939377</v>
      </c>
      <c r="AH13" s="187" t="s">
        <v>33</v>
      </c>
    </row>
    <row r="14" spans="1:34" ht="12.75" customHeight="1">
      <c r="A14" s="180"/>
      <c r="B14" s="227" t="s">
        <v>26</v>
      </c>
      <c r="C14" s="230">
        <v>9.425</v>
      </c>
      <c r="D14" s="230">
        <v>15.621</v>
      </c>
      <c r="E14" s="229">
        <v>17.718</v>
      </c>
      <c r="F14" s="229">
        <v>17.968</v>
      </c>
      <c r="G14" s="229">
        <v>18.549</v>
      </c>
      <c r="H14" s="229">
        <v>18.922</v>
      </c>
      <c r="I14" s="229">
        <v>19.578</v>
      </c>
      <c r="J14" s="229">
        <v>20.221</v>
      </c>
      <c r="K14" s="229">
        <v>20.449</v>
      </c>
      <c r="L14" s="229">
        <v>20.695</v>
      </c>
      <c r="M14" s="229">
        <v>21.2</v>
      </c>
      <c r="N14" s="229">
        <v>21.5</v>
      </c>
      <c r="O14" s="229">
        <v>21.7</v>
      </c>
      <c r="P14" s="237">
        <v>21.8</v>
      </c>
      <c r="Q14" s="237">
        <v>22</v>
      </c>
      <c r="R14" s="237">
        <v>21.95</v>
      </c>
      <c r="S14" s="237">
        <v>21.6</v>
      </c>
      <c r="T14" s="237">
        <v>21.7</v>
      </c>
      <c r="U14" s="237">
        <v>21.8</v>
      </c>
      <c r="V14" s="237">
        <v>22</v>
      </c>
      <c r="W14" s="237">
        <v>22.1</v>
      </c>
      <c r="X14" s="237">
        <v>20.919043007800454</v>
      </c>
      <c r="Y14" s="237">
        <v>21.1</v>
      </c>
      <c r="Z14" s="237">
        <v>21.161722909489495</v>
      </c>
      <c r="AA14" s="237">
        <v>21.09610045397415</v>
      </c>
      <c r="AB14" s="237">
        <v>21.028128543117838</v>
      </c>
      <c r="AC14" s="237">
        <v>21.006120944621784</v>
      </c>
      <c r="AD14" s="237">
        <v>21.148271968974477</v>
      </c>
      <c r="AE14" s="237">
        <v>20.902716638696276</v>
      </c>
      <c r="AF14" s="385">
        <v>20.464949412482678</v>
      </c>
      <c r="AG14" s="236">
        <f t="shared" si="1"/>
        <v>-2.0943078059202094</v>
      </c>
      <c r="AH14" s="227" t="s">
        <v>26</v>
      </c>
    </row>
    <row r="15" spans="1:34" ht="12.75" customHeight="1">
      <c r="A15" s="180"/>
      <c r="B15" s="187" t="s">
        <v>31</v>
      </c>
      <c r="C15" s="235">
        <v>20.911</v>
      </c>
      <c r="D15" s="235">
        <v>28.099</v>
      </c>
      <c r="E15" s="232">
        <v>33.36</v>
      </c>
      <c r="F15" s="232">
        <v>35.45</v>
      </c>
      <c r="G15" s="232">
        <v>35.52</v>
      </c>
      <c r="H15" s="232">
        <v>37.09</v>
      </c>
      <c r="I15" s="232">
        <v>38.13</v>
      </c>
      <c r="J15" s="232">
        <v>39.6</v>
      </c>
      <c r="K15" s="233">
        <v>44</v>
      </c>
      <c r="L15" s="232">
        <v>43.97</v>
      </c>
      <c r="M15" s="232">
        <v>49.4</v>
      </c>
      <c r="N15" s="232">
        <v>50</v>
      </c>
      <c r="O15" s="232">
        <v>50.278</v>
      </c>
      <c r="P15" s="232">
        <v>51.712</v>
      </c>
      <c r="Q15" s="232">
        <v>50.053</v>
      </c>
      <c r="R15" s="232">
        <v>49.209</v>
      </c>
      <c r="S15" s="232">
        <v>53.458</v>
      </c>
      <c r="T15" s="232">
        <v>53.176</v>
      </c>
      <c r="U15" s="232">
        <v>49.369</v>
      </c>
      <c r="V15" s="232">
        <v>59.163</v>
      </c>
      <c r="W15" s="232">
        <v>60.864</v>
      </c>
      <c r="X15" s="232">
        <v>57.043</v>
      </c>
      <c r="Y15" s="232">
        <v>50.902</v>
      </c>
      <c r="Z15" s="232">
        <v>55.742</v>
      </c>
      <c r="AA15" s="232">
        <v>54.531</v>
      </c>
      <c r="AB15" s="232">
        <v>53.836</v>
      </c>
      <c r="AC15" s="368">
        <v>39.469</v>
      </c>
      <c r="AD15" s="232">
        <v>46.389</v>
      </c>
      <c r="AE15" s="509">
        <v>47.763</v>
      </c>
      <c r="AF15" s="381">
        <v>30.51</v>
      </c>
      <c r="AG15" s="511" t="s">
        <v>153</v>
      </c>
      <c r="AH15" s="187" t="s">
        <v>31</v>
      </c>
    </row>
    <row r="16" spans="1:34" ht="12.75" customHeight="1">
      <c r="A16" s="180"/>
      <c r="B16" s="227" t="s">
        <v>32</v>
      </c>
      <c r="C16" s="230">
        <v>25.2</v>
      </c>
      <c r="D16" s="230">
        <v>38</v>
      </c>
      <c r="E16" s="229">
        <v>52.25974260388607</v>
      </c>
      <c r="F16" s="229">
        <v>54.120923065039335</v>
      </c>
      <c r="G16" s="229">
        <v>53.16586463106571</v>
      </c>
      <c r="H16" s="229">
        <v>53.48103734304247</v>
      </c>
      <c r="I16" s="229">
        <v>54.21079519277558</v>
      </c>
      <c r="J16" s="229">
        <v>53.18936072092363</v>
      </c>
      <c r="K16" s="229">
        <v>54.37349676481762</v>
      </c>
      <c r="L16" s="229">
        <v>55.39005647013747</v>
      </c>
      <c r="M16" s="229">
        <v>55.36184905414865</v>
      </c>
      <c r="N16" s="229">
        <v>54.52585914209821</v>
      </c>
      <c r="O16" s="313">
        <v>49.59449562848759</v>
      </c>
      <c r="P16" s="229">
        <v>48.11133837968537</v>
      </c>
      <c r="Q16" s="229">
        <v>48.64828099736328</v>
      </c>
      <c r="R16" s="229">
        <v>49.133556404460414</v>
      </c>
      <c r="S16" s="229">
        <v>49.993721550019934</v>
      </c>
      <c r="T16" s="229">
        <v>50.10470892900703</v>
      </c>
      <c r="U16" s="229">
        <v>52.4367956749502</v>
      </c>
      <c r="V16" s="229">
        <v>53.04443388648485</v>
      </c>
      <c r="W16" s="229">
        <v>53.52519846396826</v>
      </c>
      <c r="X16" s="229">
        <v>53.16320398057486</v>
      </c>
      <c r="Y16" s="229">
        <v>54.040974622693476</v>
      </c>
      <c r="Z16" s="229">
        <v>54.58263811368772</v>
      </c>
      <c r="AA16" s="229">
        <v>55.18817795814332</v>
      </c>
      <c r="AB16" s="229">
        <v>55.51500204182453</v>
      </c>
      <c r="AC16" s="229">
        <v>56.820500919706255</v>
      </c>
      <c r="AD16" s="229">
        <v>57.68634139999233</v>
      </c>
      <c r="AE16" s="229">
        <v>57.999963561808414</v>
      </c>
      <c r="AF16" s="383">
        <v>57.19569126988938</v>
      </c>
      <c r="AG16" s="228">
        <f t="shared" si="1"/>
        <v>-1.3866772365502555</v>
      </c>
      <c r="AH16" s="227" t="s">
        <v>32</v>
      </c>
    </row>
    <row r="17" spans="1:34" ht="16.5" customHeight="1">
      <c r="A17" s="180"/>
      <c r="B17" s="187" t="s">
        <v>44</v>
      </c>
      <c r="C17" s="190">
        <v>3.3</v>
      </c>
      <c r="D17" s="190">
        <v>7.1</v>
      </c>
      <c r="E17" s="189">
        <v>7</v>
      </c>
      <c r="F17" s="189" t="s">
        <v>41</v>
      </c>
      <c r="G17" s="189" t="s">
        <v>41</v>
      </c>
      <c r="H17" s="189" t="s">
        <v>41</v>
      </c>
      <c r="I17" s="189" t="s">
        <v>41</v>
      </c>
      <c r="J17" s="189">
        <v>4.051915</v>
      </c>
      <c r="K17" s="189">
        <v>4.266118</v>
      </c>
      <c r="L17" s="189">
        <v>4.459067</v>
      </c>
      <c r="M17" s="189">
        <v>3.963847</v>
      </c>
      <c r="N17" s="189">
        <v>3.354983</v>
      </c>
      <c r="O17" s="189">
        <v>3.331147</v>
      </c>
      <c r="P17" s="189">
        <v>3.477757</v>
      </c>
      <c r="Q17" s="189">
        <v>3.557693</v>
      </c>
      <c r="R17" s="189">
        <v>3.71685</v>
      </c>
      <c r="S17" s="189">
        <v>3.390253</v>
      </c>
      <c r="T17" s="189">
        <v>3.403469</v>
      </c>
      <c r="U17" s="189">
        <v>3.537056</v>
      </c>
      <c r="V17" s="189">
        <v>3.80798</v>
      </c>
      <c r="W17" s="189">
        <v>4.093489</v>
      </c>
      <c r="X17" s="189">
        <v>3.437996</v>
      </c>
      <c r="Y17" s="189">
        <v>3.248418</v>
      </c>
      <c r="Z17" s="189">
        <v>3.145021</v>
      </c>
      <c r="AA17" s="189">
        <v>3.249078</v>
      </c>
      <c r="AB17" s="189">
        <v>3.507</v>
      </c>
      <c r="AC17" s="189">
        <v>3.648</v>
      </c>
      <c r="AD17" s="189">
        <v>3.377</v>
      </c>
      <c r="AE17" s="189">
        <v>3.802</v>
      </c>
      <c r="AF17" s="296">
        <v>4.15</v>
      </c>
      <c r="AG17" s="188">
        <f t="shared" si="1"/>
        <v>9.153077327722258</v>
      </c>
      <c r="AH17" s="187" t="s">
        <v>44</v>
      </c>
    </row>
    <row r="18" spans="1:34" ht="12.75" customHeight="1">
      <c r="A18" s="180"/>
      <c r="B18" s="191" t="s">
        <v>34</v>
      </c>
      <c r="C18" s="205">
        <v>32.004</v>
      </c>
      <c r="D18" s="205">
        <v>57.836</v>
      </c>
      <c r="E18" s="193">
        <v>83.955</v>
      </c>
      <c r="F18" s="193">
        <v>84.69</v>
      </c>
      <c r="G18" s="193">
        <v>84.7</v>
      </c>
      <c r="H18" s="193">
        <v>81.45</v>
      </c>
      <c r="I18" s="193">
        <v>79.28</v>
      </c>
      <c r="J18" s="193">
        <f>76.797+10.35</f>
        <v>87.14699999999999</v>
      </c>
      <c r="K18" s="193">
        <v>88.736</v>
      </c>
      <c r="L18" s="193">
        <v>90</v>
      </c>
      <c r="M18" s="193">
        <v>90.6</v>
      </c>
      <c r="N18" s="193">
        <v>92.153</v>
      </c>
      <c r="O18" s="193">
        <f>82.263+11.158</f>
        <v>93.421</v>
      </c>
      <c r="P18" s="193">
        <v>95.594</v>
      </c>
      <c r="Q18" s="193">
        <f>85.512+11.634</f>
        <v>97.146</v>
      </c>
      <c r="R18" s="193">
        <f>86.816+11.503</f>
        <v>98.319</v>
      </c>
      <c r="S18" s="193">
        <f>88.196+11.564</f>
        <v>99.75999999999999</v>
      </c>
      <c r="T18" s="193">
        <f>89.329+11.625</f>
        <v>100.954</v>
      </c>
      <c r="U18" s="193">
        <f>91.442+11.607</f>
        <v>103.04899999999999</v>
      </c>
      <c r="V18" s="193">
        <f>91.108+11.549</f>
        <v>102.65700000000001</v>
      </c>
      <c r="W18" s="193">
        <f>90.693+11.745</f>
        <v>102.438</v>
      </c>
      <c r="X18" s="193">
        <f>89.797+11.909</f>
        <v>101.706</v>
      </c>
      <c r="Y18" s="193">
        <f>90.134+12.085</f>
        <v>102.219</v>
      </c>
      <c r="Z18" s="193">
        <f>90.907+11.537</f>
        <v>102.444</v>
      </c>
      <c r="AA18" s="193">
        <f>90.542+10.97</f>
        <v>101.512</v>
      </c>
      <c r="AB18" s="193">
        <f>90.748+11.022</f>
        <v>101.77000000000001</v>
      </c>
      <c r="AC18" s="193">
        <f>91.61+11.196</f>
        <v>102.806</v>
      </c>
      <c r="AD18" s="193">
        <f>91.559+10.95</f>
        <v>102.509</v>
      </c>
      <c r="AE18" s="193">
        <v>103.099</v>
      </c>
      <c r="AF18" s="386">
        <v>103.174</v>
      </c>
      <c r="AG18" s="213">
        <f t="shared" si="1"/>
        <v>0.07274561343950836</v>
      </c>
      <c r="AH18" s="191" t="s">
        <v>34</v>
      </c>
    </row>
    <row r="19" spans="1:34" ht="12.75" customHeight="1">
      <c r="A19" s="180"/>
      <c r="B19" s="187" t="s">
        <v>13</v>
      </c>
      <c r="C19" s="190" t="s">
        <v>41</v>
      </c>
      <c r="D19" s="190" t="s">
        <v>41</v>
      </c>
      <c r="E19" s="189" t="s">
        <v>41</v>
      </c>
      <c r="F19" s="189" t="s">
        <v>41</v>
      </c>
      <c r="G19" s="189" t="s">
        <v>41</v>
      </c>
      <c r="H19" s="189" t="s">
        <v>41</v>
      </c>
      <c r="I19" s="189" t="s">
        <v>41</v>
      </c>
      <c r="J19" s="208">
        <v>1</v>
      </c>
      <c r="K19" s="208">
        <v>1.04</v>
      </c>
      <c r="L19" s="208">
        <v>1.05</v>
      </c>
      <c r="M19" s="208">
        <v>1.06</v>
      </c>
      <c r="N19" s="208">
        <v>1.08</v>
      </c>
      <c r="O19" s="208">
        <v>1.12</v>
      </c>
      <c r="P19" s="208">
        <v>1.16</v>
      </c>
      <c r="Q19" s="208">
        <v>1.2</v>
      </c>
      <c r="R19" s="208">
        <v>1.28</v>
      </c>
      <c r="S19" s="208">
        <v>1.24</v>
      </c>
      <c r="T19" s="208">
        <v>1.26</v>
      </c>
      <c r="U19" s="208">
        <v>1.28</v>
      </c>
      <c r="V19" s="208">
        <v>1.3</v>
      </c>
      <c r="W19" s="208">
        <v>1.33</v>
      </c>
      <c r="X19" s="208">
        <v>1.2832081221716343</v>
      </c>
      <c r="Y19" s="208">
        <v>1.29</v>
      </c>
      <c r="Z19" s="208">
        <v>1.325042573063031</v>
      </c>
      <c r="AA19" s="208">
        <v>1.3655790761715423</v>
      </c>
      <c r="AB19" s="208">
        <v>1.3463918995498854</v>
      </c>
      <c r="AC19" s="208">
        <v>1.3463918995498854</v>
      </c>
      <c r="AD19" s="208">
        <v>1.426717257084444</v>
      </c>
      <c r="AE19" s="208">
        <v>1.4810954569636534</v>
      </c>
      <c r="AF19" s="387">
        <v>1.5360297291459744</v>
      </c>
      <c r="AG19" s="207">
        <f t="shared" si="1"/>
        <v>3.709029821409345</v>
      </c>
      <c r="AH19" s="187" t="s">
        <v>13</v>
      </c>
    </row>
    <row r="20" spans="1:34" s="201" customFormat="1" ht="12.75" customHeight="1">
      <c r="A20" s="206"/>
      <c r="B20" s="191" t="s">
        <v>17</v>
      </c>
      <c r="C20" s="205">
        <v>3.28</v>
      </c>
      <c r="D20" s="205">
        <v>4.55</v>
      </c>
      <c r="E20" s="193">
        <v>5.862</v>
      </c>
      <c r="F20" s="225">
        <v>5.331</v>
      </c>
      <c r="G20" s="193">
        <v>2.583</v>
      </c>
      <c r="H20" s="193">
        <v>1.722</v>
      </c>
      <c r="I20" s="193">
        <v>1.795</v>
      </c>
      <c r="J20" s="193">
        <v>1.835</v>
      </c>
      <c r="K20" s="193">
        <v>1.606</v>
      </c>
      <c r="L20" s="193">
        <v>1.72</v>
      </c>
      <c r="M20" s="193">
        <v>1.903</v>
      </c>
      <c r="N20" s="193">
        <v>2.368</v>
      </c>
      <c r="O20" s="193">
        <v>2.348</v>
      </c>
      <c r="P20" s="193">
        <v>2.305</v>
      </c>
      <c r="Q20" s="193">
        <v>2.361</v>
      </c>
      <c r="R20" s="193">
        <v>2.55</v>
      </c>
      <c r="S20" s="193">
        <v>2.655</v>
      </c>
      <c r="T20" s="193">
        <v>2.891</v>
      </c>
      <c r="U20" s="193">
        <v>2.78</v>
      </c>
      <c r="V20" s="193">
        <v>2.644</v>
      </c>
      <c r="W20" s="193">
        <v>2.517</v>
      </c>
      <c r="X20" s="193">
        <v>2.143</v>
      </c>
      <c r="Y20" s="193">
        <v>2.311</v>
      </c>
      <c r="Z20" s="193">
        <v>2.412</v>
      </c>
      <c r="AA20" s="193">
        <v>2.358</v>
      </c>
      <c r="AB20" s="193">
        <v>2.325</v>
      </c>
      <c r="AC20" s="193">
        <v>2.345</v>
      </c>
      <c r="AD20" s="193">
        <v>2.232</v>
      </c>
      <c r="AE20" s="193">
        <v>2.187</v>
      </c>
      <c r="AF20" s="386">
        <v>2.166</v>
      </c>
      <c r="AG20" s="213">
        <f t="shared" si="1"/>
        <v>-0.960219478737983</v>
      </c>
      <c r="AH20" s="191" t="s">
        <v>17</v>
      </c>
    </row>
    <row r="21" spans="1:34" ht="12.75" customHeight="1">
      <c r="A21" s="180"/>
      <c r="B21" s="187" t="s">
        <v>18</v>
      </c>
      <c r="C21" s="190" t="s">
        <v>41</v>
      </c>
      <c r="D21" s="190" t="s">
        <v>41</v>
      </c>
      <c r="E21" s="189">
        <v>7.889</v>
      </c>
      <c r="F21" s="189">
        <v>7.798</v>
      </c>
      <c r="G21" s="189">
        <v>6.392</v>
      </c>
      <c r="H21" s="189">
        <v>4.522</v>
      </c>
      <c r="I21" s="189">
        <v>4.627</v>
      </c>
      <c r="J21" s="189">
        <f>3.334+0.835</f>
        <v>4.1690000000000005</v>
      </c>
      <c r="K21" s="189">
        <f>2.879+0.722</f>
        <v>3.601</v>
      </c>
      <c r="L21" s="189">
        <f>2.603+0.588</f>
        <v>3.1910000000000003</v>
      </c>
      <c r="M21" s="189">
        <f>2.39+0.574</f>
        <v>2.964</v>
      </c>
      <c r="N21" s="189">
        <f>2.096+0.569</f>
        <v>2.665</v>
      </c>
      <c r="O21" s="189">
        <f>2.266+0.489</f>
        <v>2.755</v>
      </c>
      <c r="P21" s="189">
        <v>2.833</v>
      </c>
      <c r="Q21" s="189">
        <f>2.508+0.505</f>
        <v>3.013</v>
      </c>
      <c r="R21" s="189">
        <f>2.583+0.404</f>
        <v>2.987</v>
      </c>
      <c r="S21" s="189">
        <f>3.14+0.409</f>
        <v>3.549</v>
      </c>
      <c r="T21" s="189">
        <f>3.267+0.424</f>
        <v>3.691</v>
      </c>
      <c r="U21" s="189">
        <f>3.283+0.413</f>
        <v>3.6959999999999997</v>
      </c>
      <c r="V21" s="189">
        <f>3.1703+0.4498</f>
        <v>3.6201</v>
      </c>
      <c r="W21" s="189">
        <f>2.9521+0.4691</f>
        <v>3.4212000000000002</v>
      </c>
      <c r="X21" s="189">
        <v>2.7746999999999997</v>
      </c>
      <c r="Y21" s="189">
        <f>2.3479+0.3457</f>
        <v>2.6936</v>
      </c>
      <c r="Z21" s="189">
        <v>2.748</v>
      </c>
      <c r="AA21" s="189">
        <f>2.387+0.348</f>
        <v>2.735</v>
      </c>
      <c r="AB21" s="189">
        <f>2.521+0.326</f>
        <v>2.847</v>
      </c>
      <c r="AC21" s="189">
        <v>2.9733</v>
      </c>
      <c r="AD21" s="189">
        <v>2.745543</v>
      </c>
      <c r="AE21" s="189">
        <v>2.6313</v>
      </c>
      <c r="AF21" s="296">
        <v>2.739</v>
      </c>
      <c r="AG21" s="188">
        <f t="shared" si="1"/>
        <v>4.093033861589319</v>
      </c>
      <c r="AH21" s="187" t="s">
        <v>18</v>
      </c>
    </row>
    <row r="22" spans="1:34" s="201" customFormat="1" ht="12.75" customHeight="1">
      <c r="A22" s="206"/>
      <c r="B22" s="191" t="s">
        <v>35</v>
      </c>
      <c r="C22" s="221">
        <v>0.4</v>
      </c>
      <c r="D22" s="221">
        <v>0.44</v>
      </c>
      <c r="E22" s="203">
        <v>0.48</v>
      </c>
      <c r="F22" s="203">
        <v>0.49</v>
      </c>
      <c r="G22" s="203">
        <v>0.51</v>
      </c>
      <c r="H22" s="203">
        <v>0.52</v>
      </c>
      <c r="I22" s="203">
        <v>0.53</v>
      </c>
      <c r="J22" s="203">
        <v>0.54</v>
      </c>
      <c r="K22" s="203">
        <v>0.55</v>
      </c>
      <c r="L22" s="203">
        <v>0.56</v>
      </c>
      <c r="M22" s="203">
        <v>0.57</v>
      </c>
      <c r="N22" s="203">
        <v>0.58</v>
      </c>
      <c r="O22" s="203">
        <v>0.62</v>
      </c>
      <c r="P22" s="203">
        <v>0.66</v>
      </c>
      <c r="Q22" s="203">
        <v>0.72</v>
      </c>
      <c r="R22" s="203">
        <v>0.74</v>
      </c>
      <c r="S22" s="203">
        <v>0.77</v>
      </c>
      <c r="T22" s="203">
        <v>0.8</v>
      </c>
      <c r="U22" s="203">
        <v>0.82</v>
      </c>
      <c r="V22" s="203">
        <v>0.86</v>
      </c>
      <c r="W22" s="203">
        <v>0.91</v>
      </c>
      <c r="X22" s="203">
        <v>0.905872688234131</v>
      </c>
      <c r="Y22" s="203">
        <v>0.94</v>
      </c>
      <c r="Z22" s="203">
        <v>0.9876300463226344</v>
      </c>
      <c r="AA22" s="203">
        <v>1.0049122484837048</v>
      </c>
      <c r="AB22" s="203">
        <v>1.026458894764151</v>
      </c>
      <c r="AC22" s="203">
        <v>1.037546284758761</v>
      </c>
      <c r="AD22" s="203">
        <v>1.0928294004495056</v>
      </c>
      <c r="AE22" s="203">
        <v>1.1099876780311415</v>
      </c>
      <c r="AF22" s="369">
        <v>1.1455145233368973</v>
      </c>
      <c r="AG22" s="202">
        <f t="shared" si="1"/>
        <v>3.2006522242455873</v>
      </c>
      <c r="AH22" s="191" t="s">
        <v>35</v>
      </c>
    </row>
    <row r="23" spans="1:34" ht="12.75" customHeight="1">
      <c r="A23" s="180"/>
      <c r="B23" s="187" t="s">
        <v>16</v>
      </c>
      <c r="C23" s="190" t="s">
        <v>41</v>
      </c>
      <c r="D23" s="190" t="s">
        <v>41</v>
      </c>
      <c r="E23" s="189">
        <v>19.261</v>
      </c>
      <c r="F23" s="189">
        <v>17.332</v>
      </c>
      <c r="G23" s="189">
        <v>15.971</v>
      </c>
      <c r="H23" s="189">
        <v>15.8</v>
      </c>
      <c r="I23" s="189">
        <v>16.392</v>
      </c>
      <c r="J23" s="189">
        <v>16.605</v>
      </c>
      <c r="K23" s="189">
        <v>16.564</v>
      </c>
      <c r="L23" s="189">
        <v>16.632</v>
      </c>
      <c r="M23" s="189">
        <v>17.172</v>
      </c>
      <c r="N23" s="189">
        <v>17.796</v>
      </c>
      <c r="O23" s="189">
        <v>18.732</v>
      </c>
      <c r="P23" s="189">
        <v>18.617</v>
      </c>
      <c r="Q23" s="189">
        <v>18.898</v>
      </c>
      <c r="R23" s="189">
        <v>18.707</v>
      </c>
      <c r="S23" s="189">
        <f>11.612+6.312+0.299</f>
        <v>18.223</v>
      </c>
      <c r="T23" s="189">
        <f>11.53+6.029+0.286</f>
        <v>17.845</v>
      </c>
      <c r="U23" s="189">
        <f>11.784+5.863+0.283</f>
        <v>17.930000000000003</v>
      </c>
      <c r="V23" s="189">
        <f>11.254+5.613+0.278</f>
        <v>17.145</v>
      </c>
      <c r="W23" s="189">
        <f>11.862+5.515+0.277</f>
        <v>17.654</v>
      </c>
      <c r="X23" s="189">
        <f>11.321+4.759+0.21</f>
        <v>16.29</v>
      </c>
      <c r="Y23" s="189">
        <f>11.776+4.484+0.201</f>
        <v>16.461</v>
      </c>
      <c r="Z23" s="189">
        <f>11.852+0.197+4.4067046</f>
        <v>16.4557046</v>
      </c>
      <c r="AA23" s="189">
        <f>12.553+4.3348054+0.186545</f>
        <v>17.0743504</v>
      </c>
      <c r="AB23" s="189">
        <f>12.606+4.358511+0.1853244</f>
        <v>17.1498354</v>
      </c>
      <c r="AC23" s="189">
        <f>12.987+4.4538901+0.1891748</f>
        <v>17.6300649</v>
      </c>
      <c r="AD23" s="189">
        <f>4.4906711+0.1925054+13.13</f>
        <v>17.8131765</v>
      </c>
      <c r="AE23" s="189">
        <v>17.8219335</v>
      </c>
      <c r="AF23" s="296">
        <v>18.311214800000002</v>
      </c>
      <c r="AG23" s="188">
        <f t="shared" si="1"/>
        <v>2.745388428253321</v>
      </c>
      <c r="AH23" s="187" t="s">
        <v>16</v>
      </c>
    </row>
    <row r="24" spans="1:34" s="201" customFormat="1" ht="12.75" customHeight="1">
      <c r="A24" s="282"/>
      <c r="B24" s="191" t="s">
        <v>19</v>
      </c>
      <c r="C24" s="205" t="s">
        <v>41</v>
      </c>
      <c r="D24" s="205" t="s">
        <v>41</v>
      </c>
      <c r="E24" s="193" t="s">
        <v>41</v>
      </c>
      <c r="F24" s="193" t="s">
        <v>41</v>
      </c>
      <c r="G24" s="193" t="s">
        <v>41</v>
      </c>
      <c r="H24" s="193" t="s">
        <v>41</v>
      </c>
      <c r="I24" s="193" t="s">
        <v>41</v>
      </c>
      <c r="J24" s="203">
        <v>0.41</v>
      </c>
      <c r="K24" s="203">
        <v>0.42</v>
      </c>
      <c r="L24" s="203">
        <v>0.44</v>
      </c>
      <c r="M24" s="203">
        <v>0.45</v>
      </c>
      <c r="N24" s="203">
        <v>0.455</v>
      </c>
      <c r="O24" s="203">
        <v>0.46</v>
      </c>
      <c r="P24" s="203">
        <v>0.47</v>
      </c>
      <c r="Q24" s="203">
        <v>0.48</v>
      </c>
      <c r="R24" s="203">
        <v>0.49</v>
      </c>
      <c r="S24" s="203">
        <v>0.5</v>
      </c>
      <c r="T24" s="203">
        <v>0.49</v>
      </c>
      <c r="U24" s="203">
        <v>0.5</v>
      </c>
      <c r="V24" s="203">
        <v>0.505</v>
      </c>
      <c r="W24" s="203">
        <v>0.51</v>
      </c>
      <c r="X24" s="203">
        <v>0.4848885722388764</v>
      </c>
      <c r="Y24" s="203">
        <v>0.5</v>
      </c>
      <c r="Z24" s="203">
        <v>0.47567815316050804</v>
      </c>
      <c r="AA24" s="203">
        <v>0.4764518954048124</v>
      </c>
      <c r="AB24" s="203">
        <v>0.46847402439797603</v>
      </c>
      <c r="AC24" s="203">
        <v>0.49155426958825765</v>
      </c>
      <c r="AD24" s="203">
        <v>0.539906461587028</v>
      </c>
      <c r="AE24" s="203">
        <v>0.54606337304779</v>
      </c>
      <c r="AF24" s="369">
        <v>0.5561121600348018</v>
      </c>
      <c r="AG24" s="202">
        <f t="shared" si="1"/>
        <v>1.8402235863075163</v>
      </c>
      <c r="AH24" s="191" t="s">
        <v>19</v>
      </c>
    </row>
    <row r="25" spans="1:34" ht="12.75" customHeight="1">
      <c r="A25" s="180"/>
      <c r="B25" s="187" t="s">
        <v>27</v>
      </c>
      <c r="C25" s="190">
        <v>9.5</v>
      </c>
      <c r="D25" s="216">
        <v>11.2</v>
      </c>
      <c r="E25" s="189">
        <v>13</v>
      </c>
      <c r="F25" s="209">
        <v>12.3</v>
      </c>
      <c r="G25" s="209">
        <v>13.2</v>
      </c>
      <c r="H25" s="209">
        <v>13.05</v>
      </c>
      <c r="I25" s="209">
        <v>12.15</v>
      </c>
      <c r="J25" s="209">
        <v>12</v>
      </c>
      <c r="K25" s="209">
        <v>11.85</v>
      </c>
      <c r="L25" s="209">
        <v>12</v>
      </c>
      <c r="M25" s="209">
        <v>11.7</v>
      </c>
      <c r="N25" s="209">
        <v>11.25</v>
      </c>
      <c r="O25" s="392">
        <v>4.617277399572086</v>
      </c>
      <c r="P25" s="208">
        <v>4.672245187115668</v>
      </c>
      <c r="Q25" s="209">
        <v>4.4114885322856</v>
      </c>
      <c r="R25" s="209">
        <v>4.599831164782615</v>
      </c>
      <c r="S25" s="209">
        <v>4.700190619040386</v>
      </c>
      <c r="T25" s="208">
        <v>4.775028046812017</v>
      </c>
      <c r="U25" s="208">
        <v>4.860911858498458</v>
      </c>
      <c r="V25" s="208">
        <v>4.961403033817193</v>
      </c>
      <c r="W25" s="208">
        <v>5.048543181837985</v>
      </c>
      <c r="X25" s="208">
        <v>4.853947506228394</v>
      </c>
      <c r="Y25" s="393">
        <v>4.846074938770187</v>
      </c>
      <c r="Z25" s="208">
        <v>5.010096540903104</v>
      </c>
      <c r="AA25" s="208">
        <v>4.483869529722649</v>
      </c>
      <c r="AB25" s="208">
        <v>4.6464404346162365</v>
      </c>
      <c r="AC25" s="208">
        <v>4.546757462094314</v>
      </c>
      <c r="AD25" s="208">
        <v>4.883554311138337</v>
      </c>
      <c r="AE25" s="208">
        <v>4.974573256196851</v>
      </c>
      <c r="AF25" s="387">
        <v>4.618397997859138</v>
      </c>
      <c r="AG25" s="207">
        <f t="shared" si="1"/>
        <v>-7.159915835876447</v>
      </c>
      <c r="AH25" s="187" t="s">
        <v>27</v>
      </c>
    </row>
    <row r="26" spans="1:34" s="201" customFormat="1" ht="12.75" customHeight="1">
      <c r="A26" s="206"/>
      <c r="B26" s="191" t="s">
        <v>36</v>
      </c>
      <c r="C26" s="205">
        <v>9.1</v>
      </c>
      <c r="D26" s="205">
        <v>9.8</v>
      </c>
      <c r="E26" s="203">
        <v>8.192984741832733</v>
      </c>
      <c r="F26" s="203">
        <v>8.170867841982773</v>
      </c>
      <c r="G26" s="203">
        <v>8.338078415562842</v>
      </c>
      <c r="H26" s="203">
        <v>8.577886975268642</v>
      </c>
      <c r="I26" s="203">
        <v>8.736271342619089</v>
      </c>
      <c r="J26" s="203">
        <v>8.971114336525325</v>
      </c>
      <c r="K26" s="203">
        <v>8.993439770994408</v>
      </c>
      <c r="L26" s="203">
        <v>9.071136073440593</v>
      </c>
      <c r="M26" s="203">
        <v>9.240753404456093</v>
      </c>
      <c r="N26" s="203">
        <v>9.251280045109212</v>
      </c>
      <c r="O26" s="203">
        <v>9.537900259105012</v>
      </c>
      <c r="P26" s="203">
        <v>9.493597151560785</v>
      </c>
      <c r="Q26" s="203">
        <v>9.606299966538835</v>
      </c>
      <c r="R26" s="203">
        <v>9.782600905796183</v>
      </c>
      <c r="S26" s="203">
        <v>9.909870909328074</v>
      </c>
      <c r="T26" s="203">
        <v>9.658124709230014</v>
      </c>
      <c r="U26" s="203">
        <v>9.563670932805143</v>
      </c>
      <c r="V26" s="203">
        <v>10.139828761267628</v>
      </c>
      <c r="W26" s="203">
        <v>9.904487885450676</v>
      </c>
      <c r="X26" s="203">
        <v>9.183516929671056</v>
      </c>
      <c r="Y26" s="203">
        <v>9.951612714295887</v>
      </c>
      <c r="Z26" s="203">
        <v>9.90355966348199</v>
      </c>
      <c r="AA26" s="203">
        <v>9.868701515196832</v>
      </c>
      <c r="AB26" s="203">
        <v>9.896578185510519</v>
      </c>
      <c r="AC26" s="193">
        <v>10.136862897278643</v>
      </c>
      <c r="AD26" s="193">
        <v>10.2954148601556</v>
      </c>
      <c r="AE26" s="193">
        <v>10.6054771848763</v>
      </c>
      <c r="AF26" s="193">
        <v>10.877</v>
      </c>
      <c r="AG26" s="213">
        <f t="shared" si="1"/>
        <v>2.5602130898070357</v>
      </c>
      <c r="AH26" s="191" t="s">
        <v>36</v>
      </c>
    </row>
    <row r="27" spans="1:34" ht="12.75" customHeight="1">
      <c r="A27" s="180"/>
      <c r="B27" s="187" t="s">
        <v>20</v>
      </c>
      <c r="C27" s="190">
        <v>29.14</v>
      </c>
      <c r="D27" s="190">
        <v>49.223</v>
      </c>
      <c r="E27" s="189">
        <v>46.3</v>
      </c>
      <c r="F27" s="189">
        <v>41.72</v>
      </c>
      <c r="G27" s="189">
        <v>39.008</v>
      </c>
      <c r="H27" s="189">
        <v>37.811</v>
      </c>
      <c r="I27" s="189">
        <v>34.262</v>
      </c>
      <c r="J27" s="189">
        <v>34.024</v>
      </c>
      <c r="K27" s="189">
        <v>33.984</v>
      </c>
      <c r="L27" s="189">
        <v>33.128</v>
      </c>
      <c r="M27" s="189">
        <v>34.035</v>
      </c>
      <c r="N27" s="189">
        <v>33.25</v>
      </c>
      <c r="O27" s="215">
        <v>59.2</v>
      </c>
      <c r="P27" s="189">
        <v>55.4</v>
      </c>
      <c r="Q27" s="189">
        <v>52</v>
      </c>
      <c r="R27" s="189">
        <v>51.6</v>
      </c>
      <c r="S27" s="189">
        <v>51.1</v>
      </c>
      <c r="T27" s="189">
        <v>49.2</v>
      </c>
      <c r="U27" s="189">
        <v>48.7</v>
      </c>
      <c r="V27" s="189">
        <v>47.7</v>
      </c>
      <c r="W27" s="189">
        <v>47.7</v>
      </c>
      <c r="X27" s="189">
        <v>43.9</v>
      </c>
      <c r="Y27" s="189">
        <v>41.7</v>
      </c>
      <c r="Z27" s="189">
        <v>40.1</v>
      </c>
      <c r="AA27" s="189">
        <v>39.419</v>
      </c>
      <c r="AB27" s="189">
        <v>37.8</v>
      </c>
      <c r="AC27" s="189">
        <v>39.158</v>
      </c>
      <c r="AD27" s="189">
        <v>37.58</v>
      </c>
      <c r="AE27" s="189">
        <v>36.774</v>
      </c>
      <c r="AF27" s="296">
        <v>36.065</v>
      </c>
      <c r="AG27" s="188">
        <f t="shared" si="1"/>
        <v>-1.9279926034698462</v>
      </c>
      <c r="AH27" s="187" t="s">
        <v>20</v>
      </c>
    </row>
    <row r="28" spans="1:34" s="201" customFormat="1" ht="12.75" customHeight="1">
      <c r="A28" s="206"/>
      <c r="B28" s="191" t="s">
        <v>37</v>
      </c>
      <c r="C28" s="205">
        <v>4.358</v>
      </c>
      <c r="D28" s="205">
        <v>7.6</v>
      </c>
      <c r="E28" s="193">
        <v>10.3</v>
      </c>
      <c r="F28" s="193">
        <v>10.7</v>
      </c>
      <c r="G28" s="193">
        <v>11.4</v>
      </c>
      <c r="H28" s="193">
        <v>11.8</v>
      </c>
      <c r="I28" s="193">
        <v>12.55</v>
      </c>
      <c r="J28" s="193">
        <v>11.3</v>
      </c>
      <c r="K28" s="193">
        <v>11.1</v>
      </c>
      <c r="L28" s="193">
        <v>11.6</v>
      </c>
      <c r="M28" s="193">
        <v>11.55</v>
      </c>
      <c r="N28" s="193">
        <v>11.48</v>
      </c>
      <c r="O28" s="193">
        <v>11.821</v>
      </c>
      <c r="P28" s="193">
        <v>11.159</v>
      </c>
      <c r="Q28" s="193">
        <v>9.936</v>
      </c>
      <c r="R28" s="193">
        <v>10.537</v>
      </c>
      <c r="S28" s="193">
        <v>10.809</v>
      </c>
      <c r="T28" s="281">
        <v>6.376263166645883</v>
      </c>
      <c r="U28" s="203">
        <v>6.064343265791044</v>
      </c>
      <c r="V28" s="203">
        <v>6.248737903312966</v>
      </c>
      <c r="W28" s="203">
        <v>6.282629752577119</v>
      </c>
      <c r="X28" s="203">
        <v>6.000359984210191</v>
      </c>
      <c r="Y28" s="203">
        <v>6.077555342622833</v>
      </c>
      <c r="Z28" s="193">
        <v>5.85</v>
      </c>
      <c r="AA28" s="193">
        <v>5.85</v>
      </c>
      <c r="AB28" s="193">
        <v>6.023</v>
      </c>
      <c r="AC28" s="193">
        <v>5.657</v>
      </c>
      <c r="AD28" s="224">
        <v>6.575</v>
      </c>
      <c r="AE28" s="193">
        <v>7.612</v>
      </c>
      <c r="AF28" s="386">
        <v>7.415</v>
      </c>
      <c r="AG28" s="213">
        <f t="shared" si="1"/>
        <v>-2.5880189174986867</v>
      </c>
      <c r="AH28" s="191" t="s">
        <v>37</v>
      </c>
    </row>
    <row r="29" spans="1:34" ht="12.75" customHeight="1">
      <c r="A29" s="180"/>
      <c r="B29" s="187" t="s">
        <v>21</v>
      </c>
      <c r="C29" s="190">
        <v>7.858</v>
      </c>
      <c r="D29" s="190">
        <v>24.016</v>
      </c>
      <c r="E29" s="189">
        <v>24.007</v>
      </c>
      <c r="F29" s="189">
        <v>20.835</v>
      </c>
      <c r="G29" s="189">
        <v>25.649</v>
      </c>
      <c r="H29" s="223">
        <v>20.512</v>
      </c>
      <c r="I29" s="189">
        <v>14.058</v>
      </c>
      <c r="J29" s="189">
        <v>12.343</v>
      </c>
      <c r="K29" s="189">
        <v>12.842</v>
      </c>
      <c r="L29" s="189">
        <v>13.531</v>
      </c>
      <c r="M29" s="189">
        <v>8.962</v>
      </c>
      <c r="N29" s="189">
        <v>8.323</v>
      </c>
      <c r="O29" s="189">
        <v>7.7</v>
      </c>
      <c r="P29" s="189">
        <v>7.073</v>
      </c>
      <c r="Q29" s="189">
        <v>6.987</v>
      </c>
      <c r="R29" s="189">
        <v>9.455</v>
      </c>
      <c r="S29" s="189">
        <v>9.438</v>
      </c>
      <c r="T29" s="189">
        <v>11.811</v>
      </c>
      <c r="U29" s="189">
        <v>11.735</v>
      </c>
      <c r="V29" s="189">
        <v>12.156</v>
      </c>
      <c r="W29" s="215">
        <v>20.194</v>
      </c>
      <c r="X29" s="189">
        <v>17.108</v>
      </c>
      <c r="Y29" s="189">
        <v>15.812</v>
      </c>
      <c r="Z29" s="189">
        <v>15.529</v>
      </c>
      <c r="AA29" s="189">
        <v>16.901</v>
      </c>
      <c r="AB29" s="189">
        <v>17.082</v>
      </c>
      <c r="AC29" s="189">
        <v>18.339</v>
      </c>
      <c r="AD29" s="189">
        <v>17.471</v>
      </c>
      <c r="AE29" s="189">
        <v>18.744</v>
      </c>
      <c r="AF29" s="296">
        <v>18.178</v>
      </c>
      <c r="AG29" s="188">
        <f t="shared" si="1"/>
        <v>-3.019632949210404</v>
      </c>
      <c r="AH29" s="187" t="s">
        <v>21</v>
      </c>
    </row>
    <row r="30" spans="1:34" s="201" customFormat="1" ht="12.75" customHeight="1">
      <c r="A30" s="206"/>
      <c r="B30" s="191" t="s">
        <v>23</v>
      </c>
      <c r="C30" s="205">
        <v>2.642</v>
      </c>
      <c r="D30" s="205">
        <v>4.925</v>
      </c>
      <c r="E30" s="193">
        <v>6.508</v>
      </c>
      <c r="F30" s="193">
        <v>5.554</v>
      </c>
      <c r="G30" s="193">
        <v>4.17</v>
      </c>
      <c r="H30" s="193">
        <v>3.894</v>
      </c>
      <c r="I30" s="193">
        <v>4.053</v>
      </c>
      <c r="J30" s="193">
        <v>4.113</v>
      </c>
      <c r="K30" s="193">
        <v>4.301</v>
      </c>
      <c r="L30" s="193">
        <v>4.379</v>
      </c>
      <c r="M30" s="193">
        <v>3.876</v>
      </c>
      <c r="N30" s="193">
        <v>4.138</v>
      </c>
      <c r="O30" s="193">
        <v>3.502</v>
      </c>
      <c r="P30" s="193">
        <v>3.393</v>
      </c>
      <c r="Q30" s="193">
        <v>3.339</v>
      </c>
      <c r="R30" s="193">
        <v>3.446</v>
      </c>
      <c r="S30" s="193">
        <v>3.218</v>
      </c>
      <c r="T30" s="193">
        <v>3.062</v>
      </c>
      <c r="U30" s="193">
        <v>3.133</v>
      </c>
      <c r="V30" s="193">
        <v>3.235</v>
      </c>
      <c r="W30" s="193">
        <v>3.146</v>
      </c>
      <c r="X30" s="193">
        <v>3.196</v>
      </c>
      <c r="Y30" s="193">
        <v>3.183</v>
      </c>
      <c r="Z30" s="203">
        <v>3.244143134443557</v>
      </c>
      <c r="AA30" s="203">
        <v>3.2370370249757103</v>
      </c>
      <c r="AB30" s="203">
        <v>3.3223001768851614</v>
      </c>
      <c r="AC30" s="203">
        <v>3.448992354015874</v>
      </c>
      <c r="AD30" s="203">
        <v>3.576082566075633</v>
      </c>
      <c r="AE30" s="203">
        <v>3.6071993994426763</v>
      </c>
      <c r="AF30" s="369">
        <v>3.6802214515651084</v>
      </c>
      <c r="AG30" s="213">
        <f t="shared" si="1"/>
        <v>2.0243419904570175</v>
      </c>
      <c r="AH30" s="191" t="s">
        <v>23</v>
      </c>
    </row>
    <row r="31" spans="1:34" ht="12.75" customHeight="1">
      <c r="A31" s="180"/>
      <c r="B31" s="187" t="s">
        <v>22</v>
      </c>
      <c r="C31" s="218"/>
      <c r="D31" s="218"/>
      <c r="E31" s="217"/>
      <c r="F31" s="189"/>
      <c r="G31" s="189"/>
      <c r="H31" s="189"/>
      <c r="I31" s="189"/>
      <c r="J31" s="189">
        <f>11.191+3.25</f>
        <v>14.441</v>
      </c>
      <c r="K31" s="189">
        <f>11.1+3.38</f>
        <v>14.48</v>
      </c>
      <c r="L31" s="189">
        <f>9.969+3.5</f>
        <v>13.469</v>
      </c>
      <c r="M31" s="189">
        <f>8.84+3.62</f>
        <v>12.46</v>
      </c>
      <c r="N31" s="189">
        <f>7.833+3.52</f>
        <v>11.353</v>
      </c>
      <c r="O31" s="208">
        <v>9.3174635</v>
      </c>
      <c r="P31" s="208">
        <v>9.24563722</v>
      </c>
      <c r="Q31" s="208">
        <v>9.24878837</v>
      </c>
      <c r="R31" s="208">
        <v>8.7739944</v>
      </c>
      <c r="S31" s="189">
        <v>8.84976323</v>
      </c>
      <c r="T31" s="189">
        <v>8.53778246</v>
      </c>
      <c r="U31" s="189">
        <v>8.683574</v>
      </c>
      <c r="V31" s="189">
        <v>8.652062</v>
      </c>
      <c r="W31" s="189">
        <v>7.4487156</v>
      </c>
      <c r="X31" s="189">
        <v>5.3743368</v>
      </c>
      <c r="Y31" s="189">
        <v>5.2707795</v>
      </c>
      <c r="Z31" s="189">
        <v>5.4770729099999995</v>
      </c>
      <c r="AA31" s="189">
        <v>5.432091430000001</v>
      </c>
      <c r="AB31" s="189">
        <f>4.388+((219.763+60.719)*3.1)/1000</f>
        <v>5.2574942</v>
      </c>
      <c r="AC31" s="189">
        <f>4.495+((230.887+62.017)*2.93)/1000</f>
        <v>5.3532087200000005</v>
      </c>
      <c r="AD31" s="189">
        <f>4.499+((234.226+60.225)*2.95)/1000</f>
        <v>5.36763045</v>
      </c>
      <c r="AE31" s="189">
        <v>5.89094489</v>
      </c>
      <c r="AF31" s="296">
        <v>5.925</v>
      </c>
      <c r="AG31" s="207">
        <f t="shared" si="1"/>
        <v>0.5780924900147966</v>
      </c>
      <c r="AH31" s="187" t="s">
        <v>22</v>
      </c>
    </row>
    <row r="32" spans="1:34" s="201" customFormat="1" ht="12.75" customHeight="1">
      <c r="A32" s="206"/>
      <c r="B32" s="191" t="s">
        <v>38</v>
      </c>
      <c r="C32" s="205">
        <v>7.5</v>
      </c>
      <c r="D32" s="205">
        <v>8.5</v>
      </c>
      <c r="E32" s="193">
        <v>8.5</v>
      </c>
      <c r="F32" s="193">
        <v>8.1</v>
      </c>
      <c r="G32" s="193">
        <v>8</v>
      </c>
      <c r="H32" s="193">
        <v>8</v>
      </c>
      <c r="I32" s="193">
        <v>8</v>
      </c>
      <c r="J32" s="193">
        <v>8</v>
      </c>
      <c r="K32" s="193">
        <v>8</v>
      </c>
      <c r="L32" s="193">
        <v>8</v>
      </c>
      <c r="M32" s="193">
        <v>7.8</v>
      </c>
      <c r="N32" s="193">
        <v>7.6</v>
      </c>
      <c r="O32" s="193">
        <v>7.7</v>
      </c>
      <c r="P32" s="193">
        <v>7.7</v>
      </c>
      <c r="Q32" s="193">
        <v>7.7</v>
      </c>
      <c r="R32" s="193">
        <v>7.67</v>
      </c>
      <c r="S32" s="193">
        <v>7.605</v>
      </c>
      <c r="T32" s="193">
        <v>7.54</v>
      </c>
      <c r="U32" s="193">
        <v>7.54</v>
      </c>
      <c r="V32" s="193">
        <v>7.54</v>
      </c>
      <c r="W32" s="193">
        <v>7.54</v>
      </c>
      <c r="X32" s="193">
        <v>7.54</v>
      </c>
      <c r="Y32" s="193">
        <v>7.54</v>
      </c>
      <c r="Z32" s="193">
        <v>7.54</v>
      </c>
      <c r="AA32" s="193">
        <v>7.54</v>
      </c>
      <c r="AB32" s="193">
        <v>7.54</v>
      </c>
      <c r="AC32" s="193">
        <v>7.54</v>
      </c>
      <c r="AD32" s="193">
        <v>7.54</v>
      </c>
      <c r="AE32" s="193">
        <v>8.255</v>
      </c>
      <c r="AF32" s="386">
        <v>8.234</v>
      </c>
      <c r="AG32" s="213">
        <f t="shared" si="1"/>
        <v>-0.2543912780133297</v>
      </c>
      <c r="AH32" s="191" t="s">
        <v>38</v>
      </c>
    </row>
    <row r="33" spans="1:34" ht="12.75" customHeight="1">
      <c r="A33" s="180"/>
      <c r="B33" s="187" t="s">
        <v>39</v>
      </c>
      <c r="C33" s="190">
        <v>5.5</v>
      </c>
      <c r="D33" s="216">
        <v>7.3</v>
      </c>
      <c r="E33" s="189">
        <v>9.663565396357743</v>
      </c>
      <c r="F33" s="189">
        <v>9.677871179540276</v>
      </c>
      <c r="G33" s="189">
        <v>9.699579341247878</v>
      </c>
      <c r="H33" s="189">
        <v>9.421206473765904</v>
      </c>
      <c r="I33" s="189">
        <v>9.531356730066832</v>
      </c>
      <c r="J33" s="189">
        <v>9.70318298834586</v>
      </c>
      <c r="K33" s="189">
        <v>9.815881642468796</v>
      </c>
      <c r="L33" s="189">
        <v>9.822218249358277</v>
      </c>
      <c r="M33" s="189">
        <v>9.777521360228848</v>
      </c>
      <c r="N33" s="189">
        <v>9.755750625837438</v>
      </c>
      <c r="O33" s="215">
        <v>9.224</v>
      </c>
      <c r="P33" s="189">
        <v>9.22</v>
      </c>
      <c r="Q33" s="189">
        <v>9.306</v>
      </c>
      <c r="R33" s="189">
        <v>9.327</v>
      </c>
      <c r="S33" s="189">
        <v>9.255</v>
      </c>
      <c r="T33" s="189">
        <v>9.254</v>
      </c>
      <c r="U33" s="189">
        <v>9.332</v>
      </c>
      <c r="V33" s="189">
        <v>9.418</v>
      </c>
      <c r="W33" s="189">
        <v>9.167</v>
      </c>
      <c r="X33" s="189">
        <v>9.239</v>
      </c>
      <c r="Y33" s="189">
        <v>9.374</v>
      </c>
      <c r="Z33" s="189">
        <v>9.647</v>
      </c>
      <c r="AA33" s="189">
        <v>9.523</v>
      </c>
      <c r="AB33" s="189">
        <v>9.704</v>
      </c>
      <c r="AC33" s="189">
        <v>9.693</v>
      </c>
      <c r="AD33" s="189">
        <v>9.82820243924015</v>
      </c>
      <c r="AE33" s="189">
        <v>9.84657371805741</v>
      </c>
      <c r="AF33" s="296">
        <v>9.971</v>
      </c>
      <c r="AG33" s="188">
        <f t="shared" si="1"/>
        <v>1.2636505398259317</v>
      </c>
      <c r="AH33" s="187" t="s">
        <v>39</v>
      </c>
    </row>
    <row r="34" spans="1:34" ht="12.75" customHeight="1">
      <c r="A34" s="180"/>
      <c r="B34" s="182" t="s">
        <v>28</v>
      </c>
      <c r="C34" s="280">
        <f>60.2+1.5</f>
        <v>61.7</v>
      </c>
      <c r="D34" s="280">
        <f>52.2+1.5</f>
        <v>53.7</v>
      </c>
      <c r="E34" s="278">
        <v>47.1</v>
      </c>
      <c r="F34" s="278">
        <v>45.2</v>
      </c>
      <c r="G34" s="278">
        <v>44</v>
      </c>
      <c r="H34" s="278">
        <v>45.3</v>
      </c>
      <c r="I34" s="278">
        <v>45.2</v>
      </c>
      <c r="J34" s="278">
        <v>44.8</v>
      </c>
      <c r="K34" s="278">
        <v>44.7</v>
      </c>
      <c r="L34" s="278">
        <v>45.5</v>
      </c>
      <c r="M34" s="278">
        <v>46.4</v>
      </c>
      <c r="N34" s="278">
        <v>47.7</v>
      </c>
      <c r="O34" s="278">
        <v>48</v>
      </c>
      <c r="P34" s="278">
        <v>48.04</v>
      </c>
      <c r="Q34" s="278">
        <v>42.1</v>
      </c>
      <c r="R34" s="279">
        <v>46.1</v>
      </c>
      <c r="S34" s="278">
        <v>42.52659118349422</v>
      </c>
      <c r="T34" s="278">
        <v>43.96401545253839</v>
      </c>
      <c r="U34" s="278">
        <v>41.970470057792525</v>
      </c>
      <c r="V34" s="278">
        <v>42.197936603376114</v>
      </c>
      <c r="W34" s="278">
        <v>44.709474844574544</v>
      </c>
      <c r="X34" s="278">
        <v>45.719121807781</v>
      </c>
      <c r="Y34" s="278">
        <v>46.223324420997564</v>
      </c>
      <c r="Z34" s="278">
        <v>44.10690655718805</v>
      </c>
      <c r="AA34" s="278">
        <v>43.72628609537834</v>
      </c>
      <c r="AB34" s="278">
        <v>41.881469475441314</v>
      </c>
      <c r="AC34" s="359">
        <v>41.11783422033048</v>
      </c>
      <c r="AD34" s="434">
        <v>40.86814894142244</v>
      </c>
      <c r="AE34" s="434">
        <v>35.86423915152338</v>
      </c>
      <c r="AF34" s="432">
        <v>39.4788449899443</v>
      </c>
      <c r="AG34" s="277">
        <f t="shared" si="1"/>
        <v>10.078579453894207</v>
      </c>
      <c r="AH34" s="182" t="s">
        <v>28</v>
      </c>
    </row>
    <row r="35" spans="1:34" ht="12.75" customHeight="1">
      <c r="A35" s="180"/>
      <c r="B35" s="187" t="s">
        <v>112</v>
      </c>
      <c r="C35" s="190">
        <v>0.776</v>
      </c>
      <c r="D35" s="190">
        <v>1.421</v>
      </c>
      <c r="E35" s="352">
        <v>2.174</v>
      </c>
      <c r="F35" s="352">
        <v>1.28</v>
      </c>
      <c r="G35" s="352">
        <v>0.515</v>
      </c>
      <c r="H35" s="352">
        <v>0.307</v>
      </c>
      <c r="I35" s="352">
        <v>0.197</v>
      </c>
      <c r="J35" s="352">
        <v>0.196</v>
      </c>
      <c r="K35" s="352">
        <v>0.223</v>
      </c>
      <c r="L35" s="352">
        <v>0.19</v>
      </c>
      <c r="M35" s="352">
        <v>0.19</v>
      </c>
      <c r="N35" s="352">
        <v>0.221</v>
      </c>
      <c r="O35" s="352">
        <v>0.184</v>
      </c>
      <c r="P35" s="352">
        <v>0.197</v>
      </c>
      <c r="Q35" s="352">
        <v>0.159</v>
      </c>
      <c r="R35" s="352">
        <v>0.176</v>
      </c>
      <c r="S35" s="352">
        <v>0.141</v>
      </c>
      <c r="T35" s="352">
        <v>0.28</v>
      </c>
      <c r="U35" s="352">
        <v>0.48</v>
      </c>
      <c r="V35" s="352">
        <v>0.663</v>
      </c>
      <c r="W35" s="352">
        <v>0.79</v>
      </c>
      <c r="X35" s="352">
        <v>1.302</v>
      </c>
      <c r="Y35" s="352">
        <v>2.37</v>
      </c>
      <c r="Z35" s="352">
        <v>1.254</v>
      </c>
      <c r="AA35" s="352">
        <v>0.983</v>
      </c>
      <c r="AB35" s="352">
        <v>1.063</v>
      </c>
      <c r="AC35" s="375">
        <v>1.1326680761099364</v>
      </c>
      <c r="AD35" s="375">
        <v>1.2130914544345939</v>
      </c>
      <c r="AE35" s="375">
        <v>1.319032466687682</v>
      </c>
      <c r="AF35" s="388">
        <v>1.2499558444672563</v>
      </c>
      <c r="AG35" s="207">
        <f t="shared" si="1"/>
        <v>-5.236915994485642</v>
      </c>
      <c r="AH35" s="187" t="s">
        <v>112</v>
      </c>
    </row>
    <row r="36" spans="1:34" ht="12.75" customHeight="1">
      <c r="A36" s="180"/>
      <c r="B36" s="191" t="s">
        <v>103</v>
      </c>
      <c r="C36" s="221"/>
      <c r="D36" s="221"/>
      <c r="E36" s="203"/>
      <c r="F36" s="203"/>
      <c r="G36" s="203"/>
      <c r="H36" s="203"/>
      <c r="I36" s="203"/>
      <c r="J36" s="203"/>
      <c r="K36" s="203"/>
      <c r="L36" s="203"/>
      <c r="M36" s="203"/>
      <c r="N36" s="203"/>
      <c r="O36" s="203"/>
      <c r="P36" s="203"/>
      <c r="Q36" s="203"/>
      <c r="R36" s="203"/>
      <c r="S36" s="203"/>
      <c r="T36" s="203"/>
      <c r="U36" s="203"/>
      <c r="V36" s="203"/>
      <c r="W36" s="193">
        <v>0.124</v>
      </c>
      <c r="X36" s="193">
        <v>0.102</v>
      </c>
      <c r="Y36" s="193">
        <v>0.081</v>
      </c>
      <c r="Z36" s="193">
        <v>0.08</v>
      </c>
      <c r="AA36" s="193">
        <v>0.112</v>
      </c>
      <c r="AB36" s="193">
        <v>0.108802</v>
      </c>
      <c r="AC36" s="193">
        <v>0.108</v>
      </c>
      <c r="AD36" s="193">
        <f>0.109621</f>
        <v>0.109621</v>
      </c>
      <c r="AE36" s="193">
        <v>0.113798</v>
      </c>
      <c r="AF36" s="386">
        <v>0.114196</v>
      </c>
      <c r="AG36" s="213">
        <f t="shared" si="1"/>
        <v>0.349742526230699</v>
      </c>
      <c r="AH36" s="191" t="s">
        <v>103</v>
      </c>
    </row>
    <row r="37" spans="1:34" ht="12.75" customHeight="1">
      <c r="A37" s="180"/>
      <c r="B37" s="187" t="s">
        <v>6</v>
      </c>
      <c r="C37" s="218"/>
      <c r="D37" s="218"/>
      <c r="E37" s="217"/>
      <c r="F37" s="189"/>
      <c r="G37" s="189"/>
      <c r="H37" s="189"/>
      <c r="I37" s="189"/>
      <c r="J37" s="208">
        <v>0.9</v>
      </c>
      <c r="K37" s="208">
        <v>0.9</v>
      </c>
      <c r="L37" s="208">
        <v>0.9</v>
      </c>
      <c r="M37" s="208">
        <v>0.9</v>
      </c>
      <c r="N37" s="208">
        <v>0.9</v>
      </c>
      <c r="O37" s="208">
        <v>0.9</v>
      </c>
      <c r="P37" s="189">
        <v>0.831</v>
      </c>
      <c r="Q37" s="208">
        <v>1</v>
      </c>
      <c r="R37" s="189">
        <v>1.344</v>
      </c>
      <c r="S37" s="189">
        <v>1.11</v>
      </c>
      <c r="T37" s="189">
        <v>1.086</v>
      </c>
      <c r="U37" s="189">
        <v>1.016</v>
      </c>
      <c r="V37" s="189">
        <v>1.027</v>
      </c>
      <c r="W37" s="189">
        <v>1.239</v>
      </c>
      <c r="X37" s="189">
        <v>1.213</v>
      </c>
      <c r="Y37" s="189">
        <f>1.441</f>
        <v>1.441</v>
      </c>
      <c r="Z37" s="189">
        <v>1.64</v>
      </c>
      <c r="AA37" s="189">
        <v>1.403</v>
      </c>
      <c r="AB37" s="189">
        <v>1.395</v>
      </c>
      <c r="AC37" s="189">
        <v>1.208</v>
      </c>
      <c r="AD37" s="189">
        <v>1.248</v>
      </c>
      <c r="AE37" s="189">
        <v>1.101</v>
      </c>
      <c r="AF37" s="296">
        <v>1.248</v>
      </c>
      <c r="AG37" s="188">
        <f t="shared" si="1"/>
        <v>13.351498637602191</v>
      </c>
      <c r="AH37" s="187" t="s">
        <v>6</v>
      </c>
    </row>
    <row r="38" spans="1:34" ht="12.75" customHeight="1">
      <c r="A38" s="180"/>
      <c r="B38" s="191" t="s">
        <v>104</v>
      </c>
      <c r="C38" s="275"/>
      <c r="D38" s="275"/>
      <c r="E38" s="274"/>
      <c r="F38" s="193"/>
      <c r="G38" s="193"/>
      <c r="H38" s="193"/>
      <c r="I38" s="193"/>
      <c r="J38" s="203"/>
      <c r="K38" s="203"/>
      <c r="L38" s="203"/>
      <c r="M38" s="203"/>
      <c r="N38" s="203"/>
      <c r="O38" s="203"/>
      <c r="P38" s="193"/>
      <c r="Q38" s="203"/>
      <c r="R38" s="193"/>
      <c r="S38" s="193"/>
      <c r="T38" s="193"/>
      <c r="U38" s="193"/>
      <c r="V38" s="193"/>
      <c r="W38" s="203"/>
      <c r="X38" s="203"/>
      <c r="Y38" s="203">
        <v>9.398804324412298</v>
      </c>
      <c r="Z38" s="203">
        <v>9.547604794538175</v>
      </c>
      <c r="AA38" s="203">
        <v>9.462568086499578</v>
      </c>
      <c r="AB38" s="203">
        <v>9.21917067650737</v>
      </c>
      <c r="AC38" s="203">
        <v>8.89309021507867</v>
      </c>
      <c r="AD38" s="203">
        <v>9.40285768293613</v>
      </c>
      <c r="AE38" s="203">
        <v>8.95546489238502</v>
      </c>
      <c r="AF38" s="466">
        <v>9.75</v>
      </c>
      <c r="AG38" s="202">
        <f t="shared" si="1"/>
        <v>8.872069927833508</v>
      </c>
      <c r="AH38" s="191" t="s">
        <v>104</v>
      </c>
    </row>
    <row r="39" spans="1:34" s="201" customFormat="1" ht="12.75" customHeight="1">
      <c r="A39" s="206"/>
      <c r="B39" s="195" t="s">
        <v>24</v>
      </c>
      <c r="C39" s="190" t="s">
        <v>41</v>
      </c>
      <c r="D39" s="190" t="s">
        <v>41</v>
      </c>
      <c r="E39" s="189" t="s">
        <v>41</v>
      </c>
      <c r="F39" s="189" t="s">
        <v>41</v>
      </c>
      <c r="G39" s="189" t="s">
        <v>41</v>
      </c>
      <c r="H39" s="189">
        <v>86.914</v>
      </c>
      <c r="I39" s="189">
        <v>79.17</v>
      </c>
      <c r="J39" s="189">
        <v>85.674</v>
      </c>
      <c r="K39" s="189">
        <v>91.658</v>
      </c>
      <c r="L39" s="189">
        <v>95.36</v>
      </c>
      <c r="M39" s="189">
        <v>94.914</v>
      </c>
      <c r="N39" s="189">
        <v>91.263</v>
      </c>
      <c r="O39" s="189">
        <v>87.391</v>
      </c>
      <c r="P39" s="189">
        <v>76.8</v>
      </c>
      <c r="Q39" s="208">
        <v>80</v>
      </c>
      <c r="R39" s="208">
        <v>81</v>
      </c>
      <c r="S39" s="208">
        <v>85</v>
      </c>
      <c r="T39" s="208">
        <v>95</v>
      </c>
      <c r="U39" s="208">
        <v>100</v>
      </c>
      <c r="V39" s="208">
        <v>105</v>
      </c>
      <c r="W39" s="208">
        <v>110</v>
      </c>
      <c r="X39" s="198">
        <v>88.426</v>
      </c>
      <c r="Y39" s="189">
        <v>89.056</v>
      </c>
      <c r="Z39" s="189">
        <v>95.334</v>
      </c>
      <c r="AA39" s="189">
        <v>96.559</v>
      </c>
      <c r="AB39" s="189">
        <v>94.846</v>
      </c>
      <c r="AC39" s="189">
        <v>93.918</v>
      </c>
      <c r="AD39" s="189">
        <v>90.839</v>
      </c>
      <c r="AE39" s="189">
        <v>86.999</v>
      </c>
      <c r="AF39" s="387">
        <v>87.49818787314223</v>
      </c>
      <c r="AG39" s="196">
        <f t="shared" si="1"/>
        <v>0.573785759769919</v>
      </c>
      <c r="AH39" s="195" t="s">
        <v>24</v>
      </c>
    </row>
    <row r="40" spans="1:34" s="201" customFormat="1" ht="12.75" customHeight="1">
      <c r="A40" s="206"/>
      <c r="B40" s="191" t="s">
        <v>10</v>
      </c>
      <c r="C40" s="194" t="s">
        <v>41</v>
      </c>
      <c r="D40" s="194" t="s">
        <v>41</v>
      </c>
      <c r="E40" s="192" t="s">
        <v>41</v>
      </c>
      <c r="F40" s="192" t="s">
        <v>41</v>
      </c>
      <c r="G40" s="192" t="s">
        <v>41</v>
      </c>
      <c r="H40" s="192" t="s">
        <v>41</v>
      </c>
      <c r="I40" s="192" t="s">
        <v>41</v>
      </c>
      <c r="J40" s="192">
        <v>0.389</v>
      </c>
      <c r="K40" s="192">
        <v>0.408</v>
      </c>
      <c r="L40" s="192">
        <v>0.433</v>
      </c>
      <c r="M40" s="192">
        <v>0.458</v>
      </c>
      <c r="N40" s="192">
        <v>0.468</v>
      </c>
      <c r="O40" s="192">
        <v>0.485</v>
      </c>
      <c r="P40" s="192">
        <v>0.508</v>
      </c>
      <c r="Q40" s="192">
        <v>0.523</v>
      </c>
      <c r="R40" s="192">
        <v>0.537</v>
      </c>
      <c r="S40" s="192">
        <v>0.554</v>
      </c>
      <c r="T40" s="192">
        <v>0.587</v>
      </c>
      <c r="U40" s="192">
        <v>0.622</v>
      </c>
      <c r="V40" s="192">
        <v>0.653</v>
      </c>
      <c r="W40" s="192">
        <v>0.636</v>
      </c>
      <c r="X40" s="192">
        <v>0.644</v>
      </c>
      <c r="Y40" s="192">
        <v>0.638</v>
      </c>
      <c r="Z40" s="192">
        <v>0.615</v>
      </c>
      <c r="AA40" s="192">
        <v>0.622</v>
      </c>
      <c r="AB40" s="192">
        <v>0.64</v>
      </c>
      <c r="AC40" s="357">
        <v>0.673</v>
      </c>
      <c r="AD40" s="357">
        <v>0.718</v>
      </c>
      <c r="AE40" s="357">
        <v>0.833</v>
      </c>
      <c r="AF40" s="468">
        <v>0.8950331068062234</v>
      </c>
      <c r="AG40" s="376">
        <f t="shared" si="1"/>
        <v>7.446951597385777</v>
      </c>
      <c r="AH40" s="191" t="s">
        <v>10</v>
      </c>
    </row>
    <row r="41" spans="1:34" ht="12.75" customHeight="1">
      <c r="A41" s="180"/>
      <c r="B41" s="187" t="s">
        <v>40</v>
      </c>
      <c r="C41" s="190">
        <v>3.726</v>
      </c>
      <c r="D41" s="190">
        <v>4.257</v>
      </c>
      <c r="E41" s="189">
        <v>3.89</v>
      </c>
      <c r="F41" s="189">
        <v>3.935</v>
      </c>
      <c r="G41" s="189">
        <v>3.935</v>
      </c>
      <c r="H41" s="189">
        <v>3.935</v>
      </c>
      <c r="I41" s="189">
        <v>4</v>
      </c>
      <c r="J41" s="189">
        <v>3.752</v>
      </c>
      <c r="K41" s="189">
        <v>4.117</v>
      </c>
      <c r="L41" s="189">
        <v>4.248</v>
      </c>
      <c r="M41" s="189">
        <v>4.212</v>
      </c>
      <c r="N41" s="189">
        <v>4.177</v>
      </c>
      <c r="O41" s="189">
        <v>4.141</v>
      </c>
      <c r="P41" s="189">
        <v>4.105</v>
      </c>
      <c r="Q41" s="189">
        <v>4.125</v>
      </c>
      <c r="R41" s="189">
        <v>4.005</v>
      </c>
      <c r="S41" s="189">
        <v>4.231</v>
      </c>
      <c r="T41" s="189">
        <v>4.312</v>
      </c>
      <c r="U41" s="189">
        <v>4.258</v>
      </c>
      <c r="V41" s="189">
        <v>4.268</v>
      </c>
      <c r="W41" s="189">
        <v>4.36</v>
      </c>
      <c r="X41" s="189">
        <v>4.401</v>
      </c>
      <c r="Y41" s="189">
        <f>4.506</f>
        <v>4.506</v>
      </c>
      <c r="Z41" s="189">
        <v>4.748</v>
      </c>
      <c r="AA41" s="189">
        <v>3.788</v>
      </c>
      <c r="AB41" s="189">
        <v>3.738</v>
      </c>
      <c r="AC41" s="189">
        <v>3.793</v>
      </c>
      <c r="AD41" s="189">
        <v>4.089</v>
      </c>
      <c r="AE41" s="189">
        <v>4.331</v>
      </c>
      <c r="AF41" s="296">
        <v>4.235</v>
      </c>
      <c r="AG41" s="188">
        <f t="shared" si="1"/>
        <v>-2.2165781574693995</v>
      </c>
      <c r="AH41" s="187" t="s">
        <v>40</v>
      </c>
    </row>
    <row r="42" spans="1:34" s="201" customFormat="1" ht="12.75" customHeight="1">
      <c r="A42" s="206"/>
      <c r="B42" s="182" t="s">
        <v>11</v>
      </c>
      <c r="C42" s="186">
        <v>1.885</v>
      </c>
      <c r="D42" s="186">
        <v>2.486</v>
      </c>
      <c r="E42" s="184">
        <v>3.318</v>
      </c>
      <c r="F42" s="184">
        <v>3.627</v>
      </c>
      <c r="G42" s="184">
        <v>3.583</v>
      </c>
      <c r="H42" s="184">
        <v>3.539</v>
      </c>
      <c r="I42" s="214">
        <v>3.531</v>
      </c>
      <c r="J42" s="184">
        <f>2.3881+0.8137+2.327</f>
        <v>5.5288</v>
      </c>
      <c r="K42" s="184">
        <f>2.2944+0.8259+2.304</f>
        <v>5.4243</v>
      </c>
      <c r="L42" s="184">
        <f>2.2758+0.8245+2.287</f>
        <v>5.3873</v>
      </c>
      <c r="M42" s="185">
        <f>0.547+2.0788+2.129</f>
        <v>4.7548</v>
      </c>
      <c r="N42" s="184">
        <f>0.529+2.1269+2.069</f>
        <v>4.7249</v>
      </c>
      <c r="O42" s="184">
        <f>0.5283+2.1834+2.087</f>
        <v>4.7987</v>
      </c>
      <c r="P42" s="184">
        <f>0.5267+2.3116+2.01</f>
        <v>4.8483</v>
      </c>
      <c r="Q42" s="184">
        <f>0.5281+2.3648+1.968</f>
        <v>4.8609</v>
      </c>
      <c r="R42" s="184">
        <f>0.5193+2.4579+2.017</f>
        <v>4.994199999999999</v>
      </c>
      <c r="S42" s="184">
        <f>0.5348+2.4569+2.066</f>
        <v>5.0577000000000005</v>
      </c>
      <c r="T42" s="184">
        <v>5.3115</v>
      </c>
      <c r="U42" s="184">
        <v>5.6021</v>
      </c>
      <c r="V42" s="184">
        <v>5.673</v>
      </c>
      <c r="W42" s="184">
        <v>5.3265</v>
      </c>
      <c r="X42" s="184">
        <v>5.4176910016</v>
      </c>
      <c r="Y42" s="184">
        <v>5.5076538816</v>
      </c>
      <c r="Z42" s="184">
        <v>5.6060850048</v>
      </c>
      <c r="AA42" s="184">
        <v>5.7069478848</v>
      </c>
      <c r="AB42" s="184">
        <v>5.7751977792</v>
      </c>
      <c r="AC42" s="358">
        <v>5.8559</v>
      </c>
      <c r="AD42" s="411">
        <v>6.0099260096</v>
      </c>
      <c r="AE42" s="411">
        <v>6.131</v>
      </c>
      <c r="AF42" s="433">
        <v>6.144</v>
      </c>
      <c r="AG42" s="183">
        <f t="shared" si="1"/>
        <v>0.21203718806066263</v>
      </c>
      <c r="AH42" s="182" t="s">
        <v>11</v>
      </c>
    </row>
    <row r="43" spans="1:34" ht="12.75" customHeight="1">
      <c r="A43" s="180"/>
      <c r="B43" s="273" t="s">
        <v>102</v>
      </c>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360"/>
      <c r="AD43" s="360"/>
      <c r="AE43" s="360"/>
      <c r="AF43" s="360"/>
      <c r="AG43" s="273"/>
      <c r="AH43" s="272"/>
    </row>
    <row r="44" spans="1:34" s="201" customFormat="1" ht="12.75" customHeight="1">
      <c r="A44" s="206"/>
      <c r="B44" s="271" t="s">
        <v>5</v>
      </c>
      <c r="C44" s="270"/>
      <c r="D44" s="174"/>
      <c r="E44" s="174"/>
      <c r="F44" s="174"/>
      <c r="G44" s="174"/>
      <c r="H44" s="269"/>
      <c r="I44" s="174"/>
      <c r="J44" s="174"/>
      <c r="K44" s="175"/>
      <c r="L44" s="174"/>
      <c r="M44" s="173"/>
      <c r="N44" s="173"/>
      <c r="O44" s="165"/>
      <c r="P44" s="165"/>
      <c r="Q44" s="165"/>
      <c r="R44" s="165"/>
      <c r="S44" s="165"/>
      <c r="T44" s="165"/>
      <c r="U44" s="165"/>
      <c r="V44" s="165"/>
      <c r="W44" s="165"/>
      <c r="X44" s="165"/>
      <c r="Y44" s="165"/>
      <c r="Z44" s="165"/>
      <c r="AA44" s="165"/>
      <c r="AB44" s="165"/>
      <c r="AC44" s="165"/>
      <c r="AD44" s="165"/>
      <c r="AE44" s="165"/>
      <c r="AF44" s="165"/>
      <c r="AG44" s="267"/>
      <c r="AH44" s="165"/>
    </row>
    <row r="45" spans="2:34" ht="15" customHeight="1">
      <c r="B45" s="169" t="s">
        <v>150</v>
      </c>
      <c r="C45" s="169"/>
      <c r="D45" s="265"/>
      <c r="E45" s="265"/>
      <c r="F45" s="265"/>
      <c r="G45" s="265"/>
      <c r="H45" s="265"/>
      <c r="I45" s="265"/>
      <c r="J45" s="265"/>
      <c r="K45" s="265"/>
      <c r="L45" s="265"/>
      <c r="M45" s="265"/>
      <c r="N45" s="265"/>
      <c r="O45" s="361"/>
      <c r="P45" s="361"/>
      <c r="Q45" s="361"/>
      <c r="R45" s="361"/>
      <c r="S45" s="361"/>
      <c r="T45" s="361"/>
      <c r="U45" s="361"/>
      <c r="V45" s="361"/>
      <c r="W45" s="361"/>
      <c r="X45" s="361"/>
      <c r="Y45" s="361"/>
      <c r="Z45" s="361"/>
      <c r="AA45" s="361"/>
      <c r="AB45" s="361"/>
      <c r="AC45" s="361"/>
      <c r="AD45" s="361"/>
      <c r="AE45" s="361"/>
      <c r="AF45" s="361"/>
      <c r="AG45" s="169"/>
      <c r="AH45" s="169"/>
    </row>
    <row r="46" spans="2:34" ht="12.75" customHeight="1">
      <c r="B46" s="596" t="s">
        <v>135</v>
      </c>
      <c r="C46" s="596"/>
      <c r="D46" s="596"/>
      <c r="E46" s="596"/>
      <c r="F46" s="596"/>
      <c r="G46" s="596"/>
      <c r="H46" s="596"/>
      <c r="I46" s="596"/>
      <c r="J46" s="596"/>
      <c r="K46" s="596"/>
      <c r="L46" s="596"/>
      <c r="M46" s="596"/>
      <c r="N46" s="596"/>
      <c r="O46" s="596"/>
      <c r="P46" s="596"/>
      <c r="Q46" s="596"/>
      <c r="R46" s="596"/>
      <c r="S46" s="596"/>
      <c r="T46" s="596"/>
      <c r="U46" s="596"/>
      <c r="V46" s="596"/>
      <c r="W46" s="596"/>
      <c r="X46" s="596"/>
      <c r="Y46" s="596"/>
      <c r="Z46" s="596"/>
      <c r="AA46" s="596"/>
      <c r="AB46" s="596"/>
      <c r="AC46" s="596"/>
      <c r="AD46" s="596"/>
      <c r="AE46" s="596"/>
      <c r="AF46" s="596"/>
      <c r="AG46" s="460"/>
      <c r="AH46" s="169"/>
    </row>
    <row r="47" spans="2:34" s="169" customFormat="1" ht="12.75" customHeight="1">
      <c r="B47" s="165" t="s">
        <v>151</v>
      </c>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row>
    <row r="48" spans="2:34" s="169" customFormat="1" ht="12.75" customHeight="1">
      <c r="B48" s="165" t="s">
        <v>157</v>
      </c>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row>
    <row r="49" ht="11.25">
      <c r="B49" s="165" t="s">
        <v>120</v>
      </c>
    </row>
    <row r="50" spans="2:29" ht="11.25">
      <c r="B50" s="266" t="s">
        <v>82</v>
      </c>
      <c r="C50" s="169"/>
      <c r="D50" s="265"/>
      <c r="E50" s="265"/>
      <c r="F50" s="265"/>
      <c r="G50" s="265"/>
      <c r="H50" s="265"/>
      <c r="I50" s="265"/>
      <c r="J50" s="265"/>
      <c r="K50" s="265"/>
      <c r="L50" s="265"/>
      <c r="M50" s="265"/>
      <c r="N50" s="265"/>
      <c r="O50" s="265"/>
      <c r="P50" s="265"/>
      <c r="Q50" s="265"/>
      <c r="R50" s="265"/>
      <c r="S50" s="265"/>
      <c r="AB50" s="169"/>
      <c r="AC50" s="169"/>
    </row>
    <row r="51" spans="2:29" ht="12.75" customHeight="1">
      <c r="B51" s="165" t="s">
        <v>115</v>
      </c>
      <c r="C51" s="263"/>
      <c r="D51" s="263"/>
      <c r="E51" s="263"/>
      <c r="F51" s="263"/>
      <c r="G51" s="263"/>
      <c r="H51" s="263"/>
      <c r="I51" s="263"/>
      <c r="J51" s="263"/>
      <c r="K51" s="263"/>
      <c r="L51" s="264"/>
      <c r="M51" s="264"/>
      <c r="N51" s="264"/>
      <c r="O51" s="265"/>
      <c r="P51" s="265"/>
      <c r="Q51" s="265"/>
      <c r="R51" s="265"/>
      <c r="S51" s="265"/>
      <c r="T51" s="265"/>
      <c r="U51" s="265"/>
      <c r="V51" s="265"/>
      <c r="W51" s="265"/>
      <c r="X51" s="265"/>
      <c r="Y51" s="265"/>
      <c r="Z51" s="265"/>
      <c r="AA51" s="265"/>
      <c r="AB51" s="265"/>
      <c r="AC51" s="265"/>
    </row>
    <row r="52" spans="2:34" s="169" customFormat="1" ht="11.25" customHeight="1">
      <c r="B52" s="165" t="s">
        <v>123</v>
      </c>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row>
    <row r="53" spans="2:19" ht="12.75" customHeight="1">
      <c r="B53" s="222" t="s">
        <v>133</v>
      </c>
      <c r="E53" s="363"/>
      <c r="F53" s="363"/>
      <c r="G53" s="363"/>
      <c r="H53" s="363"/>
      <c r="I53" s="363"/>
      <c r="J53" s="363"/>
      <c r="K53" s="363"/>
      <c r="L53" s="363"/>
      <c r="M53" s="363"/>
      <c r="N53" s="363"/>
      <c r="O53" s="363"/>
      <c r="P53" s="363"/>
      <c r="Q53" s="363"/>
      <c r="R53" s="363"/>
      <c r="S53" s="363"/>
    </row>
    <row r="54" spans="2:29" ht="11.25">
      <c r="B54" s="165" t="s">
        <v>148</v>
      </c>
      <c r="T54" s="181"/>
      <c r="AB54" s="181"/>
      <c r="AC54" s="181"/>
    </row>
    <row r="55" spans="2:5" ht="11.25">
      <c r="B55" s="165" t="s">
        <v>149</v>
      </c>
      <c r="E55" s="362"/>
    </row>
    <row r="56" ht="11.25">
      <c r="B56" s="510" t="s">
        <v>154</v>
      </c>
    </row>
    <row r="57" spans="21:27" ht="11.25">
      <c r="U57" s="265"/>
      <c r="V57" s="265"/>
      <c r="W57" s="265"/>
      <c r="X57" s="265"/>
      <c r="Y57" s="265"/>
      <c r="Z57" s="265"/>
      <c r="AA57" s="265"/>
    </row>
    <row r="59" spans="20:29" ht="11.25">
      <c r="T59" s="143"/>
      <c r="U59" s="363"/>
      <c r="V59" s="364"/>
      <c r="W59" s="364"/>
      <c r="X59" s="364"/>
      <c r="Y59" s="364"/>
      <c r="Z59" s="364"/>
      <c r="AA59" s="364"/>
      <c r="AB59" s="143"/>
      <c r="AC59" s="143"/>
    </row>
    <row r="60" spans="20:29" ht="11.25">
      <c r="T60" s="143"/>
      <c r="AB60" s="143"/>
      <c r="AC60" s="143"/>
    </row>
    <row r="61" spans="20:29" ht="11.25">
      <c r="T61" s="380"/>
      <c r="AB61" s="380"/>
      <c r="AC61" s="380"/>
    </row>
    <row r="62" spans="20:29" ht="11.25">
      <c r="T62" s="181"/>
      <c r="AB62" s="181"/>
      <c r="AC62" s="181"/>
    </row>
    <row r="63" spans="23:27" ht="11.25">
      <c r="W63" s="364"/>
      <c r="X63" s="364"/>
      <c r="Y63" s="364"/>
      <c r="Z63" s="364"/>
      <c r="AA63" s="364"/>
    </row>
    <row r="69" spans="23:29" ht="11.25">
      <c r="W69" s="364"/>
      <c r="X69" s="364"/>
      <c r="Y69" s="364"/>
      <c r="Z69" s="364"/>
      <c r="AA69" s="364"/>
      <c r="AB69" s="364"/>
      <c r="AC69" s="364"/>
    </row>
    <row r="70" spans="23:29" ht="11.25">
      <c r="W70" s="364"/>
      <c r="X70" s="364"/>
      <c r="Y70" s="364"/>
      <c r="Z70" s="364"/>
      <c r="AA70" s="364"/>
      <c r="AB70" s="364"/>
      <c r="AC70" s="364"/>
    </row>
    <row r="78" spans="29:34" ht="11.25">
      <c r="AC78" s="165" t="s">
        <v>68</v>
      </c>
      <c r="AE78" s="165">
        <v>2010</v>
      </c>
      <c r="AF78" s="165">
        <v>2011</v>
      </c>
      <c r="AG78" s="165">
        <v>2013</v>
      </c>
      <c r="AH78" s="165">
        <v>2014</v>
      </c>
    </row>
    <row r="79" spans="29:34" ht="11.25">
      <c r="AC79" s="363" t="s">
        <v>106</v>
      </c>
      <c r="AD79" s="364"/>
      <c r="AE79" s="364">
        <v>4653</v>
      </c>
      <c r="AF79" s="364">
        <v>4652</v>
      </c>
      <c r="AG79" s="364">
        <v>4612</v>
      </c>
      <c r="AH79" s="364">
        <v>4223</v>
      </c>
    </row>
    <row r="80" spans="29:34" ht="11.25">
      <c r="AC80" s="165" t="s">
        <v>124</v>
      </c>
      <c r="AE80" s="165">
        <v>5176</v>
      </c>
      <c r="AF80" s="165">
        <v>5331</v>
      </c>
      <c r="AG80" s="165">
        <v>5071</v>
      </c>
      <c r="AH80" s="165">
        <v>5135</v>
      </c>
    </row>
    <row r="82" spans="29:34" ht="11.25">
      <c r="AC82" s="165" t="s">
        <v>125</v>
      </c>
      <c r="AE82" s="165">
        <v>367038</v>
      </c>
      <c r="AF82" s="165">
        <v>377609</v>
      </c>
      <c r="AG82" s="165">
        <v>355640</v>
      </c>
      <c r="AH82" s="165">
        <v>366618</v>
      </c>
    </row>
    <row r="83" spans="29:34" ht="11.25">
      <c r="AC83" s="165" t="s">
        <v>126</v>
      </c>
      <c r="AE83" s="364">
        <v>16050</v>
      </c>
      <c r="AF83" s="364">
        <v>14887</v>
      </c>
      <c r="AG83" s="364">
        <v>14887</v>
      </c>
      <c r="AH83" s="364">
        <v>14244</v>
      </c>
    </row>
    <row r="84" spans="29:34" ht="11.25">
      <c r="AC84" s="165" t="s">
        <v>127</v>
      </c>
      <c r="AE84" s="165">
        <v>34726</v>
      </c>
      <c r="AF84" s="165">
        <v>34907</v>
      </c>
      <c r="AG84" s="165">
        <v>37303</v>
      </c>
      <c r="AH84" s="165">
        <v>37915</v>
      </c>
    </row>
    <row r="86" spans="29:34" ht="11.25">
      <c r="AC86" s="165" t="s">
        <v>128</v>
      </c>
      <c r="AE86" s="165">
        <f>SUM(AE82:AE83)/SUM(AE82:AE84)</f>
        <v>0.9168864614397795</v>
      </c>
      <c r="AF86" s="165">
        <f>SUM(AF82:AF83)/SUM(AF82:AF84)</f>
        <v>0.918327667330365</v>
      </c>
      <c r="AG86" s="165">
        <f>SUM(AG82:AG83)/SUM(AG82:AG84)</f>
        <v>0.9085329671676924</v>
      </c>
      <c r="AH86" s="165">
        <f>SUM(AH82:AH83)/SUM(AH82:AH84)</f>
        <v>0.9094625540562161</v>
      </c>
    </row>
    <row r="88" spans="29:34" ht="11.25">
      <c r="AC88" s="165" t="s">
        <v>129</v>
      </c>
      <c r="AE88" s="165">
        <f>AE86*AE80</f>
        <v>4745.804324412298</v>
      </c>
      <c r="AF88" s="165">
        <f>AF86*AF80</f>
        <v>4895.604794538176</v>
      </c>
      <c r="AG88" s="165">
        <f>AG86*AG80</f>
        <v>4607.170676507368</v>
      </c>
      <c r="AH88" s="165">
        <f>AH86*AH80</f>
        <v>4670.09021507867</v>
      </c>
    </row>
    <row r="89" spans="29:34" ht="11.25">
      <c r="AC89" s="165" t="s">
        <v>130</v>
      </c>
      <c r="AE89" s="364">
        <f>AE88+AE79</f>
        <v>9398.804324412298</v>
      </c>
      <c r="AF89" s="364">
        <f>AF88+AF79</f>
        <v>9547.604794538176</v>
      </c>
      <c r="AG89" s="364">
        <f>AG88+AG79</f>
        <v>9219.170676507369</v>
      </c>
      <c r="AH89" s="364">
        <f>AH88+AH79</f>
        <v>8893.09021507867</v>
      </c>
    </row>
    <row r="90" spans="29:34" ht="11.25">
      <c r="AC90" s="165" t="s">
        <v>131</v>
      </c>
      <c r="AE90" s="364">
        <f>AE80*(1-AE86)</f>
        <v>430.19567558770143</v>
      </c>
      <c r="AF90" s="364">
        <f>AF80*(1-AF86)</f>
        <v>435.39520546182433</v>
      </c>
      <c r="AG90" s="364">
        <f>AG80*(1-AG86)</f>
        <v>463.82932349263194</v>
      </c>
      <c r="AH90" s="364">
        <f>AH80*(1-AH86)</f>
        <v>464.90978492133024</v>
      </c>
    </row>
  </sheetData>
  <sheetProtection/>
  <mergeCells count="2">
    <mergeCell ref="B2:AH2"/>
    <mergeCell ref="B46:AF46"/>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sheetPr>
  <dimension ref="A1:AO52"/>
  <sheetViews>
    <sheetView zoomScalePageLayoutView="0" workbookViewId="0" topLeftCell="A22">
      <selection activeCell="AK9" sqref="AK9"/>
    </sheetView>
  </sheetViews>
  <sheetFormatPr defaultColWidth="9.140625" defaultRowHeight="12.75"/>
  <cols>
    <col min="1" max="1" width="2.7109375" style="180" customWidth="1"/>
    <col min="2" max="2" width="4.00390625" style="165" customWidth="1"/>
    <col min="3" max="20" width="6.7109375" style="165" customWidth="1"/>
    <col min="21" max="32" width="7.28125" style="165" customWidth="1"/>
    <col min="33" max="33" width="8.00390625" style="180" customWidth="1"/>
    <col min="34" max="34" width="10.57421875" style="257" customWidth="1"/>
    <col min="35" max="16384" width="9.140625" style="165" customWidth="1"/>
  </cols>
  <sheetData>
    <row r="1" spans="2:34" ht="14.25" customHeight="1">
      <c r="B1" s="262"/>
      <c r="C1" s="261"/>
      <c r="D1" s="261"/>
      <c r="E1" s="261"/>
      <c r="F1" s="261"/>
      <c r="G1" s="261"/>
      <c r="H1" s="261"/>
      <c r="I1" s="261"/>
      <c r="J1" s="261"/>
      <c r="K1" s="261"/>
      <c r="L1" s="261"/>
      <c r="M1" s="261"/>
      <c r="N1" s="261"/>
      <c r="O1" s="261"/>
      <c r="P1" s="261"/>
      <c r="Q1" s="260"/>
      <c r="T1" s="259"/>
      <c r="U1" s="259"/>
      <c r="V1" s="259"/>
      <c r="W1" s="259"/>
      <c r="X1" s="259"/>
      <c r="Y1" s="259"/>
      <c r="Z1" s="259"/>
      <c r="AA1" s="259"/>
      <c r="AB1" s="259"/>
      <c r="AC1" s="259"/>
      <c r="AD1" s="259"/>
      <c r="AE1" s="259"/>
      <c r="AF1" s="259"/>
      <c r="AH1" s="259" t="s">
        <v>89</v>
      </c>
    </row>
    <row r="2" spans="1:34" s="169" customFormat="1" ht="30" customHeight="1">
      <c r="A2" s="322"/>
      <c r="B2" s="595" t="s">
        <v>1</v>
      </c>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257"/>
    </row>
    <row r="3" spans="3:33" ht="15" customHeight="1">
      <c r="C3" s="257"/>
      <c r="D3" s="257"/>
      <c r="E3" s="257"/>
      <c r="F3" s="257"/>
      <c r="G3" s="257"/>
      <c r="H3" s="257"/>
      <c r="I3" s="257"/>
      <c r="J3" s="257"/>
      <c r="K3" s="257"/>
      <c r="L3" s="257"/>
      <c r="M3" s="257"/>
      <c r="N3" s="257"/>
      <c r="O3" s="257"/>
      <c r="P3" s="257"/>
      <c r="Q3" s="257"/>
      <c r="Y3" s="257"/>
      <c r="Z3" s="257"/>
      <c r="AA3" s="257"/>
      <c r="AB3" s="257"/>
      <c r="AC3" s="257"/>
      <c r="AD3" s="257"/>
      <c r="AE3" s="257"/>
      <c r="AF3" s="257" t="s">
        <v>105</v>
      </c>
      <c r="AG3" s="559"/>
    </row>
    <row r="4" spans="2:33" ht="19.5" customHeight="1">
      <c r="B4" s="255"/>
      <c r="C4" s="254">
        <v>1970</v>
      </c>
      <c r="D4" s="254">
        <v>1980</v>
      </c>
      <c r="E4" s="253">
        <v>1990</v>
      </c>
      <c r="F4" s="253">
        <v>1991</v>
      </c>
      <c r="G4" s="253">
        <v>1992</v>
      </c>
      <c r="H4" s="253">
        <v>1993</v>
      </c>
      <c r="I4" s="253">
        <v>1994</v>
      </c>
      <c r="J4" s="253">
        <v>1995</v>
      </c>
      <c r="K4" s="253">
        <v>1996</v>
      </c>
      <c r="L4" s="253">
        <v>1997</v>
      </c>
      <c r="M4" s="253">
        <v>1998</v>
      </c>
      <c r="N4" s="253">
        <v>1999</v>
      </c>
      <c r="O4" s="253">
        <v>2000</v>
      </c>
      <c r="P4" s="253">
        <v>2001</v>
      </c>
      <c r="Q4" s="253">
        <v>2002</v>
      </c>
      <c r="R4" s="253">
        <v>2003</v>
      </c>
      <c r="S4" s="253">
        <v>2004</v>
      </c>
      <c r="T4" s="253">
        <v>2005</v>
      </c>
      <c r="U4" s="253">
        <v>2006</v>
      </c>
      <c r="V4" s="253">
        <v>2007</v>
      </c>
      <c r="W4" s="253">
        <v>2008</v>
      </c>
      <c r="X4" s="253">
        <v>2009</v>
      </c>
      <c r="Y4" s="253">
        <v>2010</v>
      </c>
      <c r="Z4" s="253">
        <v>2011</v>
      </c>
      <c r="AA4" s="253">
        <v>2012</v>
      </c>
      <c r="AB4" s="253">
        <v>2013</v>
      </c>
      <c r="AC4" s="355">
        <v>2014</v>
      </c>
      <c r="AD4" s="355">
        <v>2015</v>
      </c>
      <c r="AE4" s="355">
        <v>2016</v>
      </c>
      <c r="AF4" s="355">
        <v>2017</v>
      </c>
      <c r="AG4" s="252" t="s">
        <v>141</v>
      </c>
    </row>
    <row r="5" spans="2:33" ht="9.75" customHeight="1">
      <c r="B5" s="255"/>
      <c r="C5" s="291"/>
      <c r="D5" s="291"/>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90" t="s">
        <v>42</v>
      </c>
    </row>
    <row r="6" spans="2:35" ht="12.75" customHeight="1">
      <c r="B6" s="415" t="s">
        <v>113</v>
      </c>
      <c r="C6" s="444" t="s">
        <v>41</v>
      </c>
      <c r="D6" s="444" t="s">
        <v>41</v>
      </c>
      <c r="E6" s="442" t="s">
        <v>41</v>
      </c>
      <c r="F6" s="442" t="s">
        <v>41</v>
      </c>
      <c r="G6" s="442" t="s">
        <v>41</v>
      </c>
      <c r="H6" s="442" t="s">
        <v>41</v>
      </c>
      <c r="I6" s="442" t="s">
        <v>41</v>
      </c>
      <c r="J6" s="443">
        <f aca="true" t="shared" si="0" ref="J6:AA6">SUM(J7:J34)</f>
        <v>73.71903011209119</v>
      </c>
      <c r="K6" s="443">
        <f t="shared" si="0"/>
        <v>74.88954108527673</v>
      </c>
      <c r="L6" s="443">
        <f t="shared" si="0"/>
        <v>75.67054402780744</v>
      </c>
      <c r="M6" s="443">
        <f t="shared" si="0"/>
        <v>76.85262198072537</v>
      </c>
      <c r="N6" s="443">
        <f t="shared" si="0"/>
        <v>78.51509682077854</v>
      </c>
      <c r="O6" s="443">
        <f t="shared" si="0"/>
        <v>80.0924826697441</v>
      </c>
      <c r="P6" s="443">
        <f t="shared" si="0"/>
        <v>80.89515498490023</v>
      </c>
      <c r="Q6" s="443">
        <f t="shared" si="0"/>
        <v>81.67139268915017</v>
      </c>
      <c r="R6" s="443">
        <f t="shared" si="0"/>
        <v>82.09006979555612</v>
      </c>
      <c r="S6" s="443">
        <f t="shared" si="0"/>
        <v>85.34013743624409</v>
      </c>
      <c r="T6" s="443">
        <f t="shared" si="0"/>
        <v>86.08519745887872</v>
      </c>
      <c r="U6" s="443">
        <f t="shared" si="0"/>
        <v>87.85912816090782</v>
      </c>
      <c r="V6" s="443">
        <f t="shared" si="0"/>
        <v>89.97241998789852</v>
      </c>
      <c r="W6" s="443">
        <f t="shared" si="0"/>
        <v>93.54354812448204</v>
      </c>
      <c r="X6" s="443">
        <f t="shared" si="0"/>
        <v>93.45798241195453</v>
      </c>
      <c r="Y6" s="443">
        <f t="shared" si="0"/>
        <v>96.12143266802344</v>
      </c>
      <c r="Z6" s="443">
        <f t="shared" si="0"/>
        <v>97.3460186098992</v>
      </c>
      <c r="AA6" s="443">
        <f t="shared" si="0"/>
        <v>98.92246983318948</v>
      </c>
      <c r="AB6" s="443">
        <f>SUM(AB7:AB34)</f>
        <v>99.36466294826151</v>
      </c>
      <c r="AC6" s="443">
        <f>SUM(AC7:AC34)</f>
        <v>100.67064467596639</v>
      </c>
      <c r="AD6" s="443">
        <f>SUM(AD7:AD34)</f>
        <v>102.14946262726792</v>
      </c>
      <c r="AE6" s="443">
        <f>SUM(AE7:AE34)</f>
        <v>105.4138695717889</v>
      </c>
      <c r="AF6" s="443">
        <f>SUM(AF7:AF34)</f>
        <v>107.17376713665031</v>
      </c>
      <c r="AG6" s="569">
        <f aca="true" t="shared" si="1" ref="AG6:AG18">AF6/AE6*100-100</f>
        <v>1.6695123440686217</v>
      </c>
      <c r="AH6" s="469"/>
      <c r="AI6" s="181"/>
    </row>
    <row r="7" spans="2:34" ht="12.75" customHeight="1">
      <c r="B7" s="187" t="s">
        <v>29</v>
      </c>
      <c r="C7" s="235">
        <v>0.86</v>
      </c>
      <c r="D7" s="235">
        <v>0.77</v>
      </c>
      <c r="E7" s="232">
        <v>0.74</v>
      </c>
      <c r="F7" s="232">
        <v>0.75</v>
      </c>
      <c r="G7" s="232">
        <v>0.76</v>
      </c>
      <c r="H7" s="232">
        <v>0.77</v>
      </c>
      <c r="I7" s="232">
        <v>0.79</v>
      </c>
      <c r="J7" s="232">
        <v>0.8</v>
      </c>
      <c r="K7" s="232">
        <v>0.81</v>
      </c>
      <c r="L7" s="232">
        <v>0.82</v>
      </c>
      <c r="M7" s="232">
        <v>0.82</v>
      </c>
      <c r="N7" s="232">
        <v>0.82</v>
      </c>
      <c r="O7" s="232">
        <v>0.87</v>
      </c>
      <c r="P7" s="232">
        <v>0.876</v>
      </c>
      <c r="Q7" s="233">
        <v>0.89</v>
      </c>
      <c r="R7" s="233">
        <v>0.9</v>
      </c>
      <c r="S7" s="233">
        <v>0.91</v>
      </c>
      <c r="T7" s="233">
        <v>0.93</v>
      </c>
      <c r="U7" s="233">
        <v>0.95</v>
      </c>
      <c r="V7" s="233">
        <v>0.97</v>
      </c>
      <c r="W7" s="233">
        <v>1</v>
      </c>
      <c r="X7" s="233">
        <v>1</v>
      </c>
      <c r="Y7" s="233">
        <v>1.07</v>
      </c>
      <c r="Z7" s="233">
        <f>Y7*329.9/311.6</f>
        <v>1.1328401797175867</v>
      </c>
      <c r="AA7" s="233">
        <f>Z7*(132.4+123.5)/(125.8+112.1)</f>
        <v>1.2185531819660802</v>
      </c>
      <c r="AB7" s="233">
        <f>AA7*354.8/348.8</f>
        <v>1.2395145325732948</v>
      </c>
      <c r="AC7" s="233">
        <f>AB7*(133.4+131.3)/(138.3+128.9)</f>
        <v>1.227917278338889</v>
      </c>
      <c r="AD7" s="233">
        <f>AC7*((134.9+132.7)/(133.4+131.1))</f>
        <v>1.242308747385583</v>
      </c>
      <c r="AE7" s="233">
        <f>AD7*((136.8+136.2)/(134.9+132.7))</f>
        <v>1.2673777579830499</v>
      </c>
      <c r="AF7" s="233">
        <f>AE7*(151.7+149.1)/(136.8+136.2)</f>
        <v>1.3964367384663054</v>
      </c>
      <c r="AG7" s="570">
        <f t="shared" si="1"/>
        <v>10.18315018315019</v>
      </c>
      <c r="AH7" s="187" t="s">
        <v>29</v>
      </c>
    </row>
    <row r="8" spans="2:34" ht="12.75" customHeight="1">
      <c r="B8" s="227" t="s">
        <v>12</v>
      </c>
      <c r="C8" s="230"/>
      <c r="D8" s="230"/>
      <c r="E8" s="229">
        <v>0.586</v>
      </c>
      <c r="F8" s="229">
        <v>0.454</v>
      </c>
      <c r="G8" s="229">
        <v>0.524</v>
      </c>
      <c r="H8" s="229">
        <v>0.283</v>
      </c>
      <c r="I8" s="229">
        <v>0.25</v>
      </c>
      <c r="J8" s="229">
        <v>0.283</v>
      </c>
      <c r="K8" s="229">
        <v>0.296</v>
      </c>
      <c r="L8" s="321">
        <v>0.308</v>
      </c>
      <c r="M8" s="229">
        <v>0.444</v>
      </c>
      <c r="N8" s="229">
        <v>0.46</v>
      </c>
      <c r="O8" s="229">
        <v>0.419</v>
      </c>
      <c r="P8" s="229">
        <v>0.469</v>
      </c>
      <c r="Q8" s="229">
        <v>0.436</v>
      </c>
      <c r="R8" s="229">
        <v>0.486</v>
      </c>
      <c r="S8" s="229">
        <v>0.44</v>
      </c>
      <c r="T8" s="229">
        <v>0.434</v>
      </c>
      <c r="U8" s="229">
        <v>0.446</v>
      </c>
      <c r="V8" s="229">
        <v>0.443</v>
      </c>
      <c r="W8" s="229">
        <v>0.486</v>
      </c>
      <c r="X8" s="229">
        <v>0.688</v>
      </c>
      <c r="Y8" s="229">
        <f>0.909</f>
        <v>0.909</v>
      </c>
      <c r="Z8" s="229">
        <v>0.872</v>
      </c>
      <c r="AA8" s="229">
        <v>1.02</v>
      </c>
      <c r="AB8" s="229">
        <v>1.01</v>
      </c>
      <c r="AC8" s="229">
        <v>0.729</v>
      </c>
      <c r="AD8" s="229">
        <v>0.740478</v>
      </c>
      <c r="AE8" s="229">
        <v>0.815</v>
      </c>
      <c r="AF8" s="229">
        <v>1.07</v>
      </c>
      <c r="AG8" s="566">
        <f t="shared" si="1"/>
        <v>31.288343558282236</v>
      </c>
      <c r="AH8" s="227" t="s">
        <v>12</v>
      </c>
    </row>
    <row r="9" spans="2:34" ht="12.75" customHeight="1">
      <c r="B9" s="187" t="s">
        <v>14</v>
      </c>
      <c r="C9" s="285"/>
      <c r="D9" s="285"/>
      <c r="E9" s="244"/>
      <c r="F9" s="244"/>
      <c r="G9" s="244"/>
      <c r="H9" s="244" t="s">
        <v>41</v>
      </c>
      <c r="I9" s="244" t="s">
        <v>41</v>
      </c>
      <c r="J9" s="244">
        <v>7.688</v>
      </c>
      <c r="K9" s="244">
        <v>7.791</v>
      </c>
      <c r="L9" s="244">
        <v>7.863</v>
      </c>
      <c r="M9" s="244">
        <v>7.855</v>
      </c>
      <c r="N9" s="244">
        <v>8.154</v>
      </c>
      <c r="O9" s="244">
        <v>8.068</v>
      </c>
      <c r="P9" s="244">
        <v>8.227</v>
      </c>
      <c r="Q9" s="244">
        <v>8.307</v>
      </c>
      <c r="R9" s="244">
        <v>8.5634</v>
      </c>
      <c r="S9" s="244">
        <f>4.8847+3.8408</f>
        <v>8.7255</v>
      </c>
      <c r="T9" s="244">
        <f>4.769+3.1652</f>
        <v>7.934200000000001</v>
      </c>
      <c r="U9" s="244">
        <f>4.5344+3.2644</f>
        <v>7.7988</v>
      </c>
      <c r="V9" s="244">
        <f>4.4489+3.3015</f>
        <v>7.7504</v>
      </c>
      <c r="W9" s="244">
        <f>4.678+4.4648</f>
        <v>9.142800000000001</v>
      </c>
      <c r="X9" s="244">
        <v>8.9867</v>
      </c>
      <c r="Y9" s="244">
        <f>4.624+4.373</f>
        <v>8.997</v>
      </c>
      <c r="Z9" s="244">
        <f>4.461+4.255</f>
        <v>8.716000000000001</v>
      </c>
      <c r="AA9" s="244">
        <f>4.465+5.037</f>
        <v>9.501999999999999</v>
      </c>
      <c r="AB9" s="244">
        <v>9.580900000000002</v>
      </c>
      <c r="AC9" s="244">
        <f>4.721+4.8364</f>
        <v>9.557400000000001</v>
      </c>
      <c r="AD9" s="244">
        <f>4.619+5.214</f>
        <v>9.833</v>
      </c>
      <c r="AE9" s="244">
        <f>5.0653+5.8687</f>
        <v>10.934</v>
      </c>
      <c r="AF9" s="244">
        <f>5.3422+5.59758</f>
        <v>10.939779999999999</v>
      </c>
      <c r="AG9" s="305">
        <f t="shared" si="1"/>
        <v>0.05286263032742511</v>
      </c>
      <c r="AH9" s="187" t="s">
        <v>14</v>
      </c>
    </row>
    <row r="10" spans="2:34" ht="12.75" customHeight="1">
      <c r="B10" s="227" t="s">
        <v>25</v>
      </c>
      <c r="C10" s="320" t="s">
        <v>43</v>
      </c>
      <c r="D10" s="320" t="s">
        <v>43</v>
      </c>
      <c r="E10" s="319" t="s">
        <v>43</v>
      </c>
      <c r="F10" s="319" t="s">
        <v>43</v>
      </c>
      <c r="G10" s="319" t="s">
        <v>43</v>
      </c>
      <c r="H10" s="319" t="s">
        <v>43</v>
      </c>
      <c r="I10" s="319" t="s">
        <v>43</v>
      </c>
      <c r="J10" s="319" t="s">
        <v>43</v>
      </c>
      <c r="K10" s="319" t="s">
        <v>43</v>
      </c>
      <c r="L10" s="319" t="s">
        <v>43</v>
      </c>
      <c r="M10" s="319" t="s">
        <v>43</v>
      </c>
      <c r="N10" s="319" t="s">
        <v>43</v>
      </c>
      <c r="O10" s="319" t="s">
        <v>43</v>
      </c>
      <c r="P10" s="319" t="s">
        <v>43</v>
      </c>
      <c r="Q10" s="229">
        <v>0.009</v>
      </c>
      <c r="R10" s="229">
        <v>0.067</v>
      </c>
      <c r="S10" s="229">
        <v>0.128</v>
      </c>
      <c r="T10" s="229">
        <v>0.162</v>
      </c>
      <c r="U10" s="229">
        <v>0.164</v>
      </c>
      <c r="V10" s="229">
        <v>0.177</v>
      </c>
      <c r="W10" s="229">
        <v>0.195</v>
      </c>
      <c r="X10" s="229">
        <v>0.215</v>
      </c>
      <c r="Y10" s="229">
        <v>0.239</v>
      </c>
      <c r="Z10" s="229">
        <v>0.278</v>
      </c>
      <c r="AA10" s="229">
        <v>0.274</v>
      </c>
      <c r="AB10" s="229">
        <v>0.284</v>
      </c>
      <c r="AC10" s="229">
        <v>0.295</v>
      </c>
      <c r="AD10" s="229">
        <v>0.302</v>
      </c>
      <c r="AE10" s="229">
        <v>0.321</v>
      </c>
      <c r="AF10" s="229">
        <v>0.341</v>
      </c>
      <c r="AG10" s="566">
        <f t="shared" si="1"/>
        <v>6.230529595015582</v>
      </c>
      <c r="AH10" s="227" t="s">
        <v>25</v>
      </c>
    </row>
    <row r="11" spans="1:34" s="201" customFormat="1" ht="12.75" customHeight="1">
      <c r="A11" s="206"/>
      <c r="B11" s="187" t="s">
        <v>30</v>
      </c>
      <c r="C11" s="318">
        <v>14.63</v>
      </c>
      <c r="D11" s="318">
        <v>13.84</v>
      </c>
      <c r="E11" s="317">
        <v>15.1</v>
      </c>
      <c r="F11" s="317">
        <v>15.14</v>
      </c>
      <c r="G11" s="317">
        <v>14.43</v>
      </c>
      <c r="H11" s="317">
        <v>14.62</v>
      </c>
      <c r="I11" s="317">
        <v>14.47</v>
      </c>
      <c r="J11" s="317">
        <v>14.43</v>
      </c>
      <c r="K11" s="317">
        <v>14.47</v>
      </c>
      <c r="L11" s="317">
        <v>14.5</v>
      </c>
      <c r="M11" s="317">
        <v>14.4</v>
      </c>
      <c r="N11" s="317">
        <v>14.5</v>
      </c>
      <c r="O11" s="317">
        <v>14.6</v>
      </c>
      <c r="P11" s="317">
        <v>14.7</v>
      </c>
      <c r="Q11" s="244">
        <v>14.74</v>
      </c>
      <c r="R11" s="244">
        <v>14.75</v>
      </c>
      <c r="S11" s="244">
        <v>14.986</v>
      </c>
      <c r="T11" s="244">
        <v>15.485</v>
      </c>
      <c r="U11" s="244">
        <v>15.568</v>
      </c>
      <c r="V11" s="244">
        <v>15.92</v>
      </c>
      <c r="W11" s="244">
        <v>15.991</v>
      </c>
      <c r="X11" s="244">
        <v>16.496</v>
      </c>
      <c r="Y11" s="244">
        <f>16.349</f>
        <v>16.349</v>
      </c>
      <c r="Z11" s="244">
        <v>16.6</v>
      </c>
      <c r="AA11" s="244">
        <v>16.6</v>
      </c>
      <c r="AB11" s="244">
        <v>16.7</v>
      </c>
      <c r="AC11" s="244">
        <v>16.6</v>
      </c>
      <c r="AD11" s="244">
        <v>16.7</v>
      </c>
      <c r="AE11" s="244">
        <v>17</v>
      </c>
      <c r="AF11" s="244">
        <v>17.2</v>
      </c>
      <c r="AG11" s="305">
        <f t="shared" si="1"/>
        <v>1.17647058823529</v>
      </c>
      <c r="AH11" s="187" t="s">
        <v>30</v>
      </c>
    </row>
    <row r="12" spans="2:34" ht="12.75" customHeight="1">
      <c r="B12" s="227" t="s">
        <v>15</v>
      </c>
      <c r="C12" s="230" t="s">
        <v>41</v>
      </c>
      <c r="D12" s="230" t="s">
        <v>41</v>
      </c>
      <c r="E12" s="229" t="s">
        <v>41</v>
      </c>
      <c r="F12" s="229" t="s">
        <v>41</v>
      </c>
      <c r="G12" s="229" t="s">
        <v>41</v>
      </c>
      <c r="H12" s="229" t="s">
        <v>41</v>
      </c>
      <c r="I12" s="229" t="s">
        <v>41</v>
      </c>
      <c r="J12" s="237">
        <f>0.0352*3</f>
        <v>0.1056</v>
      </c>
      <c r="K12" s="237">
        <f>0.0356*3</f>
        <v>0.1068</v>
      </c>
      <c r="L12" s="237">
        <f>0.0369*3</f>
        <v>0.1107</v>
      </c>
      <c r="M12" s="237">
        <f>0.0306*3</f>
        <v>0.09179999999999999</v>
      </c>
      <c r="N12" s="237">
        <f>0.0293*3</f>
        <v>0.0879</v>
      </c>
      <c r="O12" s="237">
        <f>0.0349*3</f>
        <v>0.1047</v>
      </c>
      <c r="P12" s="237">
        <f>0.0292*3</f>
        <v>0.0876</v>
      </c>
      <c r="Q12" s="237">
        <f>0.0308*3</f>
        <v>0.09240000000000001</v>
      </c>
      <c r="R12" s="237">
        <f>0.0311*3</f>
        <v>0.0933</v>
      </c>
      <c r="S12" s="237">
        <f>0.0278*3</f>
        <v>0.0834</v>
      </c>
      <c r="T12" s="237">
        <f>0.0251*3</f>
        <v>0.0753</v>
      </c>
      <c r="U12" s="237">
        <f>0.0262*3</f>
        <v>0.0786</v>
      </c>
      <c r="V12" s="237">
        <f>0.0264*3</f>
        <v>0.07919999999999999</v>
      </c>
      <c r="W12" s="367">
        <v>0.22281640000000003</v>
      </c>
      <c r="X12" s="237">
        <v>0.2223115</v>
      </c>
      <c r="Y12" s="237">
        <v>0.2050992</v>
      </c>
      <c r="Z12" s="237">
        <v>0.1896993</v>
      </c>
      <c r="AA12" s="237">
        <v>0.2561285</v>
      </c>
      <c r="AB12" s="237">
        <v>0.20434</v>
      </c>
      <c r="AC12" s="237">
        <v>0.1765499</v>
      </c>
      <c r="AD12" s="237">
        <v>0.168931</v>
      </c>
      <c r="AE12" s="237">
        <v>0.1304275</v>
      </c>
      <c r="AF12" s="237">
        <v>0.1203009</v>
      </c>
      <c r="AG12" s="562">
        <f t="shared" si="1"/>
        <v>-7.7641601656092405</v>
      </c>
      <c r="AH12" s="227" t="s">
        <v>15</v>
      </c>
    </row>
    <row r="13" spans="1:34" s="201" customFormat="1" ht="12.75" customHeight="1">
      <c r="A13" s="206"/>
      <c r="B13" s="187" t="s">
        <v>33</v>
      </c>
      <c r="C13" s="316" t="s">
        <v>43</v>
      </c>
      <c r="D13" s="316" t="s">
        <v>43</v>
      </c>
      <c r="E13" s="315" t="s">
        <v>43</v>
      </c>
      <c r="F13" s="315" t="s">
        <v>43</v>
      </c>
      <c r="G13" s="315" t="s">
        <v>43</v>
      </c>
      <c r="H13" s="315" t="s">
        <v>43</v>
      </c>
      <c r="I13" s="315" t="s">
        <v>43</v>
      </c>
      <c r="J13" s="315" t="s">
        <v>43</v>
      </c>
      <c r="K13" s="315" t="s">
        <v>43</v>
      </c>
      <c r="L13" s="315" t="s">
        <v>43</v>
      </c>
      <c r="M13" s="315" t="s">
        <v>43</v>
      </c>
      <c r="N13" s="315" t="s">
        <v>43</v>
      </c>
      <c r="O13" s="315" t="s">
        <v>43</v>
      </c>
      <c r="P13" s="315" t="s">
        <v>43</v>
      </c>
      <c r="Q13" s="315" t="s">
        <v>43</v>
      </c>
      <c r="R13" s="315" t="s">
        <v>43</v>
      </c>
      <c r="S13" s="233">
        <v>0.05</v>
      </c>
      <c r="T13" s="233">
        <v>0.11</v>
      </c>
      <c r="U13" s="232">
        <f>0.06713+0.04598</f>
        <v>0.11310999999999999</v>
      </c>
      <c r="V13" s="232">
        <f>0.107+0.068</f>
        <v>0.175</v>
      </c>
      <c r="W13" s="232">
        <f>0.083+0.058</f>
        <v>0.14100000000000001</v>
      </c>
      <c r="X13" s="232">
        <f>0.079+0.053</f>
        <v>0.132</v>
      </c>
      <c r="Y13" s="232">
        <f>0.069+0.062</f>
        <v>0.131</v>
      </c>
      <c r="Z13" s="232">
        <f>0.073+0.065</f>
        <v>0.138</v>
      </c>
      <c r="AA13" s="232">
        <f>0.0711+0.0729</f>
        <v>0.14400000000000002</v>
      </c>
      <c r="AB13" s="232">
        <v>0.14982473</v>
      </c>
      <c r="AC13" s="232">
        <f>0.07929535+0.080777584</f>
        <v>0.160072934</v>
      </c>
      <c r="AD13" s="232">
        <f>0.085496552+0.09417113</f>
        <v>0.179667682</v>
      </c>
      <c r="AE13" s="232">
        <f>0.074323625+0.10922473</f>
        <v>0.183548355</v>
      </c>
      <c r="AF13" s="232">
        <f>0.102034048+0.082865219</f>
        <v>0.184899267</v>
      </c>
      <c r="AG13" s="561">
        <f t="shared" si="1"/>
        <v>0.7359978791419763</v>
      </c>
      <c r="AH13" s="187" t="s">
        <v>33</v>
      </c>
    </row>
    <row r="14" spans="2:34" ht="12.75" customHeight="1">
      <c r="B14" s="227" t="s">
        <v>26</v>
      </c>
      <c r="C14" s="238">
        <v>0.63</v>
      </c>
      <c r="D14" s="238">
        <v>0.68</v>
      </c>
      <c r="E14" s="237">
        <v>0.83</v>
      </c>
      <c r="F14" s="237">
        <v>0.81</v>
      </c>
      <c r="G14" s="237">
        <v>0.79</v>
      </c>
      <c r="H14" s="237">
        <v>0.77</v>
      </c>
      <c r="I14" s="237">
        <v>0.72</v>
      </c>
      <c r="J14" s="237">
        <v>0.74</v>
      </c>
      <c r="K14" s="237">
        <v>0.74</v>
      </c>
      <c r="L14" s="237">
        <v>0.75</v>
      </c>
      <c r="M14" s="237">
        <v>0.8</v>
      </c>
      <c r="N14" s="237">
        <v>0.81</v>
      </c>
      <c r="O14" s="237">
        <v>1.19</v>
      </c>
      <c r="P14" s="237">
        <v>1.33</v>
      </c>
      <c r="Q14" s="237">
        <v>1.35</v>
      </c>
      <c r="R14" s="237">
        <v>1.4</v>
      </c>
      <c r="S14" s="237">
        <v>1.5</v>
      </c>
      <c r="T14" s="237">
        <v>1.5</v>
      </c>
      <c r="U14" s="237">
        <v>1.55</v>
      </c>
      <c r="V14" s="237">
        <v>1.6</v>
      </c>
      <c r="W14" s="237">
        <v>1.66</v>
      </c>
      <c r="X14" s="237">
        <v>1.671</v>
      </c>
      <c r="Y14" s="237">
        <v>1.692746498280652</v>
      </c>
      <c r="Z14" s="237">
        <f>AVERAGE(W14:Y14)</f>
        <v>1.6745821660935505</v>
      </c>
      <c r="AA14" s="237">
        <v>1.6693892905336882</v>
      </c>
      <c r="AB14" s="237">
        <v>1.6640104964628029</v>
      </c>
      <c r="AC14" s="237">
        <v>1.662268977961797</v>
      </c>
      <c r="AD14" s="237">
        <f>AC14*(1.007)</f>
        <v>1.6739048608075293</v>
      </c>
      <c r="AE14" s="237">
        <f>AD14*0.988</f>
        <v>1.653818002477839</v>
      </c>
      <c r="AF14" s="237">
        <v>1.6885481805298734</v>
      </c>
      <c r="AG14" s="562">
        <f t="shared" si="1"/>
        <v>2.0999999999999943</v>
      </c>
      <c r="AH14" s="227" t="s">
        <v>26</v>
      </c>
    </row>
    <row r="15" spans="2:34" ht="12.75" customHeight="1">
      <c r="B15" s="187" t="s">
        <v>31</v>
      </c>
      <c r="C15" s="235">
        <v>3.67</v>
      </c>
      <c r="D15" s="235">
        <v>3.88</v>
      </c>
      <c r="E15" s="232">
        <v>4.38</v>
      </c>
      <c r="F15" s="232">
        <v>4.3</v>
      </c>
      <c r="G15" s="232">
        <v>4.25</v>
      </c>
      <c r="H15" s="232">
        <v>4.2</v>
      </c>
      <c r="I15" s="232">
        <v>4.15</v>
      </c>
      <c r="J15" s="232">
        <v>4.25</v>
      </c>
      <c r="K15" s="232">
        <v>4.49</v>
      </c>
      <c r="L15" s="232">
        <v>4.57</v>
      </c>
      <c r="M15" s="232">
        <v>4.84</v>
      </c>
      <c r="N15" s="233">
        <v>5.06</v>
      </c>
      <c r="O15" s="233">
        <v>5.23</v>
      </c>
      <c r="P15" s="233">
        <v>5.34</v>
      </c>
      <c r="Q15" s="233">
        <v>5.5</v>
      </c>
      <c r="R15" s="233">
        <v>5.6</v>
      </c>
      <c r="S15" s="233">
        <v>5.8</v>
      </c>
      <c r="T15" s="233">
        <v>6</v>
      </c>
      <c r="U15" s="233">
        <v>6.2</v>
      </c>
      <c r="V15" s="233">
        <v>6.4</v>
      </c>
      <c r="W15" s="233">
        <v>6.5</v>
      </c>
      <c r="X15" s="233">
        <v>6.2725</v>
      </c>
      <c r="Y15" s="368">
        <v>7.588900000000001</v>
      </c>
      <c r="Z15" s="232">
        <v>7.6311</v>
      </c>
      <c r="AA15" s="232">
        <v>7.3169</v>
      </c>
      <c r="AB15" s="232">
        <v>6.969900000000002</v>
      </c>
      <c r="AC15" s="232">
        <v>7.152700000000001</v>
      </c>
      <c r="AD15" s="232">
        <v>7.201899999999999</v>
      </c>
      <c r="AE15" s="232">
        <v>7.486300000000001</v>
      </c>
      <c r="AF15" s="232">
        <v>7.6415999999999995</v>
      </c>
      <c r="AG15" s="570">
        <f t="shared" si="1"/>
        <v>2.0744560063048283</v>
      </c>
      <c r="AH15" s="187" t="s">
        <v>31</v>
      </c>
    </row>
    <row r="16" spans="2:34" ht="12.75" customHeight="1">
      <c r="B16" s="227" t="s">
        <v>32</v>
      </c>
      <c r="C16" s="230">
        <v>6.5</v>
      </c>
      <c r="D16" s="314">
        <v>7.7</v>
      </c>
      <c r="E16" s="313">
        <v>10.476443368895263</v>
      </c>
      <c r="F16" s="229">
        <v>10.233383195251669</v>
      </c>
      <c r="G16" s="229">
        <v>10.414323650575252</v>
      </c>
      <c r="H16" s="229">
        <v>10.37918002638481</v>
      </c>
      <c r="I16" s="229">
        <v>10.453352069536807</v>
      </c>
      <c r="J16" s="229">
        <v>9.327340933853145</v>
      </c>
      <c r="K16" s="229">
        <v>9.818268042852674</v>
      </c>
      <c r="L16" s="229">
        <v>10.054374505661677</v>
      </c>
      <c r="M16" s="229">
        <v>10.502619818419767</v>
      </c>
      <c r="N16" s="229">
        <v>10.935597585658641</v>
      </c>
      <c r="O16" s="313">
        <v>11.633685254006512</v>
      </c>
      <c r="P16" s="229">
        <v>11.779086423126303</v>
      </c>
      <c r="Q16" s="229">
        <v>11.945869204302205</v>
      </c>
      <c r="R16" s="229">
        <v>11.762165248289488</v>
      </c>
      <c r="S16" s="229">
        <v>13.303413046515091</v>
      </c>
      <c r="T16" s="229">
        <v>13.620330458217733</v>
      </c>
      <c r="U16" s="229">
        <v>13.86912542912846</v>
      </c>
      <c r="V16" s="229">
        <v>13.942725725198631</v>
      </c>
      <c r="W16" s="229">
        <v>14.823026604643687</v>
      </c>
      <c r="X16" s="229">
        <v>14.65691476777499</v>
      </c>
      <c r="Y16" s="229">
        <v>15.03220290291087</v>
      </c>
      <c r="Z16" s="229">
        <v>15.301799934284682</v>
      </c>
      <c r="AA16" s="229">
        <v>15.595579058566956</v>
      </c>
      <c r="AB16" s="229">
        <v>15.748900135343224</v>
      </c>
      <c r="AC16" s="229">
        <v>16.142915646960294</v>
      </c>
      <c r="AD16" s="229">
        <v>16.154911826561836</v>
      </c>
      <c r="AE16" s="229">
        <v>16.338880964772578</v>
      </c>
      <c r="AF16" s="229">
        <v>16.68</v>
      </c>
      <c r="AG16" s="566">
        <f t="shared" si="1"/>
        <v>2.087774774557033</v>
      </c>
      <c r="AH16" s="227" t="s">
        <v>32</v>
      </c>
    </row>
    <row r="17" spans="2:34" ht="12.75" customHeight="1">
      <c r="B17" s="187" t="s">
        <v>44</v>
      </c>
      <c r="C17" s="190"/>
      <c r="D17" s="312"/>
      <c r="E17" s="311"/>
      <c r="F17" s="189"/>
      <c r="G17" s="189"/>
      <c r="H17" s="208">
        <v>0.546627</v>
      </c>
      <c r="I17" s="208">
        <v>0.542601</v>
      </c>
      <c r="J17" s="208">
        <v>0.525396</v>
      </c>
      <c r="K17" s="208">
        <v>0.48687899999999995</v>
      </c>
      <c r="L17" s="208">
        <v>0.498093</v>
      </c>
      <c r="M17" s="208">
        <v>0.487896</v>
      </c>
      <c r="N17" s="208">
        <v>0.48726600000000003</v>
      </c>
      <c r="O17" s="208">
        <v>0.504171</v>
      </c>
      <c r="P17" s="208">
        <v>0.531744</v>
      </c>
      <c r="Q17" s="208">
        <v>0.5347379999999999</v>
      </c>
      <c r="R17" s="208">
        <v>0.550308</v>
      </c>
      <c r="S17" s="208">
        <v>0.529083</v>
      </c>
      <c r="T17" s="208">
        <v>0.533166</v>
      </c>
      <c r="U17" s="208">
        <v>0.5597730000000001</v>
      </c>
      <c r="V17" s="208">
        <v>0.66096</v>
      </c>
      <c r="W17" s="208">
        <v>0.623604</v>
      </c>
      <c r="X17" s="208">
        <v>0.57882</v>
      </c>
      <c r="Y17" s="208">
        <v>0.549357</v>
      </c>
      <c r="Z17" s="208">
        <v>0.519531</v>
      </c>
      <c r="AA17" s="208">
        <f>0.174139*3</f>
        <v>0.5224169999999999</v>
      </c>
      <c r="AB17" s="208">
        <f>0.177596*3</f>
        <v>0.532788</v>
      </c>
      <c r="AC17" s="208">
        <f>0.191899*3</f>
        <v>0.5756969999999999</v>
      </c>
      <c r="AD17" s="208">
        <f>0.199322*3</f>
        <v>0.597966</v>
      </c>
      <c r="AE17" s="208">
        <f>0.202995*3</f>
        <v>0.608985</v>
      </c>
      <c r="AF17" s="208">
        <f>3*0.202661</f>
        <v>0.607983</v>
      </c>
      <c r="AG17" s="305">
        <f t="shared" si="1"/>
        <v>-0.16453607231704837</v>
      </c>
      <c r="AH17" s="187" t="s">
        <v>44</v>
      </c>
    </row>
    <row r="18" spans="2:36" ht="12.75" customHeight="1">
      <c r="B18" s="191" t="s">
        <v>34</v>
      </c>
      <c r="C18" s="205">
        <v>2.21</v>
      </c>
      <c r="D18" s="205">
        <v>3.66</v>
      </c>
      <c r="E18" s="193">
        <f>2.58+1.629</f>
        <v>4.209</v>
      </c>
      <c r="F18" s="193">
        <v>5.328</v>
      </c>
      <c r="G18" s="193">
        <v>5.4</v>
      </c>
      <c r="H18" s="193">
        <v>5.5</v>
      </c>
      <c r="I18" s="193">
        <v>5.1</v>
      </c>
      <c r="J18" s="193">
        <f>4.038+1.1136</f>
        <v>5.1516</v>
      </c>
      <c r="K18" s="193">
        <v>5.282</v>
      </c>
      <c r="L18" s="193">
        <v>5.319</v>
      </c>
      <c r="M18" s="193">
        <v>5.251</v>
      </c>
      <c r="N18" s="193">
        <f>4.167+1.072</f>
        <v>5.239</v>
      </c>
      <c r="O18" s="193">
        <f>4.503+1.1057</f>
        <v>5.6087</v>
      </c>
      <c r="P18" s="193">
        <f>4.506+1.083</f>
        <v>5.589</v>
      </c>
      <c r="Q18" s="193">
        <f>4.843+1.042</f>
        <v>5.885</v>
      </c>
      <c r="R18" s="193">
        <f>4.935+1.05</f>
        <v>5.984999999999999</v>
      </c>
      <c r="S18" s="193">
        <f>4.954+1.051</f>
        <v>6.005</v>
      </c>
      <c r="T18" s="193">
        <f>4.982+1.053</f>
        <v>6.035</v>
      </c>
      <c r="U18" s="193">
        <f>5.204+1.075</f>
        <v>6.279</v>
      </c>
      <c r="V18" s="193">
        <f>5.637+1.088</f>
        <v>6.725</v>
      </c>
      <c r="W18" s="193">
        <f>5.777+1.107</f>
        <v>6.884</v>
      </c>
      <c r="X18" s="193">
        <f>1.108+5.84</f>
        <v>6.948</v>
      </c>
      <c r="Y18" s="193">
        <f>5.948+1.135</f>
        <v>7.083</v>
      </c>
      <c r="Z18" s="193">
        <f>5.849+1.246</f>
        <v>7.095000000000001</v>
      </c>
      <c r="AA18" s="193">
        <f>1.243+5.295</f>
        <v>6.538</v>
      </c>
      <c r="AB18" s="193">
        <f>1.228+5.356</f>
        <v>6.584</v>
      </c>
      <c r="AC18" s="193">
        <f>1.266+5.388</f>
        <v>6.654</v>
      </c>
      <c r="AD18" s="193">
        <f>1.305+5.527</f>
        <v>6.832</v>
      </c>
      <c r="AE18" s="193">
        <f>1.337+5.336</f>
        <v>6.673</v>
      </c>
      <c r="AF18" s="193">
        <f>1.342+5.41</f>
        <v>6.752000000000001</v>
      </c>
      <c r="AG18" s="309">
        <f t="shared" si="1"/>
        <v>1.1838753184474768</v>
      </c>
      <c r="AH18" s="191" t="s">
        <v>34</v>
      </c>
      <c r="AJ18" s="380"/>
    </row>
    <row r="19" spans="2:34" ht="12.75" customHeight="1" thickBot="1">
      <c r="B19" s="187" t="s">
        <v>13</v>
      </c>
      <c r="C19" s="307" t="s">
        <v>43</v>
      </c>
      <c r="D19" s="307" t="s">
        <v>43</v>
      </c>
      <c r="E19" s="306" t="s">
        <v>43</v>
      </c>
      <c r="F19" s="306" t="s">
        <v>43</v>
      </c>
      <c r="G19" s="306" t="s">
        <v>43</v>
      </c>
      <c r="H19" s="306" t="s">
        <v>43</v>
      </c>
      <c r="I19" s="306" t="s">
        <v>43</v>
      </c>
      <c r="J19" s="306" t="s">
        <v>43</v>
      </c>
      <c r="K19" s="306" t="s">
        <v>43</v>
      </c>
      <c r="L19" s="306" t="s">
        <v>43</v>
      </c>
      <c r="M19" s="306" t="s">
        <v>43</v>
      </c>
      <c r="N19" s="306" t="s">
        <v>43</v>
      </c>
      <c r="O19" s="306" t="s">
        <v>43</v>
      </c>
      <c r="P19" s="306" t="s">
        <v>43</v>
      </c>
      <c r="Q19" s="306" t="s">
        <v>43</v>
      </c>
      <c r="R19" s="306" t="s">
        <v>43</v>
      </c>
      <c r="S19" s="306" t="s">
        <v>43</v>
      </c>
      <c r="T19" s="306" t="s">
        <v>43</v>
      </c>
      <c r="U19" s="306" t="s">
        <v>43</v>
      </c>
      <c r="V19" s="306" t="s">
        <v>43</v>
      </c>
      <c r="W19" s="306" t="s">
        <v>43</v>
      </c>
      <c r="X19" s="306" t="s">
        <v>43</v>
      </c>
      <c r="Y19" s="306" t="s">
        <v>43</v>
      </c>
      <c r="Z19" s="306" t="s">
        <v>43</v>
      </c>
      <c r="AA19" s="306" t="s">
        <v>43</v>
      </c>
      <c r="AB19" s="306" t="s">
        <v>43</v>
      </c>
      <c r="AC19" s="306" t="s">
        <v>43</v>
      </c>
      <c r="AD19" s="306" t="s">
        <v>43</v>
      </c>
      <c r="AE19" s="306" t="s">
        <v>43</v>
      </c>
      <c r="AF19" s="306" t="s">
        <v>43</v>
      </c>
      <c r="AG19" s="305" t="s">
        <v>43</v>
      </c>
      <c r="AH19" s="187" t="s">
        <v>13</v>
      </c>
    </row>
    <row r="20" spans="1:41" s="201" customFormat="1" ht="12.75" customHeight="1">
      <c r="A20" s="206"/>
      <c r="B20" s="191" t="s">
        <v>17</v>
      </c>
      <c r="C20" s="205" t="s">
        <v>41</v>
      </c>
      <c r="D20" s="205" t="s">
        <v>41</v>
      </c>
      <c r="E20" s="203">
        <f>0.2431*3</f>
        <v>0.7293000000000001</v>
      </c>
      <c r="F20" s="203">
        <f>0.2516*3</f>
        <v>0.7547999999999999</v>
      </c>
      <c r="G20" s="203">
        <f>0.1937*3</f>
        <v>0.5811000000000001</v>
      </c>
      <c r="H20" s="203">
        <f>0.1149*3</f>
        <v>0.3447</v>
      </c>
      <c r="I20" s="203">
        <f>0.1128*3</f>
        <v>0.3384</v>
      </c>
      <c r="J20" s="203">
        <f>0.1012*3</f>
        <v>0.3036</v>
      </c>
      <c r="K20" s="203">
        <f>0.0795*3</f>
        <v>0.2385</v>
      </c>
      <c r="L20" s="203">
        <f>0.0884*3</f>
        <v>0.2652</v>
      </c>
      <c r="M20" s="203">
        <f>0.098*3</f>
        <v>0.29400000000000004</v>
      </c>
      <c r="N20" s="203">
        <f>0.0938*3</f>
        <v>0.2814</v>
      </c>
      <c r="O20" s="203">
        <f>0.0889*3</f>
        <v>0.26670000000000005</v>
      </c>
      <c r="P20" s="203">
        <f>0.0869*3</f>
        <v>0.26070000000000004</v>
      </c>
      <c r="Q20" s="203">
        <f>0.0882*3</f>
        <v>0.2646</v>
      </c>
      <c r="R20" s="203">
        <f>0.0846*3</f>
        <v>0.25379999999999997</v>
      </c>
      <c r="S20" s="203">
        <f>0.0879*3</f>
        <v>0.26370000000000005</v>
      </c>
      <c r="T20" s="203">
        <f>0.0909*3</f>
        <v>0.2727</v>
      </c>
      <c r="U20" s="203">
        <f>0.0931*3</f>
        <v>0.2793</v>
      </c>
      <c r="V20" s="203">
        <f>0.0932*3</f>
        <v>0.2796</v>
      </c>
      <c r="W20" s="203">
        <f>0.0861*3</f>
        <v>0.2583</v>
      </c>
      <c r="X20" s="310">
        <f>0.057*3</f>
        <v>0.171</v>
      </c>
      <c r="Y20" s="203">
        <f>0.041*3</f>
        <v>0.123</v>
      </c>
      <c r="Z20" s="203">
        <f>0.0416*3</f>
        <v>0.1248</v>
      </c>
      <c r="AA20" s="203">
        <f>(30695+2777+7112)*3/1000000</f>
        <v>0.121752</v>
      </c>
      <c r="AB20" s="203">
        <v>0.132762</v>
      </c>
      <c r="AC20" s="203">
        <f>(34.69+3.718+6.582)*3/1000</f>
        <v>0.13497</v>
      </c>
      <c r="AD20" s="203">
        <f>(33.938+2.98+6.741)*3/1000</f>
        <v>0.130977</v>
      </c>
      <c r="AE20" s="203">
        <f>(32.341+1.986+6.848)*3/1000</f>
        <v>0.123525</v>
      </c>
      <c r="AF20" s="203">
        <f>3*(32.724+2.089+7.804)/1000</f>
        <v>0.127851</v>
      </c>
      <c r="AG20" s="301">
        <f>AF20/AE20*100-100</f>
        <v>3.502125075895563</v>
      </c>
      <c r="AH20" s="191" t="s">
        <v>17</v>
      </c>
      <c r="AO20" s="546"/>
    </row>
    <row r="21" spans="2:34" ht="12.75" customHeight="1">
      <c r="B21" s="187" t="s">
        <v>18</v>
      </c>
      <c r="C21" s="307" t="s">
        <v>43</v>
      </c>
      <c r="D21" s="307" t="s">
        <v>43</v>
      </c>
      <c r="E21" s="306" t="s">
        <v>43</v>
      </c>
      <c r="F21" s="306" t="s">
        <v>43</v>
      </c>
      <c r="G21" s="306" t="s">
        <v>43</v>
      </c>
      <c r="H21" s="306" t="s">
        <v>43</v>
      </c>
      <c r="I21" s="306" t="s">
        <v>43</v>
      </c>
      <c r="J21" s="306" t="s">
        <v>43</v>
      </c>
      <c r="K21" s="306" t="s">
        <v>43</v>
      </c>
      <c r="L21" s="306" t="s">
        <v>43</v>
      </c>
      <c r="M21" s="306" t="s">
        <v>43</v>
      </c>
      <c r="N21" s="306" t="s">
        <v>43</v>
      </c>
      <c r="O21" s="306" t="s">
        <v>43</v>
      </c>
      <c r="P21" s="306" t="s">
        <v>43</v>
      </c>
      <c r="Q21" s="306" t="s">
        <v>43</v>
      </c>
      <c r="R21" s="306" t="s">
        <v>43</v>
      </c>
      <c r="S21" s="306" t="s">
        <v>43</v>
      </c>
      <c r="T21" s="306" t="s">
        <v>43</v>
      </c>
      <c r="U21" s="306" t="s">
        <v>43</v>
      </c>
      <c r="V21" s="306" t="s">
        <v>43</v>
      </c>
      <c r="W21" s="306" t="s">
        <v>43</v>
      </c>
      <c r="X21" s="306" t="s">
        <v>43</v>
      </c>
      <c r="Y21" s="306" t="s">
        <v>43</v>
      </c>
      <c r="Z21" s="306" t="s">
        <v>43</v>
      </c>
      <c r="AA21" s="306" t="s">
        <v>43</v>
      </c>
      <c r="AB21" s="306" t="s">
        <v>43</v>
      </c>
      <c r="AC21" s="306" t="s">
        <v>43</v>
      </c>
      <c r="AD21" s="306" t="s">
        <v>43</v>
      </c>
      <c r="AE21" s="306" t="s">
        <v>43</v>
      </c>
      <c r="AF21" s="306" t="s">
        <v>43</v>
      </c>
      <c r="AG21" s="305" t="s">
        <v>43</v>
      </c>
      <c r="AH21" s="187" t="s">
        <v>18</v>
      </c>
    </row>
    <row r="22" spans="1:34" s="201" customFormat="1" ht="12.75" customHeight="1">
      <c r="A22" s="206"/>
      <c r="B22" s="191" t="s">
        <v>35</v>
      </c>
      <c r="C22" s="304" t="s">
        <v>43</v>
      </c>
      <c r="D22" s="304" t="s">
        <v>43</v>
      </c>
      <c r="E22" s="303" t="s">
        <v>43</v>
      </c>
      <c r="F22" s="303" t="s">
        <v>43</v>
      </c>
      <c r="G22" s="303" t="s">
        <v>43</v>
      </c>
      <c r="H22" s="303" t="s">
        <v>43</v>
      </c>
      <c r="I22" s="303" t="s">
        <v>43</v>
      </c>
      <c r="J22" s="303" t="s">
        <v>43</v>
      </c>
      <c r="K22" s="303" t="s">
        <v>43</v>
      </c>
      <c r="L22" s="303" t="s">
        <v>43</v>
      </c>
      <c r="M22" s="303" t="s">
        <v>43</v>
      </c>
      <c r="N22" s="303" t="s">
        <v>43</v>
      </c>
      <c r="O22" s="303" t="s">
        <v>43</v>
      </c>
      <c r="P22" s="303" t="s">
        <v>43</v>
      </c>
      <c r="Q22" s="303" t="s">
        <v>43</v>
      </c>
      <c r="R22" s="303" t="s">
        <v>43</v>
      </c>
      <c r="S22" s="303" t="s">
        <v>43</v>
      </c>
      <c r="T22" s="303" t="s">
        <v>43</v>
      </c>
      <c r="U22" s="303" t="s">
        <v>43</v>
      </c>
      <c r="V22" s="303" t="s">
        <v>43</v>
      </c>
      <c r="W22" s="303" t="s">
        <v>43</v>
      </c>
      <c r="X22" s="303" t="s">
        <v>43</v>
      </c>
      <c r="Y22" s="303" t="s">
        <v>43</v>
      </c>
      <c r="Z22" s="303" t="s">
        <v>43</v>
      </c>
      <c r="AA22" s="303" t="s">
        <v>43</v>
      </c>
      <c r="AB22" s="303" t="s">
        <v>43</v>
      </c>
      <c r="AC22" s="303" t="s">
        <v>43</v>
      </c>
      <c r="AD22" s="303" t="s">
        <v>43</v>
      </c>
      <c r="AE22" s="303" t="s">
        <v>43</v>
      </c>
      <c r="AF22" s="303" t="s">
        <v>43</v>
      </c>
      <c r="AG22" s="309" t="s">
        <v>43</v>
      </c>
      <c r="AH22" s="191" t="s">
        <v>35</v>
      </c>
    </row>
    <row r="23" spans="2:34" ht="12.75" customHeight="1">
      <c r="B23" s="187" t="s">
        <v>16</v>
      </c>
      <c r="C23" s="190" t="s">
        <v>41</v>
      </c>
      <c r="D23" s="190" t="s">
        <v>41</v>
      </c>
      <c r="E23" s="189" t="s">
        <v>41</v>
      </c>
      <c r="F23" s="189" t="s">
        <v>41</v>
      </c>
      <c r="G23" s="189" t="s">
        <v>41</v>
      </c>
      <c r="H23" s="189" t="s">
        <v>41</v>
      </c>
      <c r="I23" s="189" t="s">
        <v>41</v>
      </c>
      <c r="J23" s="208">
        <v>2.5</v>
      </c>
      <c r="K23" s="208">
        <v>2.5</v>
      </c>
      <c r="L23" s="208">
        <v>2.5</v>
      </c>
      <c r="M23" s="208">
        <v>2.55</v>
      </c>
      <c r="N23" s="189">
        <f>1.193+1.327</f>
        <v>2.52</v>
      </c>
      <c r="O23" s="189">
        <f>1.212+1.358</f>
        <v>2.5700000000000003</v>
      </c>
      <c r="P23" s="189">
        <f>1.214+1.357</f>
        <v>2.5709999999999997</v>
      </c>
      <c r="Q23" s="189">
        <f>1.201+1.335</f>
        <v>2.536</v>
      </c>
      <c r="R23" s="189">
        <f>1.193+1.323</f>
        <v>2.516</v>
      </c>
      <c r="S23" s="189">
        <f>1.169+1.251</f>
        <v>2.42</v>
      </c>
      <c r="T23" s="189">
        <f>1.144+1.209</f>
        <v>2.3529999999999998</v>
      </c>
      <c r="U23" s="189">
        <f>1.113+1.17</f>
        <v>2.283</v>
      </c>
      <c r="V23" s="189">
        <f>1.104+1.176</f>
        <v>2.2800000000000002</v>
      </c>
      <c r="W23" s="189">
        <f>1.095+1.24</f>
        <v>2.335</v>
      </c>
      <c r="X23" s="189">
        <f>1.185+1.339</f>
        <v>2.524</v>
      </c>
      <c r="Y23" s="189">
        <f>1.15+1.339</f>
        <v>2.489</v>
      </c>
      <c r="Z23" s="189">
        <f>1.161535+1.342378</f>
        <v>2.503913</v>
      </c>
      <c r="AA23" s="189">
        <v>2.4990787</v>
      </c>
      <c r="AB23" s="189">
        <v>2.5104894</v>
      </c>
      <c r="AC23" s="189">
        <f>2819469.2/1000000</f>
        <v>2.8194692000000003</v>
      </c>
      <c r="AD23" s="189">
        <f>(1162368.4+1784301)/1000000</f>
        <v>2.9466693999999998</v>
      </c>
      <c r="AE23" s="189">
        <f>(1232727.1+1829977)/1000000</f>
        <v>3.0627041</v>
      </c>
      <c r="AF23" s="189">
        <f>1.2649857+1.780647</f>
        <v>3.0456327</v>
      </c>
      <c r="AG23" s="305">
        <f>AF23/AE23*100-100</f>
        <v>-0.5573963217667739</v>
      </c>
      <c r="AH23" s="187" t="s">
        <v>16</v>
      </c>
    </row>
    <row r="24" spans="1:34" s="201" customFormat="1" ht="12.75" customHeight="1">
      <c r="A24" s="206"/>
      <c r="B24" s="191" t="s">
        <v>19</v>
      </c>
      <c r="C24" s="304" t="s">
        <v>43</v>
      </c>
      <c r="D24" s="304" t="s">
        <v>43</v>
      </c>
      <c r="E24" s="303" t="s">
        <v>43</v>
      </c>
      <c r="F24" s="303" t="s">
        <v>43</v>
      </c>
      <c r="G24" s="303" t="s">
        <v>43</v>
      </c>
      <c r="H24" s="303" t="s">
        <v>43</v>
      </c>
      <c r="I24" s="303" t="s">
        <v>43</v>
      </c>
      <c r="J24" s="303" t="s">
        <v>43</v>
      </c>
      <c r="K24" s="303" t="s">
        <v>43</v>
      </c>
      <c r="L24" s="303" t="s">
        <v>43</v>
      </c>
      <c r="M24" s="303" t="s">
        <v>43</v>
      </c>
      <c r="N24" s="303" t="s">
        <v>43</v>
      </c>
      <c r="O24" s="303" t="s">
        <v>43</v>
      </c>
      <c r="P24" s="303" t="s">
        <v>43</v>
      </c>
      <c r="Q24" s="303" t="s">
        <v>43</v>
      </c>
      <c r="R24" s="303" t="s">
        <v>43</v>
      </c>
      <c r="S24" s="303" t="s">
        <v>43</v>
      </c>
      <c r="T24" s="303" t="s">
        <v>43</v>
      </c>
      <c r="U24" s="303" t="s">
        <v>43</v>
      </c>
      <c r="V24" s="303" t="s">
        <v>43</v>
      </c>
      <c r="W24" s="303" t="s">
        <v>43</v>
      </c>
      <c r="X24" s="303" t="s">
        <v>43</v>
      </c>
      <c r="Y24" s="303" t="s">
        <v>43</v>
      </c>
      <c r="Z24" s="303" t="s">
        <v>43</v>
      </c>
      <c r="AA24" s="303" t="s">
        <v>43</v>
      </c>
      <c r="AB24" s="303" t="s">
        <v>43</v>
      </c>
      <c r="AC24" s="303" t="s">
        <v>43</v>
      </c>
      <c r="AD24" s="303" t="s">
        <v>43</v>
      </c>
      <c r="AE24" s="303" t="s">
        <v>43</v>
      </c>
      <c r="AF24" s="303" t="s">
        <v>43</v>
      </c>
      <c r="AG24" s="301" t="s">
        <v>43</v>
      </c>
      <c r="AH24" s="191" t="s">
        <v>19</v>
      </c>
    </row>
    <row r="25" spans="2:34" ht="12.75" customHeight="1">
      <c r="B25" s="187" t="s">
        <v>27</v>
      </c>
      <c r="C25" s="190">
        <v>1.24</v>
      </c>
      <c r="D25" s="190">
        <v>1.35</v>
      </c>
      <c r="E25" s="189">
        <v>1.26</v>
      </c>
      <c r="F25" s="189">
        <v>1.29</v>
      </c>
      <c r="G25" s="189">
        <v>1.32</v>
      </c>
      <c r="H25" s="189">
        <v>1.34</v>
      </c>
      <c r="I25" s="189">
        <v>1.39</v>
      </c>
      <c r="J25" s="189">
        <v>1.38</v>
      </c>
      <c r="K25" s="189">
        <v>1.39</v>
      </c>
      <c r="L25" s="208">
        <v>1.4</v>
      </c>
      <c r="M25" s="208">
        <v>1.4</v>
      </c>
      <c r="N25" s="208">
        <v>1.42</v>
      </c>
      <c r="O25" s="393">
        <v>0.6692024025713582</v>
      </c>
      <c r="P25" s="208">
        <v>0.6847210123896893</v>
      </c>
      <c r="Q25" s="208">
        <v>0.6635320777721085</v>
      </c>
      <c r="R25" s="208">
        <v>0.6866486373608297</v>
      </c>
      <c r="S25" s="208">
        <v>0.7272619778268847</v>
      </c>
      <c r="T25" s="208">
        <v>0.7464064132044701</v>
      </c>
      <c r="U25" s="208">
        <v>0.7779999304545517</v>
      </c>
      <c r="V25" s="208">
        <v>0.7949860840723357</v>
      </c>
      <c r="W25" s="208">
        <v>0.825323264988066</v>
      </c>
      <c r="X25" s="208">
        <v>0.8248953383354507</v>
      </c>
      <c r="Y25" s="393">
        <v>0.8539250612298133</v>
      </c>
      <c r="Z25" s="208">
        <v>0.8899034590968964</v>
      </c>
      <c r="AA25" s="208">
        <v>0.816130470277351</v>
      </c>
      <c r="AB25" s="208">
        <v>0.8535595653837628</v>
      </c>
      <c r="AC25" s="208">
        <v>0.8532425379056862</v>
      </c>
      <c r="AD25" s="208">
        <v>0.9164456888616629</v>
      </c>
      <c r="AE25" s="208">
        <v>0.9254267438031503</v>
      </c>
      <c r="AF25" s="387">
        <v>0.8816020021408618</v>
      </c>
      <c r="AG25" s="565">
        <f>AF25/AE25*100-100</f>
        <v>-4.735625154097605</v>
      </c>
      <c r="AH25" s="187" t="s">
        <v>27</v>
      </c>
    </row>
    <row r="26" spans="1:34" s="201" customFormat="1" ht="12.75" customHeight="1">
      <c r="A26" s="206"/>
      <c r="B26" s="191" t="s">
        <v>36</v>
      </c>
      <c r="C26" s="205">
        <v>1.5</v>
      </c>
      <c r="D26" s="205">
        <v>1.65</v>
      </c>
      <c r="E26" s="203">
        <v>4.244212898335107</v>
      </c>
      <c r="F26" s="203">
        <v>4.625125303965898</v>
      </c>
      <c r="G26" s="203">
        <v>4.720742575409969</v>
      </c>
      <c r="H26" s="203">
        <v>4.697141707164257</v>
      </c>
      <c r="I26" s="203">
        <v>4.89203012858048</v>
      </c>
      <c r="J26" s="203">
        <v>5.127203178238052</v>
      </c>
      <c r="K26" s="203">
        <v>5.5820940424240515</v>
      </c>
      <c r="L26" s="203">
        <v>5.6763765221457625</v>
      </c>
      <c r="M26" s="203">
        <v>5.770842162305629</v>
      </c>
      <c r="N26" s="203">
        <v>5.86549123511989</v>
      </c>
      <c r="O26" s="203">
        <v>5.9603240131662325</v>
      </c>
      <c r="P26" s="203">
        <v>6.055340769384238</v>
      </c>
      <c r="Q26" s="203">
        <v>6.150541777075853</v>
      </c>
      <c r="R26" s="203">
        <v>6.245927309905817</v>
      </c>
      <c r="S26" s="203">
        <v>6.34149764190213</v>
      </c>
      <c r="T26" s="203">
        <v>6.437253047456507</v>
      </c>
      <c r="U26" s="203">
        <v>6.533193801324818</v>
      </c>
      <c r="V26" s="203">
        <v>6.629320178627555</v>
      </c>
      <c r="W26" s="203">
        <v>6.725632454850284</v>
      </c>
      <c r="X26" s="203">
        <v>6.822130905844093</v>
      </c>
      <c r="Y26" s="203">
        <v>6.91881580782606</v>
      </c>
      <c r="Z26" s="203">
        <v>7.015687437379696</v>
      </c>
      <c r="AA26" s="203">
        <v>7.112746071455411</v>
      </c>
      <c r="AB26" s="203">
        <v>7.20999198737097</v>
      </c>
      <c r="AC26" s="203">
        <v>7.01005836298726</v>
      </c>
      <c r="AD26" s="203">
        <v>7.18204298832206</v>
      </c>
      <c r="AE26" s="203">
        <v>7.18533029297997</v>
      </c>
      <c r="AF26" s="203">
        <v>7.189</v>
      </c>
      <c r="AG26" s="301">
        <f>AF26/AE26*100-100</f>
        <v>0.0510722106068755</v>
      </c>
      <c r="AH26" s="191" t="s">
        <v>36</v>
      </c>
    </row>
    <row r="27" spans="2:34" ht="12.75" customHeight="1">
      <c r="B27" s="187" t="s">
        <v>20</v>
      </c>
      <c r="C27" s="190" t="s">
        <v>41</v>
      </c>
      <c r="D27" s="190" t="s">
        <v>41</v>
      </c>
      <c r="E27" s="189" t="s">
        <v>41</v>
      </c>
      <c r="F27" s="189" t="s">
        <v>41</v>
      </c>
      <c r="G27" s="189" t="s">
        <v>41</v>
      </c>
      <c r="H27" s="189" t="s">
        <v>41</v>
      </c>
      <c r="I27" s="189" t="s">
        <v>41</v>
      </c>
      <c r="J27" s="208">
        <v>5</v>
      </c>
      <c r="K27" s="208">
        <v>4.9</v>
      </c>
      <c r="L27" s="208">
        <v>4.85</v>
      </c>
      <c r="M27" s="208">
        <v>4.8</v>
      </c>
      <c r="N27" s="208">
        <v>4.75</v>
      </c>
      <c r="O27" s="208">
        <v>4.7</v>
      </c>
      <c r="P27" s="208">
        <v>4.65</v>
      </c>
      <c r="Q27" s="208">
        <v>4.62</v>
      </c>
      <c r="R27" s="208">
        <v>4.5</v>
      </c>
      <c r="S27" s="208">
        <v>4.5</v>
      </c>
      <c r="T27" s="208">
        <v>4.4</v>
      </c>
      <c r="U27" s="208">
        <v>4.45</v>
      </c>
      <c r="V27" s="208">
        <v>4.6</v>
      </c>
      <c r="W27" s="208">
        <v>4.6</v>
      </c>
      <c r="X27" s="208">
        <v>4.32</v>
      </c>
      <c r="Y27" s="208">
        <f>4.34</f>
        <v>4.34</v>
      </c>
      <c r="Z27" s="208">
        <v>4.403712781401456</v>
      </c>
      <c r="AA27" s="208">
        <v>4.392245206824666</v>
      </c>
      <c r="AB27" s="208">
        <f>AA27*(3620.9+113.1)/(3867.5+132.5)</f>
        <v>4.100160900570825</v>
      </c>
      <c r="AC27" s="208">
        <f>AB27*(3711.1+147.7)/(3620.9+113.1)</f>
        <v>4.237198951023754</v>
      </c>
      <c r="AD27" s="208">
        <f>AC27*((3672.2+171.3)/(3711.1+147.7))</f>
        <v>4.22039861310765</v>
      </c>
      <c r="AE27" s="208">
        <f>(3766.3+183.7)/(3672.2+171.3)*AD27</f>
        <v>4.337342141739358</v>
      </c>
      <c r="AF27" s="208">
        <f>(3739.3+187.1)/(3766.3+183.7)*AE27</f>
        <v>4.311427895019093</v>
      </c>
      <c r="AG27" s="565">
        <f>AF27/AE27*100-100</f>
        <v>-0.5974683544303616</v>
      </c>
      <c r="AH27" s="187" t="s">
        <v>20</v>
      </c>
    </row>
    <row r="28" spans="1:34" s="201" customFormat="1" ht="12.75" customHeight="1">
      <c r="A28" s="206"/>
      <c r="B28" s="191" t="s">
        <v>37</v>
      </c>
      <c r="C28" s="205">
        <v>0.93</v>
      </c>
      <c r="D28" s="205">
        <v>0.74</v>
      </c>
      <c r="E28" s="193">
        <v>0.67</v>
      </c>
      <c r="F28" s="193">
        <v>0.65</v>
      </c>
      <c r="G28" s="193">
        <v>0.63</v>
      </c>
      <c r="H28" s="193">
        <v>0.61</v>
      </c>
      <c r="I28" s="193">
        <v>0.58</v>
      </c>
      <c r="J28" s="193">
        <v>0.53</v>
      </c>
      <c r="K28" s="193">
        <v>0.54</v>
      </c>
      <c r="L28" s="193">
        <v>0.5</v>
      </c>
      <c r="M28" s="193">
        <v>0.5</v>
      </c>
      <c r="N28" s="193">
        <v>0.5</v>
      </c>
      <c r="O28" s="193">
        <v>0.53</v>
      </c>
      <c r="P28" s="193">
        <v>0.545</v>
      </c>
      <c r="Q28" s="193">
        <v>0.55</v>
      </c>
      <c r="R28" s="193">
        <v>0.77</v>
      </c>
      <c r="S28" s="193">
        <v>0.847</v>
      </c>
      <c r="T28" s="193">
        <f>0.80121+0.046506</f>
        <v>0.847716</v>
      </c>
      <c r="U28" s="193">
        <f>0.785327+0.202473</f>
        <v>0.9878</v>
      </c>
      <c r="V28" s="193">
        <f>0.803969+0.245921</f>
        <v>1.04989</v>
      </c>
      <c r="W28" s="193">
        <f>0.8354+0.259361</f>
        <v>1.094761</v>
      </c>
      <c r="X28" s="193">
        <f>0.829067+0.261117</f>
        <v>1.090184</v>
      </c>
      <c r="Y28" s="193">
        <f>0.866169+0.267064</f>
        <v>1.133233</v>
      </c>
      <c r="Z28" s="193">
        <v>1.148</v>
      </c>
      <c r="AA28" s="193">
        <f>0.745589+0.28248</f>
        <v>1.028069</v>
      </c>
      <c r="AB28" s="193">
        <f>0.655705+0.285591</f>
        <v>0.9412959999999999</v>
      </c>
      <c r="AC28" s="193">
        <f>0.650711+0.288136+0.027714</f>
        <v>0.966561</v>
      </c>
      <c r="AD28" s="193">
        <f>0.685636+0.29445+0.028566</f>
        <v>1.008652</v>
      </c>
      <c r="AE28" s="193">
        <f>0.735151+0.296076+0.030072</f>
        <v>1.061299</v>
      </c>
      <c r="AF28" s="193">
        <v>1.121077</v>
      </c>
      <c r="AG28" s="309">
        <f>AF28/AE28*100-100</f>
        <v>5.632531454378096</v>
      </c>
      <c r="AH28" s="191" t="s">
        <v>37</v>
      </c>
    </row>
    <row r="29" spans="2:34" ht="12.75" customHeight="1">
      <c r="B29" s="187" t="s">
        <v>21</v>
      </c>
      <c r="C29" s="190"/>
      <c r="D29" s="190"/>
      <c r="E29" s="189"/>
      <c r="F29" s="189"/>
      <c r="G29" s="189"/>
      <c r="H29" s="189"/>
      <c r="I29" s="189"/>
      <c r="J29" s="208">
        <v>6</v>
      </c>
      <c r="K29" s="208">
        <v>6</v>
      </c>
      <c r="L29" s="208">
        <v>6</v>
      </c>
      <c r="M29" s="208">
        <v>6</v>
      </c>
      <c r="N29" s="208">
        <v>6</v>
      </c>
      <c r="O29" s="208">
        <v>6</v>
      </c>
      <c r="P29" s="208">
        <v>6</v>
      </c>
      <c r="Q29" s="208">
        <v>6</v>
      </c>
      <c r="R29" s="189">
        <v>5.777215</v>
      </c>
      <c r="S29" s="189">
        <v>6.192045</v>
      </c>
      <c r="T29" s="189">
        <v>6.596908000000001</v>
      </c>
      <c r="U29" s="208">
        <v>6.8</v>
      </c>
      <c r="V29" s="208">
        <v>6.9</v>
      </c>
      <c r="W29" s="208">
        <v>7</v>
      </c>
      <c r="X29" s="208">
        <v>7.047</v>
      </c>
      <c r="Y29" s="208">
        <v>7.138710097776035</v>
      </c>
      <c r="Z29" s="208">
        <f>AVERAGE(W29:Y29)</f>
        <v>7.061903365925345</v>
      </c>
      <c r="AA29" s="208">
        <v>7.548372713565322</v>
      </c>
      <c r="AB29" s="208">
        <v>7.751718100556632</v>
      </c>
      <c r="AC29" s="208">
        <v>8</v>
      </c>
      <c r="AD29" s="208">
        <f>AC29*(1-0.047)</f>
        <v>7.624</v>
      </c>
      <c r="AE29" s="208">
        <f>AD29*(1.073)</f>
        <v>8.180551999999999</v>
      </c>
      <c r="AF29" s="208">
        <f>AE29*0.97</f>
        <v>7.935135439999999</v>
      </c>
      <c r="AG29" s="565">
        <f>AF29/AE29*100-100</f>
        <v>-3</v>
      </c>
      <c r="AH29" s="187" t="s">
        <v>21</v>
      </c>
    </row>
    <row r="30" spans="1:34" s="201" customFormat="1" ht="12.75" customHeight="1">
      <c r="A30" s="206"/>
      <c r="B30" s="191" t="s">
        <v>23</v>
      </c>
      <c r="C30" s="304" t="s">
        <v>43</v>
      </c>
      <c r="D30" s="304" t="s">
        <v>43</v>
      </c>
      <c r="E30" s="303" t="s">
        <v>43</v>
      </c>
      <c r="F30" s="303" t="s">
        <v>43</v>
      </c>
      <c r="G30" s="303" t="s">
        <v>43</v>
      </c>
      <c r="H30" s="303" t="s">
        <v>43</v>
      </c>
      <c r="I30" s="303" t="s">
        <v>43</v>
      </c>
      <c r="J30" s="303" t="s">
        <v>43</v>
      </c>
      <c r="K30" s="303" t="s">
        <v>43</v>
      </c>
      <c r="L30" s="303" t="s">
        <v>43</v>
      </c>
      <c r="M30" s="303" t="s">
        <v>43</v>
      </c>
      <c r="N30" s="303" t="s">
        <v>43</v>
      </c>
      <c r="O30" s="303" t="s">
        <v>43</v>
      </c>
      <c r="P30" s="303" t="s">
        <v>43</v>
      </c>
      <c r="Q30" s="303" t="s">
        <v>43</v>
      </c>
      <c r="R30" s="303" t="s">
        <v>43</v>
      </c>
      <c r="S30" s="303" t="s">
        <v>43</v>
      </c>
      <c r="T30" s="303" t="s">
        <v>43</v>
      </c>
      <c r="U30" s="303" t="s">
        <v>43</v>
      </c>
      <c r="V30" s="303" t="s">
        <v>43</v>
      </c>
      <c r="W30" s="303" t="s">
        <v>43</v>
      </c>
      <c r="X30" s="303" t="s">
        <v>43</v>
      </c>
      <c r="Y30" s="303" t="s">
        <v>43</v>
      </c>
      <c r="Z30" s="303" t="s">
        <v>43</v>
      </c>
      <c r="AA30" s="303" t="s">
        <v>43</v>
      </c>
      <c r="AB30" s="303" t="s">
        <v>43</v>
      </c>
      <c r="AC30" s="303" t="s">
        <v>43</v>
      </c>
      <c r="AD30" s="303" t="s">
        <v>43</v>
      </c>
      <c r="AE30" s="303" t="s">
        <v>43</v>
      </c>
      <c r="AF30" s="303" t="s">
        <v>43</v>
      </c>
      <c r="AG30" s="309" t="s">
        <v>43</v>
      </c>
      <c r="AH30" s="191" t="s">
        <v>23</v>
      </c>
    </row>
    <row r="31" spans="2:37" ht="12.75" customHeight="1">
      <c r="B31" s="187" t="s">
        <v>22</v>
      </c>
      <c r="C31" s="190"/>
      <c r="D31" s="190"/>
      <c r="E31" s="189"/>
      <c r="F31" s="189"/>
      <c r="G31" s="189"/>
      <c r="H31" s="189" t="s">
        <v>41</v>
      </c>
      <c r="I31" s="189" t="s">
        <v>41</v>
      </c>
      <c r="J31" s="208">
        <f>0.14623*3</f>
        <v>0.43869</v>
      </c>
      <c r="K31" s="208">
        <v>0.42</v>
      </c>
      <c r="L31" s="208">
        <v>0.4</v>
      </c>
      <c r="M31" s="208">
        <f>0.126488*3</f>
        <v>0.37946399999999997</v>
      </c>
      <c r="N31" s="208">
        <f>0.117714*3</f>
        <v>0.353142</v>
      </c>
      <c r="O31" s="208">
        <v>0.35</v>
      </c>
      <c r="P31" s="208">
        <v>0.35736278</v>
      </c>
      <c r="Q31" s="208">
        <v>0.35821163</v>
      </c>
      <c r="R31" s="208">
        <v>0.36700559999999993</v>
      </c>
      <c r="S31" s="208">
        <v>0.36223677000000004</v>
      </c>
      <c r="T31" s="208">
        <v>0.38621753999999997</v>
      </c>
      <c r="U31" s="208">
        <v>0.384426</v>
      </c>
      <c r="V31" s="208">
        <f>0.109705*3.6</f>
        <v>0.394938</v>
      </c>
      <c r="W31" s="208">
        <f>0.10708*3.43</f>
        <v>0.3672844</v>
      </c>
      <c r="X31" s="208">
        <v>0.2925259</v>
      </c>
      <c r="Y31" s="208">
        <v>0.2834431</v>
      </c>
      <c r="Z31" s="208">
        <f>2.81*0.109182</f>
        <v>0.30680142</v>
      </c>
      <c r="AA31" s="208">
        <f>0.098788*2.93</f>
        <v>0.28944884000000004</v>
      </c>
      <c r="AB31" s="208">
        <f>3.1*88.841/1000</f>
        <v>0.2754071</v>
      </c>
      <c r="AC31" s="208">
        <f>87.672*2.93/1000</f>
        <v>0.25687896</v>
      </c>
      <c r="AD31" s="208">
        <f>85.017*2.95/1000</f>
        <v>0.25080015</v>
      </c>
      <c r="AE31" s="208">
        <f>95.028*3.17/1000</f>
        <v>0.30123876</v>
      </c>
      <c r="AF31" s="208">
        <f>89.859*3.17/1000</f>
        <v>0.28485303</v>
      </c>
      <c r="AG31" s="565">
        <f>AF31/AE31*100-100</f>
        <v>-5.4394494254325</v>
      </c>
      <c r="AH31" s="187" t="s">
        <v>22</v>
      </c>
      <c r="AK31" s="380"/>
    </row>
    <row r="32" spans="2:34" ht="12.75" customHeight="1">
      <c r="B32" s="191" t="s">
        <v>38</v>
      </c>
      <c r="C32" s="205">
        <v>0.1</v>
      </c>
      <c r="D32" s="205">
        <v>0.13</v>
      </c>
      <c r="E32" s="193">
        <v>0.35</v>
      </c>
      <c r="F32" s="193">
        <v>0.34</v>
      </c>
      <c r="G32" s="193">
        <v>0.345</v>
      </c>
      <c r="H32" s="193">
        <f>0.0993+0.2581</f>
        <v>0.3574</v>
      </c>
      <c r="I32" s="193">
        <v>0.37</v>
      </c>
      <c r="J32" s="193">
        <f>0.1091+0.2785</f>
        <v>0.38760000000000006</v>
      </c>
      <c r="K32" s="193">
        <v>0.4</v>
      </c>
      <c r="L32" s="193">
        <f>0.1162+0.3006</f>
        <v>0.41679999999999995</v>
      </c>
      <c r="M32" s="193">
        <v>0.439</v>
      </c>
      <c r="N32" s="193">
        <f>0.1205+0.3598</f>
        <v>0.4803</v>
      </c>
      <c r="O32" s="193">
        <f>0.118+0.379</f>
        <v>0.497</v>
      </c>
      <c r="P32" s="193">
        <f>0.1193+0.3853</f>
        <v>0.5045999999999999</v>
      </c>
      <c r="Q32" s="193">
        <f>0.1167+0.4008</f>
        <v>0.5175</v>
      </c>
      <c r="R32" s="193">
        <f>0.1182+0.4041</f>
        <v>0.5223</v>
      </c>
      <c r="S32" s="193">
        <f>0.119+0.404</f>
        <v>0.523</v>
      </c>
      <c r="T32" s="193">
        <f>0.117+0.409</f>
        <v>0.526</v>
      </c>
      <c r="U32" s="193">
        <f>0.11+0.414</f>
        <v>0.524</v>
      </c>
      <c r="V32" s="193">
        <f>0.11+0.41</f>
        <v>0.52</v>
      </c>
      <c r="W32" s="193">
        <f>0.112+0.42</f>
        <v>0.532</v>
      </c>
      <c r="X32" s="193">
        <v>0.532</v>
      </c>
      <c r="Y32" s="193">
        <f>0.113+0.417</f>
        <v>0.53</v>
      </c>
      <c r="Z32" s="193">
        <f>0.397+0.118</f>
        <v>0.515</v>
      </c>
      <c r="AA32" s="193">
        <f>0.401+0.125</f>
        <v>0.526</v>
      </c>
      <c r="AB32" s="193">
        <f>0.124+0.401</f>
        <v>0.525</v>
      </c>
      <c r="AC32" s="203">
        <f>(62.1+55.5)/(63.5+56.7)*AB32</f>
        <v>0.5136439267886855</v>
      </c>
      <c r="AD32" s="203">
        <f>(62.9+55.2)/(62.1+55.5)*AC32</f>
        <v>0.5158277870216306</v>
      </c>
      <c r="AE32" s="203">
        <f>(64.1+56.6)/(62.9+55.2)*AD32</f>
        <v>0.5271838602329451</v>
      </c>
      <c r="AF32" s="369">
        <f>(60.2+67.5)/(64.1+56.6)*AE32</f>
        <v>0.5577579034941764</v>
      </c>
      <c r="AG32" s="309">
        <f>AF32/AE32*100-100</f>
        <v>5.7995028997514595</v>
      </c>
      <c r="AH32" s="191" t="s">
        <v>38</v>
      </c>
    </row>
    <row r="33" spans="2:34" ht="12.75" customHeight="1">
      <c r="B33" s="187" t="s">
        <v>39</v>
      </c>
      <c r="C33" s="190">
        <v>1.44</v>
      </c>
      <c r="D33" s="190">
        <v>1.97</v>
      </c>
      <c r="E33" s="189">
        <v>2.01</v>
      </c>
      <c r="F33" s="189">
        <v>1.93</v>
      </c>
      <c r="G33" s="189">
        <v>1.91</v>
      </c>
      <c r="H33" s="189">
        <v>1.91</v>
      </c>
      <c r="I33" s="189">
        <v>1.89</v>
      </c>
      <c r="J33" s="189">
        <v>1.94</v>
      </c>
      <c r="K33" s="223">
        <v>1.98</v>
      </c>
      <c r="L33" s="189">
        <f>1.496+0.375</f>
        <v>1.871</v>
      </c>
      <c r="M33" s="189">
        <f>1.505+0.374</f>
        <v>1.879</v>
      </c>
      <c r="N33" s="189">
        <f>1.526+0.38</f>
        <v>1.9060000000000001</v>
      </c>
      <c r="O33" s="189">
        <f>1.588+0.394</f>
        <v>1.9820000000000002</v>
      </c>
      <c r="P33" s="189">
        <f>1.581+0.41</f>
        <v>1.9909999999999999</v>
      </c>
      <c r="Q33" s="189">
        <f>1.578+0.415</f>
        <v>1.993</v>
      </c>
      <c r="R33" s="189">
        <f>1.558+0.436</f>
        <v>1.994</v>
      </c>
      <c r="S33" s="189">
        <f>1.556+0.462</f>
        <v>2.0180000000000002</v>
      </c>
      <c r="T33" s="189">
        <f>1.541+0.473</f>
        <v>2.014</v>
      </c>
      <c r="U33" s="189">
        <f>1.657+0.482</f>
        <v>2.1390000000000002</v>
      </c>
      <c r="V33" s="189">
        <f>1.69+0.514</f>
        <v>2.2039999999999997</v>
      </c>
      <c r="W33" s="189">
        <f>1.715+0.524</f>
        <v>2.239</v>
      </c>
      <c r="X33" s="189">
        <f>1.715+0.524</f>
        <v>2.239</v>
      </c>
      <c r="Y33" s="189">
        <f>1.731+0.549</f>
        <v>2.2800000000000002</v>
      </c>
      <c r="Z33" s="189">
        <f>1.725+0.615</f>
        <v>2.34</v>
      </c>
      <c r="AA33" s="189">
        <f>1.796+0.577</f>
        <v>2.373</v>
      </c>
      <c r="AB33" s="189">
        <v>2.449</v>
      </c>
      <c r="AC33" s="189">
        <v>2.443</v>
      </c>
      <c r="AD33" s="189">
        <f>1.892+0.6078</f>
        <v>2.4998</v>
      </c>
      <c r="AE33" s="189">
        <f>1.953+0.655</f>
        <v>2.608</v>
      </c>
      <c r="AF33" s="189">
        <f>1.979+0.668</f>
        <v>2.6470000000000002</v>
      </c>
      <c r="AG33" s="305">
        <f>AF33/AE33*100-100</f>
        <v>1.4953987730061442</v>
      </c>
      <c r="AH33" s="187" t="s">
        <v>39</v>
      </c>
    </row>
    <row r="34" spans="2:34" ht="12.75" customHeight="1">
      <c r="B34" s="191" t="s">
        <v>28</v>
      </c>
      <c r="C34" s="205">
        <v>5.2</v>
      </c>
      <c r="D34" s="205">
        <v>4.3</v>
      </c>
      <c r="E34" s="193">
        <v>6.5</v>
      </c>
      <c r="F34" s="193">
        <v>6.24</v>
      </c>
      <c r="G34" s="193">
        <v>6.15</v>
      </c>
      <c r="H34" s="193">
        <v>6.24</v>
      </c>
      <c r="I34" s="193">
        <v>6.507</v>
      </c>
      <c r="J34" s="193">
        <v>6.811</v>
      </c>
      <c r="K34" s="193">
        <v>6.648</v>
      </c>
      <c r="L34" s="193">
        <v>6.998</v>
      </c>
      <c r="M34" s="193">
        <f>6.716+0.632</f>
        <v>7.348</v>
      </c>
      <c r="N34" s="193">
        <f>7.171+0.714</f>
        <v>7.885</v>
      </c>
      <c r="O34" s="193">
        <f>7.47+0.869</f>
        <v>8.339</v>
      </c>
      <c r="P34" s="193">
        <f>7.451+0.895</f>
        <v>8.346</v>
      </c>
      <c r="Q34" s="193">
        <f>7.367+0.961</f>
        <v>8.328</v>
      </c>
      <c r="R34" s="193">
        <f>7.34+0.96</f>
        <v>8.3</v>
      </c>
      <c r="S34" s="193">
        <f>7.606+1.079</f>
        <v>8.685</v>
      </c>
      <c r="T34" s="193">
        <f>7.586+1.1</f>
        <v>8.686</v>
      </c>
      <c r="U34" s="193">
        <f>7.947+1.177</f>
        <v>9.124</v>
      </c>
      <c r="V34" s="193">
        <f>8.352+1.1244</f>
        <v>9.4764</v>
      </c>
      <c r="W34" s="193">
        <f>8.646+1.251</f>
        <v>9.897</v>
      </c>
      <c r="X34" s="193">
        <f>8.457+1.271</f>
        <v>9.728000000000002</v>
      </c>
      <c r="Y34" s="193">
        <f>8.875+1.31</f>
        <v>10.185</v>
      </c>
      <c r="Z34" s="193">
        <f>9.519+0.8249*1.60934+0.0412</f>
        <v>10.887744566</v>
      </c>
      <c r="AA34" s="193">
        <f>10.099+0.0402+0.8822*1.609</f>
        <v>11.558659800000001</v>
      </c>
      <c r="AB34" s="308">
        <f>10.422+0.0406+1.4845</f>
        <v>11.9471</v>
      </c>
      <c r="AC34" s="308">
        <f>10.847+0.0414+1.6047+0.009</f>
        <v>12.502099999999999</v>
      </c>
      <c r="AD34" s="445">
        <f>11.457+0.0363+1.0703*1.609344+0.011</f>
        <v>13.2267808832</v>
      </c>
      <c r="AE34" s="445">
        <f>1.1462*1.609344+11.797+0.0353+0.012</f>
        <v>13.688930092800002</v>
      </c>
      <c r="AF34" s="445">
        <f>12.578+0.014+1.1325*1.609344+0.0353</f>
        <v>14.449882079999998</v>
      </c>
      <c r="AG34" s="309">
        <f>AF34/AE34*100-100</f>
        <v>5.5588857715055155</v>
      </c>
      <c r="AH34" s="191" t="s">
        <v>28</v>
      </c>
    </row>
    <row r="35" spans="2:34" ht="12.75" customHeight="1">
      <c r="B35" s="210" t="s">
        <v>112</v>
      </c>
      <c r="C35" s="338" t="s">
        <v>43</v>
      </c>
      <c r="D35" s="338" t="s">
        <v>43</v>
      </c>
      <c r="E35" s="339" t="s">
        <v>43</v>
      </c>
      <c r="F35" s="339" t="s">
        <v>43</v>
      </c>
      <c r="G35" s="339" t="s">
        <v>43</v>
      </c>
      <c r="H35" s="339" t="s">
        <v>43</v>
      </c>
      <c r="I35" s="339" t="s">
        <v>43</v>
      </c>
      <c r="J35" s="339" t="s">
        <v>43</v>
      </c>
      <c r="K35" s="339" t="s">
        <v>43</v>
      </c>
      <c r="L35" s="339" t="s">
        <v>43</v>
      </c>
      <c r="M35" s="339" t="s">
        <v>43</v>
      </c>
      <c r="N35" s="339" t="s">
        <v>43</v>
      </c>
      <c r="O35" s="339" t="s">
        <v>43</v>
      </c>
      <c r="P35" s="339" t="s">
        <v>43</v>
      </c>
      <c r="Q35" s="339" t="s">
        <v>43</v>
      </c>
      <c r="R35" s="339" t="s">
        <v>43</v>
      </c>
      <c r="S35" s="339" t="s">
        <v>43</v>
      </c>
      <c r="T35" s="339" t="s">
        <v>43</v>
      </c>
      <c r="U35" s="339" t="s">
        <v>43</v>
      </c>
      <c r="V35" s="339" t="s">
        <v>43</v>
      </c>
      <c r="W35" s="339" t="s">
        <v>43</v>
      </c>
      <c r="X35" s="339" t="s">
        <v>43</v>
      </c>
      <c r="Y35" s="339" t="s">
        <v>43</v>
      </c>
      <c r="Z35" s="339" t="s">
        <v>43</v>
      </c>
      <c r="AA35" s="339" t="s">
        <v>43</v>
      </c>
      <c r="AB35" s="339" t="s">
        <v>43</v>
      </c>
      <c r="AC35" s="365" t="s">
        <v>43</v>
      </c>
      <c r="AD35" s="365" t="s">
        <v>43</v>
      </c>
      <c r="AE35" s="365" t="s">
        <v>43</v>
      </c>
      <c r="AF35" s="365" t="s">
        <v>43</v>
      </c>
      <c r="AG35" s="340" t="s">
        <v>43</v>
      </c>
      <c r="AH35" s="210" t="s">
        <v>112</v>
      </c>
    </row>
    <row r="36" spans="2:34" ht="12.75" customHeight="1">
      <c r="B36" s="191" t="s">
        <v>103</v>
      </c>
      <c r="C36" s="304" t="s">
        <v>43</v>
      </c>
      <c r="D36" s="304" t="s">
        <v>43</v>
      </c>
      <c r="E36" s="303" t="s">
        <v>43</v>
      </c>
      <c r="F36" s="303" t="s">
        <v>43</v>
      </c>
      <c r="G36" s="303" t="s">
        <v>43</v>
      </c>
      <c r="H36" s="302" t="s">
        <v>43</v>
      </c>
      <c r="I36" s="302" t="s">
        <v>43</v>
      </c>
      <c r="J36" s="302" t="s">
        <v>43</v>
      </c>
      <c r="K36" s="302" t="s">
        <v>43</v>
      </c>
      <c r="L36" s="302" t="s">
        <v>43</v>
      </c>
      <c r="M36" s="302" t="s">
        <v>43</v>
      </c>
      <c r="N36" s="302" t="s">
        <v>43</v>
      </c>
      <c r="O36" s="302" t="s">
        <v>43</v>
      </c>
      <c r="P36" s="302" t="s">
        <v>43</v>
      </c>
      <c r="Q36" s="302" t="s">
        <v>43</v>
      </c>
      <c r="R36" s="302" t="s">
        <v>43</v>
      </c>
      <c r="S36" s="302" t="s">
        <v>43</v>
      </c>
      <c r="T36" s="302" t="s">
        <v>43</v>
      </c>
      <c r="U36" s="302" t="s">
        <v>43</v>
      </c>
      <c r="V36" s="302" t="s">
        <v>43</v>
      </c>
      <c r="W36" s="302" t="s">
        <v>43</v>
      </c>
      <c r="X36" s="302" t="s">
        <v>43</v>
      </c>
      <c r="Y36" s="302" t="s">
        <v>43</v>
      </c>
      <c r="Z36" s="302" t="s">
        <v>43</v>
      </c>
      <c r="AA36" s="302" t="s">
        <v>43</v>
      </c>
      <c r="AB36" s="302" t="s">
        <v>43</v>
      </c>
      <c r="AC36" s="302" t="s">
        <v>43</v>
      </c>
      <c r="AD36" s="302" t="s">
        <v>43</v>
      </c>
      <c r="AE36" s="302" t="s">
        <v>43</v>
      </c>
      <c r="AF36" s="302" t="s">
        <v>43</v>
      </c>
      <c r="AG36" s="301" t="s">
        <v>43</v>
      </c>
      <c r="AH36" s="191" t="s">
        <v>103</v>
      </c>
    </row>
    <row r="37" spans="2:34" ht="12.75" customHeight="1">
      <c r="B37" s="187" t="s">
        <v>6</v>
      </c>
      <c r="C37" s="307" t="s">
        <v>43</v>
      </c>
      <c r="D37" s="307" t="s">
        <v>43</v>
      </c>
      <c r="E37" s="306" t="s">
        <v>43</v>
      </c>
      <c r="F37" s="306" t="s">
        <v>43</v>
      </c>
      <c r="G37" s="306" t="s">
        <v>43</v>
      </c>
      <c r="H37" s="306" t="s">
        <v>43</v>
      </c>
      <c r="I37" s="306" t="s">
        <v>43</v>
      </c>
      <c r="J37" s="306" t="s">
        <v>43</v>
      </c>
      <c r="K37" s="306" t="s">
        <v>43</v>
      </c>
      <c r="L37" s="306" t="s">
        <v>43</v>
      </c>
      <c r="M37" s="306" t="s">
        <v>43</v>
      </c>
      <c r="N37" s="306" t="s">
        <v>43</v>
      </c>
      <c r="O37" s="306" t="s">
        <v>43</v>
      </c>
      <c r="P37" s="306" t="s">
        <v>43</v>
      </c>
      <c r="Q37" s="306" t="s">
        <v>43</v>
      </c>
      <c r="R37" s="306" t="s">
        <v>43</v>
      </c>
      <c r="S37" s="306" t="s">
        <v>43</v>
      </c>
      <c r="T37" s="306" t="s">
        <v>43</v>
      </c>
      <c r="U37" s="306" t="s">
        <v>43</v>
      </c>
      <c r="V37" s="306" t="s">
        <v>43</v>
      </c>
      <c r="W37" s="306" t="s">
        <v>43</v>
      </c>
      <c r="X37" s="306" t="s">
        <v>43</v>
      </c>
      <c r="Y37" s="306" t="s">
        <v>43</v>
      </c>
      <c r="Z37" s="306" t="s">
        <v>43</v>
      </c>
      <c r="AA37" s="306" t="s">
        <v>43</v>
      </c>
      <c r="AB37" s="306" t="s">
        <v>43</v>
      </c>
      <c r="AC37" s="306" t="s">
        <v>43</v>
      </c>
      <c r="AD37" s="306" t="s">
        <v>43</v>
      </c>
      <c r="AE37" s="306" t="s">
        <v>43</v>
      </c>
      <c r="AF37" s="306" t="s">
        <v>43</v>
      </c>
      <c r="AG37" s="305" t="s">
        <v>43</v>
      </c>
      <c r="AH37" s="187" t="s">
        <v>6</v>
      </c>
    </row>
    <row r="38" spans="2:34" ht="12.75" customHeight="1">
      <c r="B38" s="191" t="s">
        <v>104</v>
      </c>
      <c r="C38" s="304"/>
      <c r="D38" s="304"/>
      <c r="E38" s="303"/>
      <c r="F38" s="303"/>
      <c r="G38" s="303"/>
      <c r="H38" s="303"/>
      <c r="I38" s="303"/>
      <c r="J38" s="303"/>
      <c r="K38" s="303"/>
      <c r="L38" s="303"/>
      <c r="M38" s="303"/>
      <c r="N38" s="303"/>
      <c r="O38" s="303"/>
      <c r="P38" s="303"/>
      <c r="Q38" s="303"/>
      <c r="R38" s="303"/>
      <c r="S38" s="303"/>
      <c r="T38" s="303"/>
      <c r="U38" s="303"/>
      <c r="V38" s="303"/>
      <c r="W38" s="302"/>
      <c r="X38" s="302"/>
      <c r="Y38" s="203">
        <v>0.43019567558770144</v>
      </c>
      <c r="Z38" s="203">
        <v>0.4353952054618243</v>
      </c>
      <c r="AA38" s="203">
        <v>0.45043191350042133</v>
      </c>
      <c r="AB38" s="203">
        <v>0.46382932349263195</v>
      </c>
      <c r="AC38" s="203">
        <v>0.4649097849213302</v>
      </c>
      <c r="AD38" s="203">
        <v>0.425869412746633</v>
      </c>
      <c r="AE38" s="203">
        <v>0.487535107614979</v>
      </c>
      <c r="AF38" s="203">
        <v>0.631</v>
      </c>
      <c r="AG38" s="301">
        <f>AF38/AE38*100-100</f>
        <v>29.426576700671063</v>
      </c>
      <c r="AH38" s="191" t="s">
        <v>104</v>
      </c>
    </row>
    <row r="39" spans="1:34" s="201" customFormat="1" ht="12.75" customHeight="1">
      <c r="A39" s="206"/>
      <c r="B39" s="195" t="s">
        <v>24</v>
      </c>
      <c r="C39" s="190"/>
      <c r="D39" s="190"/>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300"/>
      <c r="AH39" s="195" t="s">
        <v>24</v>
      </c>
    </row>
    <row r="40" spans="1:34" s="201" customFormat="1" ht="12.75" customHeight="1">
      <c r="A40" s="206"/>
      <c r="B40" s="191" t="s">
        <v>10</v>
      </c>
      <c r="C40" s="299" t="s">
        <v>43</v>
      </c>
      <c r="D40" s="299" t="s">
        <v>43</v>
      </c>
      <c r="E40" s="298" t="s">
        <v>43</v>
      </c>
      <c r="F40" s="298" t="s">
        <v>43</v>
      </c>
      <c r="G40" s="298" t="s">
        <v>43</v>
      </c>
      <c r="H40" s="298" t="s">
        <v>43</v>
      </c>
      <c r="I40" s="298" t="s">
        <v>43</v>
      </c>
      <c r="J40" s="298" t="s">
        <v>43</v>
      </c>
      <c r="K40" s="298" t="s">
        <v>43</v>
      </c>
      <c r="L40" s="298" t="s">
        <v>43</v>
      </c>
      <c r="M40" s="298" t="s">
        <v>43</v>
      </c>
      <c r="N40" s="298" t="s">
        <v>43</v>
      </c>
      <c r="O40" s="298" t="s">
        <v>43</v>
      </c>
      <c r="P40" s="298" t="s">
        <v>43</v>
      </c>
      <c r="Q40" s="298" t="s">
        <v>43</v>
      </c>
      <c r="R40" s="298" t="s">
        <v>43</v>
      </c>
      <c r="S40" s="298" t="s">
        <v>43</v>
      </c>
      <c r="T40" s="298" t="s">
        <v>43</v>
      </c>
      <c r="U40" s="298" t="s">
        <v>43</v>
      </c>
      <c r="V40" s="298" t="s">
        <v>43</v>
      </c>
      <c r="W40" s="298" t="s">
        <v>43</v>
      </c>
      <c r="X40" s="298" t="s">
        <v>43</v>
      </c>
      <c r="Y40" s="298" t="s">
        <v>43</v>
      </c>
      <c r="Z40" s="298" t="s">
        <v>43</v>
      </c>
      <c r="AA40" s="298" t="s">
        <v>43</v>
      </c>
      <c r="AB40" s="298" t="s">
        <v>43</v>
      </c>
      <c r="AC40" s="366" t="s">
        <v>43</v>
      </c>
      <c r="AD40" s="366" t="s">
        <v>43</v>
      </c>
      <c r="AE40" s="366" t="s">
        <v>43</v>
      </c>
      <c r="AF40" s="366" t="s">
        <v>43</v>
      </c>
      <c r="AG40" s="297" t="s">
        <v>43</v>
      </c>
      <c r="AH40" s="191" t="s">
        <v>10</v>
      </c>
    </row>
    <row r="41" spans="2:34" ht="12.75" customHeight="1">
      <c r="B41" s="187" t="s">
        <v>40</v>
      </c>
      <c r="C41" s="190">
        <v>0.428</v>
      </c>
      <c r="D41" s="190">
        <v>0.501</v>
      </c>
      <c r="E41" s="189">
        <v>0.419</v>
      </c>
      <c r="F41" s="223">
        <v>0.42</v>
      </c>
      <c r="G41" s="189">
        <v>0.349</v>
      </c>
      <c r="H41" s="189">
        <v>0.37</v>
      </c>
      <c r="I41" s="189">
        <v>0.375</v>
      </c>
      <c r="J41" s="189">
        <v>0.381</v>
      </c>
      <c r="K41" s="189">
        <v>0.419</v>
      </c>
      <c r="L41" s="189">
        <v>0.427</v>
      </c>
      <c r="M41" s="189">
        <v>0.469</v>
      </c>
      <c r="N41" s="189">
        <v>0.507</v>
      </c>
      <c r="O41" s="189">
        <v>0.496</v>
      </c>
      <c r="P41" s="189">
        <v>0.508</v>
      </c>
      <c r="Q41" s="189">
        <v>0.498</v>
      </c>
      <c r="R41" s="189">
        <v>0.476</v>
      </c>
      <c r="S41" s="189">
        <v>0.458</v>
      </c>
      <c r="T41" s="189">
        <v>0.518</v>
      </c>
      <c r="U41" s="189">
        <v>0.508</v>
      </c>
      <c r="V41" s="189">
        <v>0.535</v>
      </c>
      <c r="W41" s="189">
        <v>0.572</v>
      </c>
      <c r="X41" s="189">
        <v>0.588</v>
      </c>
      <c r="Y41" s="189">
        <v>0.62</v>
      </c>
      <c r="Z41" s="189">
        <v>0.631</v>
      </c>
      <c r="AA41" s="189">
        <v>0.660384</v>
      </c>
      <c r="AB41" s="189">
        <v>0.728919</v>
      </c>
      <c r="AC41" s="189">
        <v>0.752</v>
      </c>
      <c r="AD41" s="189">
        <v>0.809</v>
      </c>
      <c r="AE41" s="189">
        <v>0.883</v>
      </c>
      <c r="AF41" s="296">
        <v>0.958</v>
      </c>
      <c r="AG41" s="571">
        <f>AF41/AE41*100-100</f>
        <v>8.493771234428067</v>
      </c>
      <c r="AH41" s="187" t="s">
        <v>40</v>
      </c>
    </row>
    <row r="42" spans="1:34" s="201" customFormat="1" ht="12.75" customHeight="1">
      <c r="A42" s="206"/>
      <c r="B42" s="182" t="s">
        <v>11</v>
      </c>
      <c r="C42" s="186"/>
      <c r="D42" s="186"/>
      <c r="E42" s="184"/>
      <c r="F42" s="184"/>
      <c r="G42" s="184"/>
      <c r="H42" s="184"/>
      <c r="I42" s="184"/>
      <c r="J42" s="184">
        <v>1.5002</v>
      </c>
      <c r="K42" s="184">
        <v>1.5463</v>
      </c>
      <c r="L42" s="184">
        <v>1.5072</v>
      </c>
      <c r="M42" s="184">
        <v>1.3951</v>
      </c>
      <c r="N42" s="184">
        <v>1.403</v>
      </c>
      <c r="O42" s="184">
        <v>1.403</v>
      </c>
      <c r="P42" s="184">
        <v>1.4358</v>
      </c>
      <c r="Q42" s="184">
        <v>1.4478</v>
      </c>
      <c r="R42" s="184">
        <v>1.4394</v>
      </c>
      <c r="S42" s="214">
        <v>1.4695</v>
      </c>
      <c r="T42" s="184">
        <v>0.7815</v>
      </c>
      <c r="U42" s="184">
        <v>0.7864</v>
      </c>
      <c r="V42" s="184">
        <v>0.8226</v>
      </c>
      <c r="W42" s="184">
        <v>0.9031</v>
      </c>
      <c r="X42" s="184">
        <v>0.9346</v>
      </c>
      <c r="Y42" s="184">
        <v>0.9782</v>
      </c>
      <c r="Z42" s="184">
        <v>1.0706</v>
      </c>
      <c r="AA42" s="184">
        <v>1.1303</v>
      </c>
      <c r="AB42" s="184">
        <v>1.12</v>
      </c>
      <c r="AC42" s="358">
        <v>1.1303</v>
      </c>
      <c r="AD42" s="358">
        <v>1.1533</v>
      </c>
      <c r="AE42" s="411">
        <v>1.1751</v>
      </c>
      <c r="AF42" s="433">
        <v>1.177</v>
      </c>
      <c r="AG42" s="572">
        <f>AF42/AE42*100-100</f>
        <v>0.16168836694750155</v>
      </c>
      <c r="AH42" s="182" t="s">
        <v>11</v>
      </c>
    </row>
    <row r="43" spans="2:33" ht="12.75" customHeight="1">
      <c r="B43" s="597" t="s">
        <v>76</v>
      </c>
      <c r="C43" s="597"/>
      <c r="D43" s="597"/>
      <c r="E43" s="597"/>
      <c r="F43" s="597"/>
      <c r="G43" s="597"/>
      <c r="H43" s="597"/>
      <c r="I43" s="597"/>
      <c r="J43" s="597"/>
      <c r="K43" s="597"/>
      <c r="L43" s="597"/>
      <c r="M43" s="597"/>
      <c r="N43" s="597"/>
      <c r="O43" s="597"/>
      <c r="P43" s="597"/>
      <c r="Q43" s="597"/>
      <c r="R43" s="597"/>
      <c r="S43" s="597"/>
      <c r="T43" s="597"/>
      <c r="U43" s="597"/>
      <c r="V43" s="597"/>
      <c r="W43" s="597"/>
      <c r="X43" s="597"/>
      <c r="Y43" s="597"/>
      <c r="Z43" s="597"/>
      <c r="AA43" s="597"/>
      <c r="AB43" s="597"/>
      <c r="AC43" s="598"/>
      <c r="AD43" s="598"/>
      <c r="AE43" s="598"/>
      <c r="AF43" s="598"/>
      <c r="AG43" s="597"/>
    </row>
    <row r="44" spans="1:34" s="201" customFormat="1" ht="12.75" customHeight="1">
      <c r="A44" s="206"/>
      <c r="B44" s="271" t="s">
        <v>7</v>
      </c>
      <c r="C44" s="295"/>
      <c r="D44" s="295"/>
      <c r="E44" s="295"/>
      <c r="F44" s="295"/>
      <c r="G44" s="295"/>
      <c r="H44" s="267"/>
      <c r="I44" s="295"/>
      <c r="J44" s="295"/>
      <c r="K44" s="295"/>
      <c r="L44" s="295"/>
      <c r="M44" s="295"/>
      <c r="N44" s="295"/>
      <c r="O44" s="295"/>
      <c r="P44" s="276"/>
      <c r="Q44" s="267"/>
      <c r="R44" s="268"/>
      <c r="S44" s="295"/>
      <c r="T44" s="295"/>
      <c r="U44" s="295"/>
      <c r="V44" s="295"/>
      <c r="W44" s="295"/>
      <c r="X44" s="295"/>
      <c r="Y44" s="295"/>
      <c r="Z44" s="295"/>
      <c r="AA44" s="295"/>
      <c r="AB44" s="295"/>
      <c r="AC44" s="295"/>
      <c r="AD44" s="295"/>
      <c r="AE44" s="295"/>
      <c r="AF44" s="295"/>
      <c r="AG44" s="180"/>
      <c r="AH44" s="257"/>
    </row>
    <row r="45" spans="2:33" ht="14.25" customHeight="1">
      <c r="B45" s="169" t="s">
        <v>156</v>
      </c>
      <c r="C45" s="169"/>
      <c r="D45" s="169"/>
      <c r="E45" s="169"/>
      <c r="F45" s="169"/>
      <c r="G45" s="169"/>
      <c r="H45" s="169"/>
      <c r="I45" s="169"/>
      <c r="J45" s="169"/>
      <c r="K45" s="169"/>
      <c r="L45" s="169"/>
      <c r="M45" s="169"/>
      <c r="N45" s="169"/>
      <c r="O45" s="169"/>
      <c r="P45" s="169"/>
      <c r="Q45" s="169"/>
      <c r="R45" s="169"/>
      <c r="S45" s="293"/>
      <c r="T45" s="293"/>
      <c r="U45" s="293"/>
      <c r="V45" s="293"/>
      <c r="W45" s="293"/>
      <c r="X45" s="293"/>
      <c r="Y45" s="293"/>
      <c r="Z45" s="293"/>
      <c r="AA45" s="293"/>
      <c r="AB45" s="293"/>
      <c r="AC45" s="293"/>
      <c r="AD45" s="293"/>
      <c r="AE45" s="293"/>
      <c r="AF45" s="293"/>
      <c r="AG45" s="292"/>
    </row>
    <row r="46" spans="2:33" ht="12.75" customHeight="1">
      <c r="B46" s="168" t="s">
        <v>118</v>
      </c>
      <c r="N46" s="294"/>
      <c r="O46" s="294"/>
      <c r="P46" s="294"/>
      <c r="Q46" s="294"/>
      <c r="R46" s="294"/>
      <c r="S46" s="294"/>
      <c r="T46" s="391"/>
      <c r="U46" s="391"/>
      <c r="V46" s="391"/>
      <c r="W46" s="391"/>
      <c r="X46" s="391"/>
      <c r="Y46" s="391"/>
      <c r="Z46" s="391"/>
      <c r="AA46" s="391"/>
      <c r="AB46" s="391"/>
      <c r="AC46" s="391"/>
      <c r="AD46" s="391"/>
      <c r="AE46" s="391"/>
      <c r="AF46" s="391"/>
      <c r="AG46" s="573"/>
    </row>
    <row r="47" spans="2:33" ht="12.75" customHeight="1">
      <c r="B47" s="168" t="s">
        <v>119</v>
      </c>
      <c r="C47" s="169"/>
      <c r="D47" s="169"/>
      <c r="E47" s="169"/>
      <c r="F47" s="169"/>
      <c r="G47" s="169"/>
      <c r="H47" s="169"/>
      <c r="I47" s="169"/>
      <c r="J47" s="164"/>
      <c r="K47" s="164"/>
      <c r="L47" s="164"/>
      <c r="M47" s="164"/>
      <c r="N47" s="164"/>
      <c r="O47" s="164"/>
      <c r="P47" s="169"/>
      <c r="Q47" s="169"/>
      <c r="R47" s="169"/>
      <c r="S47" s="292"/>
      <c r="T47" s="292"/>
      <c r="U47" s="292"/>
      <c r="V47" s="292"/>
      <c r="W47" s="292"/>
      <c r="X47" s="292"/>
      <c r="Y47" s="292"/>
      <c r="Z47" s="292"/>
      <c r="AA47" s="335"/>
      <c r="AB47" s="292"/>
      <c r="AC47" s="292"/>
      <c r="AD47" s="292"/>
      <c r="AE47" s="292"/>
      <c r="AF47" s="292"/>
      <c r="AG47" s="292"/>
    </row>
    <row r="48" spans="2:33" ht="12.75" customHeight="1">
      <c r="B48" s="169" t="s">
        <v>117</v>
      </c>
      <c r="V48" s="292"/>
      <c r="W48" s="292"/>
      <c r="X48" s="292"/>
      <c r="Y48" s="292"/>
      <c r="Z48" s="292"/>
      <c r="AA48" s="335"/>
      <c r="AB48" s="292"/>
      <c r="AC48" s="292"/>
      <c r="AD48" s="292"/>
      <c r="AE48" s="292"/>
      <c r="AF48" s="292"/>
      <c r="AG48" s="292"/>
    </row>
    <row r="49" spans="1:33" ht="12.75" customHeight="1">
      <c r="A49" s="165"/>
      <c r="B49" s="222" t="s">
        <v>121</v>
      </c>
      <c r="V49" s="292"/>
      <c r="W49" s="292"/>
      <c r="X49" s="292"/>
      <c r="Y49" s="292"/>
      <c r="Z49" s="292"/>
      <c r="AA49" s="335"/>
      <c r="AB49" s="292"/>
      <c r="AC49" s="292"/>
      <c r="AD49" s="292"/>
      <c r="AE49" s="292"/>
      <c r="AF49" s="292"/>
      <c r="AG49" s="292"/>
    </row>
    <row r="50" spans="1:26" ht="12.75" customHeight="1">
      <c r="A50" s="165"/>
      <c r="B50" s="222" t="s">
        <v>134</v>
      </c>
      <c r="V50" s="292"/>
      <c r="W50" s="292"/>
      <c r="X50" s="292"/>
      <c r="Y50" s="292"/>
      <c r="Z50" s="292"/>
    </row>
    <row r="51" spans="1:26" ht="11.25">
      <c r="A51" s="165"/>
      <c r="V51" s="292"/>
      <c r="W51" s="292"/>
      <c r="X51" s="292"/>
      <c r="Y51" s="292"/>
      <c r="Z51" s="292"/>
    </row>
    <row r="52" spans="1:26" ht="11.25">
      <c r="A52" s="165"/>
      <c r="P52" s="508"/>
      <c r="V52" s="292"/>
      <c r="W52" s="292"/>
      <c r="X52" s="292"/>
      <c r="Y52" s="292"/>
      <c r="Z52" s="292"/>
    </row>
  </sheetData>
  <sheetProtection/>
  <mergeCells count="2">
    <mergeCell ref="B2:AG2"/>
    <mergeCell ref="B43:AG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0"/>
  </sheetPr>
  <dimension ref="A1:AR46"/>
  <sheetViews>
    <sheetView tabSelected="1" zoomScalePageLayoutView="0" workbookViewId="0" topLeftCell="J4">
      <selection activeCell="P46" sqref="P46"/>
    </sheetView>
  </sheetViews>
  <sheetFormatPr defaultColWidth="9.140625" defaultRowHeight="12.75"/>
  <cols>
    <col min="1" max="1" width="2.7109375" style="165" customWidth="1"/>
    <col min="2" max="2" width="4.00390625" style="165" customWidth="1"/>
    <col min="3" max="20" width="6.7109375" style="165" customWidth="1"/>
    <col min="21" max="32" width="7.28125" style="165" customWidth="1"/>
    <col min="33" max="38" width="9.00390625" style="165" customWidth="1"/>
    <col min="39" max="39" width="6.00390625" style="523" customWidth="1"/>
    <col min="40" max="40" width="5.421875" style="165" customWidth="1"/>
    <col min="41" max="16384" width="9.140625" style="165" customWidth="1"/>
  </cols>
  <sheetData>
    <row r="1" spans="2:40" ht="14.25" customHeight="1">
      <c r="B1" s="262"/>
      <c r="C1" s="261"/>
      <c r="D1" s="261"/>
      <c r="E1" s="261"/>
      <c r="F1" s="261"/>
      <c r="G1" s="261"/>
      <c r="H1" s="261"/>
      <c r="I1" s="261"/>
      <c r="J1" s="261"/>
      <c r="K1" s="261"/>
      <c r="L1" s="261"/>
      <c r="M1" s="261"/>
      <c r="N1" s="261"/>
      <c r="O1" s="261"/>
      <c r="P1" s="261"/>
      <c r="Q1" s="334"/>
      <c r="U1" s="259"/>
      <c r="V1" s="259"/>
      <c r="W1" s="259"/>
      <c r="X1" s="259"/>
      <c r="Y1" s="259"/>
      <c r="Z1" s="259"/>
      <c r="AA1" s="259"/>
      <c r="AB1" s="259"/>
      <c r="AC1" s="259"/>
      <c r="AD1" s="259"/>
      <c r="AE1" s="259"/>
      <c r="AF1" s="259"/>
      <c r="AG1" s="259"/>
      <c r="AH1" s="259"/>
      <c r="AI1" s="259"/>
      <c r="AJ1" s="259"/>
      <c r="AK1" s="259"/>
      <c r="AL1" s="259"/>
      <c r="AN1" s="259" t="s">
        <v>90</v>
      </c>
    </row>
    <row r="2" spans="2:40" s="169" customFormat="1" ht="30" customHeight="1">
      <c r="B2" s="599" t="s">
        <v>47</v>
      </c>
      <c r="C2" s="599"/>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c r="AD2" s="599"/>
      <c r="AE2" s="599"/>
      <c r="AF2" s="599"/>
      <c r="AG2" s="599"/>
      <c r="AH2" s="599"/>
      <c r="AI2" s="599"/>
      <c r="AJ2" s="599"/>
      <c r="AK2" s="599"/>
      <c r="AL2" s="599"/>
      <c r="AM2" s="599"/>
      <c r="AN2" s="599"/>
    </row>
    <row r="3" spans="3:40" ht="8.25" customHeight="1">
      <c r="C3" s="257"/>
      <c r="D3" s="257"/>
      <c r="E3" s="257"/>
      <c r="F3" s="257"/>
      <c r="G3" s="257"/>
      <c r="H3" s="257"/>
      <c r="I3" s="257"/>
      <c r="J3" s="257"/>
      <c r="K3" s="257"/>
      <c r="L3" s="257"/>
      <c r="M3" s="257"/>
      <c r="N3" s="257"/>
      <c r="O3" s="257"/>
      <c r="P3" s="257"/>
      <c r="Q3" s="257"/>
      <c r="R3" s="257"/>
      <c r="Y3" s="257"/>
      <c r="Z3" s="257"/>
      <c r="AA3" s="257"/>
      <c r="AB3" s="257"/>
      <c r="AF3" s="257" t="s">
        <v>105</v>
      </c>
      <c r="AG3" s="257"/>
      <c r="AH3" s="257"/>
      <c r="AI3" s="257"/>
      <c r="AJ3" s="257"/>
      <c r="AK3" s="257"/>
      <c r="AL3" s="257"/>
      <c r="AM3" s="524"/>
      <c r="AN3" s="257"/>
    </row>
    <row r="4" spans="2:43" ht="24.75" customHeight="1">
      <c r="B4" s="255"/>
      <c r="C4" s="254">
        <v>1970</v>
      </c>
      <c r="D4" s="254">
        <v>1980</v>
      </c>
      <c r="E4" s="253">
        <v>1990</v>
      </c>
      <c r="F4" s="253">
        <v>1991</v>
      </c>
      <c r="G4" s="253">
        <v>1992</v>
      </c>
      <c r="H4" s="253">
        <v>1993</v>
      </c>
      <c r="I4" s="253">
        <v>1994</v>
      </c>
      <c r="J4" s="253">
        <v>1995</v>
      </c>
      <c r="K4" s="253">
        <v>1996</v>
      </c>
      <c r="L4" s="253">
        <v>1997</v>
      </c>
      <c r="M4" s="253">
        <v>1998</v>
      </c>
      <c r="N4" s="253">
        <v>1999</v>
      </c>
      <c r="O4" s="253">
        <v>2000</v>
      </c>
      <c r="P4" s="253">
        <v>2001</v>
      </c>
      <c r="Q4" s="253">
        <v>2002</v>
      </c>
      <c r="R4" s="253">
        <v>2003</v>
      </c>
      <c r="S4" s="253">
        <v>2004</v>
      </c>
      <c r="T4" s="253">
        <v>2005</v>
      </c>
      <c r="U4" s="253">
        <v>2006</v>
      </c>
      <c r="V4" s="253">
        <v>2007</v>
      </c>
      <c r="W4" s="253">
        <v>2008</v>
      </c>
      <c r="X4" s="253">
        <v>2009</v>
      </c>
      <c r="Y4" s="253">
        <v>2010</v>
      </c>
      <c r="Z4" s="253">
        <v>2011</v>
      </c>
      <c r="AA4" s="253">
        <v>2012</v>
      </c>
      <c r="AB4" s="253">
        <v>2013</v>
      </c>
      <c r="AC4" s="355">
        <v>2014</v>
      </c>
      <c r="AD4" s="355">
        <v>2015</v>
      </c>
      <c r="AE4" s="355">
        <v>2016</v>
      </c>
      <c r="AF4" s="355">
        <v>2017</v>
      </c>
      <c r="AG4" s="333"/>
      <c r="AH4" s="333"/>
      <c r="AI4" s="333"/>
      <c r="AJ4" s="333"/>
      <c r="AK4" s="539" t="s">
        <v>111</v>
      </c>
      <c r="AL4" s="333" t="s">
        <v>111</v>
      </c>
      <c r="AM4" s="521" t="s">
        <v>141</v>
      </c>
      <c r="AN4" s="289"/>
      <c r="AQ4" s="380"/>
    </row>
    <row r="5" spans="2:40" ht="9.75" customHeight="1">
      <c r="B5" s="251"/>
      <c r="C5" s="250"/>
      <c r="D5" s="250"/>
      <c r="E5" s="249"/>
      <c r="F5" s="249"/>
      <c r="G5" s="249"/>
      <c r="H5" s="249"/>
      <c r="I5" s="249"/>
      <c r="J5" s="249"/>
      <c r="K5" s="249"/>
      <c r="L5" s="249"/>
      <c r="M5" s="249"/>
      <c r="N5" s="249"/>
      <c r="O5" s="249"/>
      <c r="P5" s="249"/>
      <c r="Q5" s="249"/>
      <c r="R5" s="249"/>
      <c r="S5" s="249"/>
      <c r="T5" s="249"/>
      <c r="U5" s="249"/>
      <c r="V5" s="249"/>
      <c r="W5" s="249"/>
      <c r="X5" s="249"/>
      <c r="Y5" s="249"/>
      <c r="Z5" s="249"/>
      <c r="AA5" s="248"/>
      <c r="AB5" s="248"/>
      <c r="AC5" s="248"/>
      <c r="AD5" s="248"/>
      <c r="AE5" s="248"/>
      <c r="AF5" s="248"/>
      <c r="AG5" s="332">
        <v>2012</v>
      </c>
      <c r="AH5" s="332">
        <v>2013</v>
      </c>
      <c r="AI5" s="372">
        <v>2014</v>
      </c>
      <c r="AJ5" s="372">
        <v>2015</v>
      </c>
      <c r="AK5" s="540">
        <v>2016</v>
      </c>
      <c r="AL5" s="372">
        <v>2017</v>
      </c>
      <c r="AM5" s="522" t="s">
        <v>42</v>
      </c>
      <c r="AN5" s="289"/>
    </row>
    <row r="6" spans="2:40" ht="12.75" customHeight="1">
      <c r="B6" s="415" t="s">
        <v>113</v>
      </c>
      <c r="C6" s="421">
        <f>20.5+SUM(C7:C34)</f>
        <v>330.167</v>
      </c>
      <c r="D6" s="421">
        <f>18+SUM(D7:D34)</f>
        <v>369.59900000000005</v>
      </c>
      <c r="E6" s="416">
        <f aca="true" t="shared" si="0" ref="E6:Y6">SUM(E7:E34)</f>
        <v>395.453</v>
      </c>
      <c r="F6" s="417">
        <f t="shared" si="0"/>
        <v>378.254</v>
      </c>
      <c r="G6" s="418">
        <f t="shared" si="0"/>
        <v>366.755</v>
      </c>
      <c r="H6" s="418">
        <f t="shared" si="0"/>
        <v>341.691</v>
      </c>
      <c r="I6" s="418">
        <f t="shared" si="0"/>
        <v>335.39</v>
      </c>
      <c r="J6" s="418">
        <f t="shared" si="0"/>
        <v>342.92070000000007</v>
      </c>
      <c r="K6" s="418">
        <f t="shared" si="0"/>
        <v>347.8188000000001</v>
      </c>
      <c r="L6" s="418">
        <f t="shared" si="0"/>
        <v>348.03559999999993</v>
      </c>
      <c r="M6" s="418">
        <f t="shared" si="0"/>
        <v>348.1452000000001</v>
      </c>
      <c r="N6" s="418">
        <f t="shared" si="0"/>
        <v>355.2007</v>
      </c>
      <c r="O6" s="418">
        <f>SUM(O7:O34)</f>
        <v>376.9928850249082</v>
      </c>
      <c r="P6" s="418">
        <f t="shared" si="0"/>
        <v>379.2752803094415</v>
      </c>
      <c r="Q6" s="418">
        <f t="shared" si="0"/>
        <v>371.8311026138046</v>
      </c>
      <c r="R6" s="418">
        <f t="shared" si="0"/>
        <v>367.9429475633534</v>
      </c>
      <c r="S6" s="418">
        <f t="shared" si="0"/>
        <v>375.421</v>
      </c>
      <c r="T6" s="418">
        <f t="shared" si="0"/>
        <v>384.46600000000007</v>
      </c>
      <c r="U6" s="418">
        <f t="shared" si="0"/>
        <v>396.67600000000004</v>
      </c>
      <c r="V6" s="418">
        <f t="shared" si="0"/>
        <v>403.83000000000004</v>
      </c>
      <c r="W6" s="418">
        <f t="shared" si="0"/>
        <v>419.58782500000007</v>
      </c>
      <c r="X6" s="418">
        <f t="shared" si="0"/>
        <v>412.01500000000004</v>
      </c>
      <c r="Y6" s="418">
        <f t="shared" si="0"/>
        <v>414.11799999999994</v>
      </c>
      <c r="Z6" s="418">
        <f>SUM(Z7:Z34)</f>
        <v>422.51200000000006</v>
      </c>
      <c r="AA6" s="418">
        <f aca="true" t="shared" si="1" ref="AA6:AF6">SUM(AA7:AA34)</f>
        <v>428.07900000000006</v>
      </c>
      <c r="AB6" s="418">
        <f t="shared" si="1"/>
        <v>433.7439999999999</v>
      </c>
      <c r="AC6" s="418">
        <f t="shared" si="1"/>
        <v>440.98699999999997</v>
      </c>
      <c r="AD6" s="418">
        <f t="shared" si="1"/>
        <v>448.253</v>
      </c>
      <c r="AE6" s="418">
        <f t="shared" si="1"/>
        <v>454.614265</v>
      </c>
      <c r="AF6" s="418">
        <f t="shared" si="1"/>
        <v>469.73400000000004</v>
      </c>
      <c r="AG6" s="419">
        <v>63.99008623127671</v>
      </c>
      <c r="AH6" s="419">
        <v>67.01169230449909</v>
      </c>
      <c r="AI6" s="419">
        <f>0.680708332962707*100</f>
        <v>68.0708332962707</v>
      </c>
      <c r="AJ6" s="419">
        <f>0.663340459*100</f>
        <v>66.3340459</v>
      </c>
      <c r="AK6" s="420">
        <v>64.24061834290735</v>
      </c>
      <c r="AL6" s="420">
        <v>64.37313118439421</v>
      </c>
      <c r="AM6" s="525">
        <f aca="true" t="shared" si="2" ref="AM6:AM18">AF6/AE6*100-100</f>
        <v>3.325838224632065</v>
      </c>
      <c r="AN6" s="415" t="s">
        <v>113</v>
      </c>
    </row>
    <row r="7" spans="1:40" ht="12.75" customHeight="1">
      <c r="A7" s="180"/>
      <c r="B7" s="187" t="s">
        <v>29</v>
      </c>
      <c r="C7" s="231">
        <v>8.26</v>
      </c>
      <c r="D7" s="231">
        <v>6.963</v>
      </c>
      <c r="E7" s="232">
        <v>6.539</v>
      </c>
      <c r="F7" s="232">
        <v>6.77</v>
      </c>
      <c r="G7" s="232">
        <v>6.798</v>
      </c>
      <c r="H7" s="232">
        <v>6.694</v>
      </c>
      <c r="I7" s="232">
        <v>6.638</v>
      </c>
      <c r="J7" s="232">
        <v>6.757</v>
      </c>
      <c r="K7" s="232">
        <v>6.788</v>
      </c>
      <c r="L7" s="232">
        <v>6.98</v>
      </c>
      <c r="M7" s="232">
        <v>7.097</v>
      </c>
      <c r="N7" s="232">
        <v>7.354</v>
      </c>
      <c r="O7" s="232">
        <v>7.734</v>
      </c>
      <c r="P7" s="232">
        <v>8.038</v>
      </c>
      <c r="Q7" s="232">
        <v>8.26</v>
      </c>
      <c r="R7" s="232">
        <v>8.265</v>
      </c>
      <c r="S7" s="232">
        <v>9.225</v>
      </c>
      <c r="T7" s="232">
        <v>8.51</v>
      </c>
      <c r="U7" s="232">
        <v>8.964</v>
      </c>
      <c r="V7" s="232">
        <v>9.403</v>
      </c>
      <c r="W7" s="232">
        <v>10.139</v>
      </c>
      <c r="X7" s="232">
        <v>10.237</v>
      </c>
      <c r="Y7" s="232">
        <v>10.564</v>
      </c>
      <c r="Z7" s="232">
        <v>10.669</v>
      </c>
      <c r="AA7" s="232">
        <v>10.857</v>
      </c>
      <c r="AB7" s="232">
        <v>10.886</v>
      </c>
      <c r="AC7" s="232">
        <v>10.974</v>
      </c>
      <c r="AD7" s="459">
        <v>10.333</v>
      </c>
      <c r="AE7" s="232">
        <v>10.025</v>
      </c>
      <c r="AF7" s="232">
        <v>10.167</v>
      </c>
      <c r="AG7" s="326"/>
      <c r="AH7" s="326">
        <v>89.33492559250413</v>
      </c>
      <c r="AI7" s="326">
        <v>90.4</v>
      </c>
      <c r="AJ7" s="326"/>
      <c r="AK7" s="325"/>
      <c r="AL7" s="325"/>
      <c r="AM7" s="526">
        <f t="shared" si="2"/>
        <v>1.4164588528678337</v>
      </c>
      <c r="AN7" s="187" t="s">
        <v>29</v>
      </c>
    </row>
    <row r="8" spans="1:42" ht="12.75" customHeight="1">
      <c r="A8" s="180"/>
      <c r="B8" s="227" t="s">
        <v>12</v>
      </c>
      <c r="C8" s="228">
        <v>6.224</v>
      </c>
      <c r="D8" s="228">
        <v>7.055</v>
      </c>
      <c r="E8" s="229">
        <v>7.793</v>
      </c>
      <c r="F8" s="229">
        <v>4.866</v>
      </c>
      <c r="G8" s="229">
        <v>5.393</v>
      </c>
      <c r="H8" s="229">
        <v>5.837</v>
      </c>
      <c r="I8" s="229">
        <v>5.059</v>
      </c>
      <c r="J8" s="229">
        <v>4.693</v>
      </c>
      <c r="K8" s="229">
        <v>5.065</v>
      </c>
      <c r="L8" s="229">
        <v>5.886</v>
      </c>
      <c r="M8" s="229">
        <v>4.74</v>
      </c>
      <c r="N8" s="229">
        <v>3.819</v>
      </c>
      <c r="O8" s="229">
        <v>3.472</v>
      </c>
      <c r="P8" s="229">
        <v>2.99</v>
      </c>
      <c r="Q8" s="229">
        <v>2.598</v>
      </c>
      <c r="R8" s="229">
        <v>2.517</v>
      </c>
      <c r="S8" s="229">
        <v>2.404</v>
      </c>
      <c r="T8" s="229">
        <v>2.389</v>
      </c>
      <c r="U8" s="229">
        <v>2.411</v>
      </c>
      <c r="V8" s="229">
        <v>2.404</v>
      </c>
      <c r="W8" s="229">
        <v>2.317</v>
      </c>
      <c r="X8" s="229">
        <v>2.138</v>
      </c>
      <c r="Y8" s="229">
        <v>2.09</v>
      </c>
      <c r="Z8" s="229">
        <v>2.059</v>
      </c>
      <c r="AA8" s="229">
        <v>1.87</v>
      </c>
      <c r="AB8" s="229">
        <v>1.821</v>
      </c>
      <c r="AC8" s="229">
        <v>1.698</v>
      </c>
      <c r="AD8" s="229">
        <v>1.549</v>
      </c>
      <c r="AE8" s="229">
        <v>1.455</v>
      </c>
      <c r="AF8" s="229">
        <v>1.434</v>
      </c>
      <c r="AG8" s="326">
        <v>85.2734163508392</v>
      </c>
      <c r="AH8" s="326">
        <v>88.08347062053817</v>
      </c>
      <c r="AI8" s="326">
        <v>91.2</v>
      </c>
      <c r="AJ8" s="326">
        <v>94.1502383713439</v>
      </c>
      <c r="AK8" s="325">
        <f>0.921942520063104*100</f>
        <v>92.19425200631039</v>
      </c>
      <c r="AL8" s="538">
        <v>94.1502383713439</v>
      </c>
      <c r="AM8" s="527">
        <f t="shared" si="2"/>
        <v>-1.443298969072174</v>
      </c>
      <c r="AN8" s="227" t="s">
        <v>12</v>
      </c>
      <c r="AO8" s="181"/>
      <c r="AP8" s="181"/>
    </row>
    <row r="9" spans="1:40" ht="12.75" customHeight="1">
      <c r="A9" s="180"/>
      <c r="B9" s="187" t="s">
        <v>14</v>
      </c>
      <c r="C9" s="243"/>
      <c r="D9" s="243"/>
      <c r="E9" s="244">
        <v>13.313</v>
      </c>
      <c r="F9" s="317">
        <v>12.5</v>
      </c>
      <c r="G9" s="244">
        <v>11.147</v>
      </c>
      <c r="H9" s="244">
        <v>8.548</v>
      </c>
      <c r="I9" s="244">
        <v>8.481</v>
      </c>
      <c r="J9" s="244">
        <v>8.023</v>
      </c>
      <c r="K9" s="244">
        <v>8.111</v>
      </c>
      <c r="L9" s="244">
        <v>7.71</v>
      </c>
      <c r="M9" s="244">
        <v>7.001</v>
      </c>
      <c r="N9" s="244">
        <v>6.929</v>
      </c>
      <c r="O9" s="244">
        <v>7.3</v>
      </c>
      <c r="P9" s="244">
        <v>7.299</v>
      </c>
      <c r="Q9" s="244">
        <v>6.597</v>
      </c>
      <c r="R9" s="244">
        <v>6.518</v>
      </c>
      <c r="S9" s="244">
        <v>6.58</v>
      </c>
      <c r="T9" s="244">
        <v>6.667</v>
      </c>
      <c r="U9" s="244">
        <v>6.922</v>
      </c>
      <c r="V9" s="244">
        <v>6.898</v>
      </c>
      <c r="W9" s="244">
        <v>6.773</v>
      </c>
      <c r="X9" s="244">
        <v>6.472</v>
      </c>
      <c r="Y9" s="244">
        <v>6.559</v>
      </c>
      <c r="Z9" s="244">
        <v>6.669</v>
      </c>
      <c r="AA9" s="244">
        <v>7.196</v>
      </c>
      <c r="AB9" s="244">
        <v>7.512</v>
      </c>
      <c r="AC9" s="244">
        <v>7.644</v>
      </c>
      <c r="AD9" s="244">
        <v>8.125</v>
      </c>
      <c r="AE9" s="244">
        <v>8.738</v>
      </c>
      <c r="AF9" s="244">
        <v>9.403</v>
      </c>
      <c r="AG9" s="326">
        <v>92.3076923076923</v>
      </c>
      <c r="AH9" s="326"/>
      <c r="AI9" s="326">
        <v>93.2</v>
      </c>
      <c r="AJ9" s="326">
        <v>99.9987949193801</v>
      </c>
      <c r="AK9" s="325">
        <f>0.949903878774172*100</f>
        <v>94.9903878774172</v>
      </c>
      <c r="AL9" s="538">
        <v>84.3</v>
      </c>
      <c r="AM9" s="526">
        <f t="shared" si="2"/>
        <v>7.610437170977363</v>
      </c>
      <c r="AN9" s="187" t="s">
        <v>14</v>
      </c>
    </row>
    <row r="10" spans="1:43" ht="12.75" customHeight="1">
      <c r="A10" s="180"/>
      <c r="B10" s="227" t="s">
        <v>25</v>
      </c>
      <c r="C10" s="228">
        <v>3.898</v>
      </c>
      <c r="D10" s="228">
        <v>3.803</v>
      </c>
      <c r="E10" s="229">
        <v>5.051</v>
      </c>
      <c r="F10" s="229">
        <v>4.913</v>
      </c>
      <c r="G10" s="229">
        <v>4.974</v>
      </c>
      <c r="H10" s="229">
        <v>4.939</v>
      </c>
      <c r="I10" s="229">
        <v>5.052</v>
      </c>
      <c r="J10" s="229">
        <v>4.888</v>
      </c>
      <c r="K10" s="229">
        <v>4.821</v>
      </c>
      <c r="L10" s="229">
        <v>5.173</v>
      </c>
      <c r="M10" s="229">
        <v>5.365</v>
      </c>
      <c r="N10" s="229">
        <v>5.31</v>
      </c>
      <c r="O10" s="229">
        <v>5.537</v>
      </c>
      <c r="P10" s="229">
        <v>5.721</v>
      </c>
      <c r="Q10" s="229">
        <v>5.745</v>
      </c>
      <c r="R10" s="229">
        <v>5.826</v>
      </c>
      <c r="S10" s="229">
        <v>5.946</v>
      </c>
      <c r="T10" s="229">
        <v>5.974</v>
      </c>
      <c r="U10" s="229">
        <v>6.11</v>
      </c>
      <c r="V10" s="229">
        <v>6.176</v>
      </c>
      <c r="W10" s="229">
        <v>6.28</v>
      </c>
      <c r="X10" s="229">
        <v>6.152</v>
      </c>
      <c r="Y10" s="229">
        <v>6.338</v>
      </c>
      <c r="Z10" s="229">
        <v>6.365</v>
      </c>
      <c r="AA10" s="229">
        <v>6.517</v>
      </c>
      <c r="AB10" s="229">
        <v>6.551</v>
      </c>
      <c r="AC10" s="229">
        <v>6.513</v>
      </c>
      <c r="AD10" s="229">
        <v>6.506</v>
      </c>
      <c r="AE10" s="229">
        <f>6.653-0.321</f>
        <v>6.332</v>
      </c>
      <c r="AF10" s="229">
        <v>6.28</v>
      </c>
      <c r="AG10" s="326">
        <v>90.59208653572445</v>
      </c>
      <c r="AH10" s="326">
        <v>95.97230073487846</v>
      </c>
      <c r="AI10" s="326">
        <v>100</v>
      </c>
      <c r="AJ10" s="326">
        <v>100</v>
      </c>
      <c r="AK10" s="325">
        <v>100</v>
      </c>
      <c r="AL10" s="325"/>
      <c r="AM10" s="527">
        <f t="shared" si="2"/>
        <v>-0.8212255211623329</v>
      </c>
      <c r="AN10" s="227" t="s">
        <v>25</v>
      </c>
      <c r="AQ10" s="380"/>
    </row>
    <row r="11" spans="1:40" s="201" customFormat="1" ht="12.75" customHeight="1">
      <c r="A11" s="206"/>
      <c r="B11" s="187" t="s">
        <v>30</v>
      </c>
      <c r="C11" s="243">
        <v>62.4</v>
      </c>
      <c r="D11" s="243">
        <v>62.499</v>
      </c>
      <c r="E11" s="244">
        <v>61.024</v>
      </c>
      <c r="F11" s="244">
        <v>67.31</v>
      </c>
      <c r="G11" s="286">
        <v>67.55</v>
      </c>
      <c r="H11" s="244">
        <v>63.361</v>
      </c>
      <c r="I11" s="244">
        <v>65.2</v>
      </c>
      <c r="J11" s="244">
        <v>70.977</v>
      </c>
      <c r="K11" s="244">
        <v>71.73</v>
      </c>
      <c r="L11" s="244">
        <v>72.40299999999999</v>
      </c>
      <c r="M11" s="244">
        <v>72.666</v>
      </c>
      <c r="N11" s="244">
        <v>73.79599999999999</v>
      </c>
      <c r="O11" s="244">
        <v>75.404</v>
      </c>
      <c r="P11" s="244">
        <v>75.75399999999999</v>
      </c>
      <c r="Q11" s="244">
        <v>70.819</v>
      </c>
      <c r="R11" s="244">
        <v>71.293</v>
      </c>
      <c r="S11" s="244">
        <v>72.9</v>
      </c>
      <c r="T11" s="244">
        <v>76.8</v>
      </c>
      <c r="U11" s="244">
        <v>79</v>
      </c>
      <c r="V11" s="244">
        <v>79.107</v>
      </c>
      <c r="W11" s="244">
        <v>82.538825</v>
      </c>
      <c r="X11" s="244">
        <v>82.254</v>
      </c>
      <c r="Y11" s="244">
        <v>83.892</v>
      </c>
      <c r="Z11" s="244">
        <v>85.413</v>
      </c>
      <c r="AA11" s="244">
        <v>88.795</v>
      </c>
      <c r="AB11" s="244">
        <v>89.615</v>
      </c>
      <c r="AC11" s="244">
        <v>90.976</v>
      </c>
      <c r="AD11" s="244">
        <v>91.709</v>
      </c>
      <c r="AE11" s="244">
        <v>94.196</v>
      </c>
      <c r="AF11" s="244">
        <v>95.757</v>
      </c>
      <c r="AG11" s="326"/>
      <c r="AH11" s="326">
        <v>60.31104234196587</v>
      </c>
      <c r="AI11" s="326">
        <v>60.1</v>
      </c>
      <c r="AJ11" s="326">
        <v>59.391965255157444</v>
      </c>
      <c r="AK11" s="325">
        <f>0.585263157894737*100</f>
        <v>58.526315789473706</v>
      </c>
      <c r="AL11" s="325">
        <v>58.6</v>
      </c>
      <c r="AM11" s="526">
        <f t="shared" si="2"/>
        <v>1.6571828952397283</v>
      </c>
      <c r="AN11" s="187" t="s">
        <v>30</v>
      </c>
    </row>
    <row r="12" spans="1:40" ht="12.75" customHeight="1">
      <c r="A12" s="180"/>
      <c r="B12" s="227" t="s">
        <v>15</v>
      </c>
      <c r="C12" s="228">
        <v>1.231</v>
      </c>
      <c r="D12" s="228">
        <v>1.553</v>
      </c>
      <c r="E12" s="229">
        <v>1.51</v>
      </c>
      <c r="F12" s="229">
        <v>1.273</v>
      </c>
      <c r="G12" s="229">
        <v>0.95</v>
      </c>
      <c r="H12" s="229">
        <v>0.722</v>
      </c>
      <c r="I12" s="229">
        <v>0.537</v>
      </c>
      <c r="J12" s="229">
        <v>0.421</v>
      </c>
      <c r="K12" s="229">
        <v>0.309</v>
      </c>
      <c r="L12" s="229">
        <v>0.262</v>
      </c>
      <c r="M12" s="229">
        <v>0.236</v>
      </c>
      <c r="N12" s="229">
        <v>0.238</v>
      </c>
      <c r="O12" s="229">
        <v>0.261</v>
      </c>
      <c r="P12" s="229">
        <v>0.182649</v>
      </c>
      <c r="Q12" s="229">
        <v>0.17695</v>
      </c>
      <c r="R12" s="229">
        <v>0.181814</v>
      </c>
      <c r="S12" s="229">
        <v>0.193</v>
      </c>
      <c r="T12" s="229">
        <v>0.248</v>
      </c>
      <c r="U12" s="229">
        <v>0.257</v>
      </c>
      <c r="V12" s="229">
        <v>0.274</v>
      </c>
      <c r="W12" s="229">
        <v>0.274</v>
      </c>
      <c r="X12" s="229">
        <v>0.249</v>
      </c>
      <c r="Y12" s="229">
        <v>0.247</v>
      </c>
      <c r="Z12" s="229">
        <v>0.243</v>
      </c>
      <c r="AA12" s="229">
        <v>0.235</v>
      </c>
      <c r="AB12" s="229">
        <v>0.223</v>
      </c>
      <c r="AC12" s="229">
        <v>0.28</v>
      </c>
      <c r="AD12" s="229">
        <v>0.286</v>
      </c>
      <c r="AE12" s="229">
        <v>0.316</v>
      </c>
      <c r="AF12" s="229">
        <v>0.366</v>
      </c>
      <c r="AG12" s="326">
        <v>92.76595744680851</v>
      </c>
      <c r="AH12" s="326">
        <v>90.01614349775784</v>
      </c>
      <c r="AI12" s="326">
        <v>93.4</v>
      </c>
      <c r="AJ12" s="326">
        <v>100</v>
      </c>
      <c r="AK12" s="325">
        <f>0.940057088487155*100</f>
        <v>94.0057088487155</v>
      </c>
      <c r="AL12" s="325">
        <v>94.4</v>
      </c>
      <c r="AM12" s="527">
        <f t="shared" si="2"/>
        <v>15.822784810126578</v>
      </c>
      <c r="AN12" s="227" t="s">
        <v>15</v>
      </c>
    </row>
    <row r="13" spans="1:40" s="201" customFormat="1" ht="12.75" customHeight="1">
      <c r="A13" s="206"/>
      <c r="B13" s="187" t="s">
        <v>33</v>
      </c>
      <c r="C13" s="231">
        <v>0.582</v>
      </c>
      <c r="D13" s="231">
        <v>1.032</v>
      </c>
      <c r="E13" s="232">
        <v>1.226</v>
      </c>
      <c r="F13" s="232">
        <v>1.29</v>
      </c>
      <c r="G13" s="232">
        <v>1.226</v>
      </c>
      <c r="H13" s="232">
        <v>1.274</v>
      </c>
      <c r="I13" s="232">
        <v>1.26</v>
      </c>
      <c r="J13" s="232">
        <v>1.291</v>
      </c>
      <c r="K13" s="232">
        <v>1.295</v>
      </c>
      <c r="L13" s="232">
        <v>1.387</v>
      </c>
      <c r="M13" s="232">
        <v>1.421</v>
      </c>
      <c r="N13" s="232">
        <v>1.458</v>
      </c>
      <c r="O13" s="232">
        <v>1.389</v>
      </c>
      <c r="P13" s="232">
        <v>1.515</v>
      </c>
      <c r="Q13" s="232">
        <v>1.628</v>
      </c>
      <c r="R13" s="232">
        <v>1.601</v>
      </c>
      <c r="S13" s="232">
        <v>1.582</v>
      </c>
      <c r="T13" s="232">
        <v>1.781</v>
      </c>
      <c r="U13" s="232">
        <v>1.872</v>
      </c>
      <c r="V13" s="232">
        <v>2.007</v>
      </c>
      <c r="W13" s="232">
        <v>1.976</v>
      </c>
      <c r="X13" s="232">
        <v>1.683</v>
      </c>
      <c r="Y13" s="232">
        <v>1.678</v>
      </c>
      <c r="Z13" s="232">
        <v>1.638</v>
      </c>
      <c r="AA13" s="232">
        <v>1.578</v>
      </c>
      <c r="AB13" s="232">
        <v>1.569</v>
      </c>
      <c r="AC13" s="232">
        <v>1.728</v>
      </c>
      <c r="AD13" s="232">
        <v>1.918</v>
      </c>
      <c r="AE13" s="232">
        <v>1.991</v>
      </c>
      <c r="AF13" s="232">
        <v>2.122</v>
      </c>
      <c r="AG13" s="326">
        <v>93.93173198482933</v>
      </c>
      <c r="AH13" s="326">
        <v>100</v>
      </c>
      <c r="AI13" s="326"/>
      <c r="AJ13" s="326"/>
      <c r="AK13" s="325">
        <f>0.953065134099617*100</f>
        <v>95.3065134099617</v>
      </c>
      <c r="AL13" s="325">
        <v>100</v>
      </c>
      <c r="AM13" s="526">
        <f t="shared" si="2"/>
        <v>6.579608237066779</v>
      </c>
      <c r="AN13" s="187" t="s">
        <v>33</v>
      </c>
    </row>
    <row r="14" spans="1:40" ht="12.75" customHeight="1">
      <c r="A14" s="180"/>
      <c r="B14" s="227" t="s">
        <v>26</v>
      </c>
      <c r="C14" s="228">
        <v>1.951</v>
      </c>
      <c r="D14" s="228">
        <v>1.464</v>
      </c>
      <c r="E14" s="229">
        <v>1.977</v>
      </c>
      <c r="F14" s="229">
        <v>1.995</v>
      </c>
      <c r="G14" s="229">
        <v>2.046</v>
      </c>
      <c r="H14" s="229">
        <v>1.726</v>
      </c>
      <c r="I14" s="229">
        <v>1.599</v>
      </c>
      <c r="J14" s="229">
        <v>1.568</v>
      </c>
      <c r="K14" s="229">
        <v>1.751</v>
      </c>
      <c r="L14" s="229">
        <v>1.884</v>
      </c>
      <c r="M14" s="229">
        <v>1.552</v>
      </c>
      <c r="N14" s="229">
        <v>1.583</v>
      </c>
      <c r="O14" s="229">
        <v>1.886</v>
      </c>
      <c r="P14" s="229">
        <v>1.747</v>
      </c>
      <c r="Q14" s="229">
        <v>1.836</v>
      </c>
      <c r="R14" s="229">
        <v>1.574</v>
      </c>
      <c r="S14" s="229">
        <v>1.668</v>
      </c>
      <c r="T14" s="229">
        <v>1.854</v>
      </c>
      <c r="U14" s="229">
        <v>1.811</v>
      </c>
      <c r="V14" s="229">
        <v>1.93</v>
      </c>
      <c r="W14" s="229">
        <v>1.657</v>
      </c>
      <c r="X14" s="229">
        <v>1.467</v>
      </c>
      <c r="Y14" s="229">
        <v>1.383</v>
      </c>
      <c r="Z14" s="229">
        <v>0.958</v>
      </c>
      <c r="AA14" s="229">
        <v>0.832</v>
      </c>
      <c r="AB14" s="229">
        <v>1.056</v>
      </c>
      <c r="AC14" s="229">
        <v>1.072</v>
      </c>
      <c r="AD14" s="229">
        <v>1.263</v>
      </c>
      <c r="AE14" s="229">
        <v>1.192</v>
      </c>
      <c r="AF14" s="229">
        <v>1.112</v>
      </c>
      <c r="AG14" s="326">
        <v>100</v>
      </c>
      <c r="AH14" s="326"/>
      <c r="AI14" s="326"/>
      <c r="AJ14" s="326">
        <v>93.01386138613861</v>
      </c>
      <c r="AK14" s="325">
        <f>0.972830188679245*100</f>
        <v>97.2830188679245</v>
      </c>
      <c r="AL14" s="325">
        <v>97.5</v>
      </c>
      <c r="AM14" s="527">
        <f t="shared" si="2"/>
        <v>-6.711409395973149</v>
      </c>
      <c r="AN14" s="227" t="s">
        <v>26</v>
      </c>
    </row>
    <row r="15" spans="1:40" ht="12.75" customHeight="1">
      <c r="A15" s="180"/>
      <c r="B15" s="187" t="s">
        <v>31</v>
      </c>
      <c r="C15" s="231">
        <v>14.013</v>
      </c>
      <c r="D15" s="231">
        <v>13.527</v>
      </c>
      <c r="E15" s="232">
        <v>16.733</v>
      </c>
      <c r="F15" s="232">
        <v>16.357</v>
      </c>
      <c r="G15" s="232">
        <v>17.422</v>
      </c>
      <c r="H15" s="232">
        <v>16.486</v>
      </c>
      <c r="I15" s="232">
        <v>16.139</v>
      </c>
      <c r="J15" s="232">
        <v>16.594</v>
      </c>
      <c r="K15" s="233">
        <v>16.8</v>
      </c>
      <c r="L15" s="233">
        <v>17.878</v>
      </c>
      <c r="M15" s="233">
        <v>18.869</v>
      </c>
      <c r="N15" s="232">
        <v>19.655</v>
      </c>
      <c r="O15" s="232">
        <v>20.144</v>
      </c>
      <c r="P15" s="232">
        <v>20.828</v>
      </c>
      <c r="Q15" s="232">
        <v>21.211</v>
      </c>
      <c r="R15" s="232">
        <v>21.127</v>
      </c>
      <c r="S15" s="232">
        <v>20.386</v>
      </c>
      <c r="T15" s="232">
        <v>21.624</v>
      </c>
      <c r="U15" s="232">
        <v>22.105</v>
      </c>
      <c r="V15" s="232">
        <v>21.857</v>
      </c>
      <c r="W15" s="189">
        <v>23.969</v>
      </c>
      <c r="X15" s="189">
        <v>23.137</v>
      </c>
      <c r="Y15" s="189">
        <v>22.456</v>
      </c>
      <c r="Z15" s="189">
        <v>22.795</v>
      </c>
      <c r="AA15" s="189">
        <v>22.476</v>
      </c>
      <c r="AB15" s="189">
        <v>23.788</v>
      </c>
      <c r="AC15" s="189">
        <v>25.072</v>
      </c>
      <c r="AD15" s="189">
        <v>26.142</v>
      </c>
      <c r="AE15" s="189">
        <v>26.6701</v>
      </c>
      <c r="AF15" s="189">
        <v>27.516</v>
      </c>
      <c r="AG15" s="326">
        <v>50.858063904427794</v>
      </c>
      <c r="AH15" s="326"/>
      <c r="AI15" s="326"/>
      <c r="AJ15" s="326"/>
      <c r="AK15" s="325">
        <f>0.430469336918271*100</f>
        <v>43.0469336918271</v>
      </c>
      <c r="AL15" s="325">
        <v>43.1</v>
      </c>
      <c r="AM15" s="526">
        <f t="shared" si="2"/>
        <v>3.1717166414823907</v>
      </c>
      <c r="AN15" s="187" t="s">
        <v>31</v>
      </c>
    </row>
    <row r="16" spans="1:40" ht="12.75" customHeight="1">
      <c r="A16" s="180"/>
      <c r="B16" s="227" t="s">
        <v>32</v>
      </c>
      <c r="C16" s="228">
        <v>40.979</v>
      </c>
      <c r="D16" s="228">
        <v>54.496</v>
      </c>
      <c r="E16" s="229">
        <v>53.8</v>
      </c>
      <c r="F16" s="229">
        <v>52.5</v>
      </c>
      <c r="G16" s="229">
        <v>53.1</v>
      </c>
      <c r="H16" s="229">
        <v>48.7</v>
      </c>
      <c r="I16" s="229">
        <v>49.7</v>
      </c>
      <c r="J16" s="229">
        <v>46.8</v>
      </c>
      <c r="K16" s="229">
        <v>50.7</v>
      </c>
      <c r="L16" s="229">
        <v>52.2</v>
      </c>
      <c r="M16" s="229">
        <v>55.7</v>
      </c>
      <c r="N16" s="229">
        <v>57</v>
      </c>
      <c r="O16" s="229">
        <v>74.9</v>
      </c>
      <c r="P16" s="229">
        <v>76.8</v>
      </c>
      <c r="Q16" s="229">
        <v>78.6</v>
      </c>
      <c r="R16" s="229">
        <v>76.6</v>
      </c>
      <c r="S16" s="229">
        <v>80.2</v>
      </c>
      <c r="T16" s="229">
        <v>82.3</v>
      </c>
      <c r="U16" s="229">
        <v>85.8</v>
      </c>
      <c r="V16" s="229">
        <v>87.9</v>
      </c>
      <c r="W16" s="229">
        <v>93.2</v>
      </c>
      <c r="X16" s="229">
        <v>92.3</v>
      </c>
      <c r="Y16" s="229">
        <v>92.4</v>
      </c>
      <c r="Z16" s="229">
        <v>95.7</v>
      </c>
      <c r="AA16" s="229">
        <v>95.8</v>
      </c>
      <c r="AB16" s="229">
        <v>95.1</v>
      </c>
      <c r="AC16" s="229">
        <v>94.4</v>
      </c>
      <c r="AD16" s="229">
        <v>94.7</v>
      </c>
      <c r="AE16" s="229">
        <v>94</v>
      </c>
      <c r="AF16" s="229">
        <v>100.1</v>
      </c>
      <c r="AG16" s="326">
        <v>37.609649122807014</v>
      </c>
      <c r="AH16" s="326">
        <v>37.086092715231786</v>
      </c>
      <c r="AI16" s="326">
        <v>38.2</v>
      </c>
      <c r="AJ16" s="326">
        <v>37.6550685738601</v>
      </c>
      <c r="AK16" s="325">
        <f>0.380275452814313*100</f>
        <v>38.0275452814313</v>
      </c>
      <c r="AL16" s="325">
        <v>40.4</v>
      </c>
      <c r="AM16" s="527">
        <f t="shared" si="2"/>
        <v>6.489361702127667</v>
      </c>
      <c r="AN16" s="227" t="s">
        <v>32</v>
      </c>
    </row>
    <row r="17" spans="1:40" ht="12.75" customHeight="1">
      <c r="A17" s="180"/>
      <c r="B17" s="187" t="s">
        <v>44</v>
      </c>
      <c r="C17" s="188">
        <v>3.732</v>
      </c>
      <c r="D17" s="188">
        <v>3.619</v>
      </c>
      <c r="E17" s="189">
        <v>3.429</v>
      </c>
      <c r="F17" s="189">
        <v>1.427</v>
      </c>
      <c r="G17" s="189">
        <v>1.145</v>
      </c>
      <c r="H17" s="189">
        <v>1.094</v>
      </c>
      <c r="I17" s="189">
        <v>1.182</v>
      </c>
      <c r="J17" s="189">
        <v>1.139</v>
      </c>
      <c r="K17" s="189">
        <v>1.205</v>
      </c>
      <c r="L17" s="189">
        <v>1.158</v>
      </c>
      <c r="M17" s="189">
        <v>1.092</v>
      </c>
      <c r="N17" s="189">
        <v>1.137</v>
      </c>
      <c r="O17" s="189">
        <v>1.252</v>
      </c>
      <c r="P17" s="189">
        <v>1.241</v>
      </c>
      <c r="Q17" s="189">
        <v>1.195</v>
      </c>
      <c r="R17" s="189">
        <v>1.163</v>
      </c>
      <c r="S17" s="189">
        <v>1.169</v>
      </c>
      <c r="T17" s="189">
        <v>1.227</v>
      </c>
      <c r="U17" s="189">
        <v>1.322</v>
      </c>
      <c r="V17" s="189">
        <v>1.573</v>
      </c>
      <c r="W17" s="189">
        <v>1.769</v>
      </c>
      <c r="X17" s="189">
        <v>1.802</v>
      </c>
      <c r="Y17" s="189">
        <v>1.711</v>
      </c>
      <c r="Z17" s="189">
        <v>1.457</v>
      </c>
      <c r="AA17" s="189">
        <v>1.08</v>
      </c>
      <c r="AB17" s="189">
        <v>0.935</v>
      </c>
      <c r="AC17" s="189">
        <v>0.917</v>
      </c>
      <c r="AD17" s="189">
        <v>0.941</v>
      </c>
      <c r="AE17" s="189">
        <v>0.827</v>
      </c>
      <c r="AF17" s="189">
        <v>0.736</v>
      </c>
      <c r="AG17" s="326"/>
      <c r="AH17" s="326">
        <v>100</v>
      </c>
      <c r="AI17" s="326">
        <v>100</v>
      </c>
      <c r="AJ17" s="326">
        <v>100</v>
      </c>
      <c r="AK17" s="325">
        <v>100</v>
      </c>
      <c r="AL17" s="325">
        <v>99.2</v>
      </c>
      <c r="AM17" s="526">
        <f t="shared" si="2"/>
        <v>-11.003627569528419</v>
      </c>
      <c r="AN17" s="187" t="s">
        <v>44</v>
      </c>
    </row>
    <row r="18" spans="1:40" ht="12.75" customHeight="1">
      <c r="A18" s="180"/>
      <c r="B18" s="191" t="s">
        <v>34</v>
      </c>
      <c r="C18" s="213">
        <v>32.457</v>
      </c>
      <c r="D18" s="213">
        <v>39.587</v>
      </c>
      <c r="E18" s="193">
        <v>44.709</v>
      </c>
      <c r="F18" s="193">
        <v>45.065</v>
      </c>
      <c r="G18" s="193">
        <v>44.409</v>
      </c>
      <c r="H18" s="193">
        <v>42.72</v>
      </c>
      <c r="I18" s="225">
        <v>43.375</v>
      </c>
      <c r="J18" s="193">
        <f>43.859+2.792</f>
        <v>46.651</v>
      </c>
      <c r="K18" s="193">
        <f>44.78+2.8</f>
        <v>47.58</v>
      </c>
      <c r="L18" s="193">
        <f>43.591+2.8</f>
        <v>46.391</v>
      </c>
      <c r="M18" s="193">
        <f>41.391+2.8</f>
        <v>44.190999999999995</v>
      </c>
      <c r="N18" s="193">
        <f>43.424+2.878</f>
        <v>46.302</v>
      </c>
      <c r="O18" s="193">
        <f>47.133+2.439</f>
        <v>49.572</v>
      </c>
      <c r="P18" s="193">
        <f>46.752+3.324</f>
        <v>50.076</v>
      </c>
      <c r="Q18" s="193">
        <f>45.956+3.348</f>
        <v>49.304</v>
      </c>
      <c r="R18" s="193">
        <f>45.222+3.475</f>
        <v>48.697</v>
      </c>
      <c r="S18" s="193">
        <v>49.254</v>
      </c>
      <c r="T18" s="193">
        <v>50.088</v>
      </c>
      <c r="U18" s="193">
        <v>50.185</v>
      </c>
      <c r="V18" s="193">
        <v>49.78</v>
      </c>
      <c r="W18" s="193">
        <v>49.524</v>
      </c>
      <c r="X18" s="193">
        <v>48.124</v>
      </c>
      <c r="Y18" s="193">
        <v>47.172</v>
      </c>
      <c r="Z18" s="193">
        <v>46.845</v>
      </c>
      <c r="AA18" s="193">
        <v>46.759</v>
      </c>
      <c r="AB18" s="193">
        <v>48.739</v>
      </c>
      <c r="AC18" s="193">
        <v>49.957</v>
      </c>
      <c r="AD18" s="193">
        <v>52.207</v>
      </c>
      <c r="AE18" s="193">
        <v>52.178065</v>
      </c>
      <c r="AF18" s="193">
        <v>53.231</v>
      </c>
      <c r="AG18" s="326">
        <v>51.36712346731361</v>
      </c>
      <c r="AH18" s="326">
        <v>61.08951868736738</v>
      </c>
      <c r="AI18" s="326">
        <v>66.7</v>
      </c>
      <c r="AJ18" s="326">
        <v>60.16183382631869</v>
      </c>
      <c r="AK18" s="325">
        <f>0.566308941822644*100</f>
        <v>56.6308941822644</v>
      </c>
      <c r="AL18" s="325">
        <v>57.3</v>
      </c>
      <c r="AM18" s="527">
        <f t="shared" si="2"/>
        <v>2.0179648287072354</v>
      </c>
      <c r="AN18" s="191" t="s">
        <v>34</v>
      </c>
    </row>
    <row r="19" spans="1:40" ht="12.75" customHeight="1">
      <c r="A19" s="180"/>
      <c r="B19" s="187" t="s">
        <v>13</v>
      </c>
      <c r="C19" s="305" t="s">
        <v>43</v>
      </c>
      <c r="D19" s="305" t="s">
        <v>43</v>
      </c>
      <c r="E19" s="306" t="s">
        <v>43</v>
      </c>
      <c r="F19" s="306" t="s">
        <v>43</v>
      </c>
      <c r="G19" s="306" t="s">
        <v>43</v>
      </c>
      <c r="H19" s="306" t="s">
        <v>43</v>
      </c>
      <c r="I19" s="306" t="s">
        <v>43</v>
      </c>
      <c r="J19" s="306" t="s">
        <v>43</v>
      </c>
      <c r="K19" s="306" t="s">
        <v>43</v>
      </c>
      <c r="L19" s="306" t="s">
        <v>43</v>
      </c>
      <c r="M19" s="306" t="s">
        <v>43</v>
      </c>
      <c r="N19" s="306" t="s">
        <v>43</v>
      </c>
      <c r="O19" s="306" t="s">
        <v>43</v>
      </c>
      <c r="P19" s="306" t="s">
        <v>43</v>
      </c>
      <c r="Q19" s="306" t="s">
        <v>43</v>
      </c>
      <c r="R19" s="306" t="s">
        <v>43</v>
      </c>
      <c r="S19" s="306" t="s">
        <v>43</v>
      </c>
      <c r="T19" s="306" t="s">
        <v>43</v>
      </c>
      <c r="U19" s="306" t="s">
        <v>43</v>
      </c>
      <c r="V19" s="306" t="s">
        <v>43</v>
      </c>
      <c r="W19" s="306" t="s">
        <v>43</v>
      </c>
      <c r="X19" s="306" t="s">
        <v>43</v>
      </c>
      <c r="Y19" s="306" t="s">
        <v>43</v>
      </c>
      <c r="Z19" s="306" t="s">
        <v>43</v>
      </c>
      <c r="AA19" s="306" t="s">
        <v>43</v>
      </c>
      <c r="AB19" s="306" t="s">
        <v>43</v>
      </c>
      <c r="AC19" s="306" t="s">
        <v>43</v>
      </c>
      <c r="AD19" s="306" t="s">
        <v>43</v>
      </c>
      <c r="AE19" s="306" t="s">
        <v>43</v>
      </c>
      <c r="AF19" s="306" t="s">
        <v>43</v>
      </c>
      <c r="AG19" s="326" t="s">
        <v>43</v>
      </c>
      <c r="AH19" s="326" t="s">
        <v>43</v>
      </c>
      <c r="AI19" s="326" t="s">
        <v>43</v>
      </c>
      <c r="AJ19" s="326" t="s">
        <v>43</v>
      </c>
      <c r="AK19" s="325" t="s">
        <v>43</v>
      </c>
      <c r="AL19" s="325" t="s">
        <v>43</v>
      </c>
      <c r="AM19" s="519" t="s">
        <v>43</v>
      </c>
      <c r="AN19" s="187" t="s">
        <v>13</v>
      </c>
    </row>
    <row r="20" spans="1:44" s="201" customFormat="1" ht="12.75" customHeight="1">
      <c r="A20" s="206"/>
      <c r="B20" s="191" t="s">
        <v>17</v>
      </c>
      <c r="C20" s="213">
        <v>3.747</v>
      </c>
      <c r="D20" s="213">
        <v>4.687</v>
      </c>
      <c r="E20" s="193">
        <v>5.366</v>
      </c>
      <c r="F20" s="193">
        <v>3.93</v>
      </c>
      <c r="G20" s="193">
        <v>3.656</v>
      </c>
      <c r="H20" s="193">
        <v>2.359</v>
      </c>
      <c r="I20" s="193">
        <v>1.794</v>
      </c>
      <c r="J20" s="193">
        <v>1.373</v>
      </c>
      <c r="K20" s="193">
        <v>1.149</v>
      </c>
      <c r="L20" s="193">
        <v>1.154</v>
      </c>
      <c r="M20" s="193">
        <v>1.059</v>
      </c>
      <c r="N20" s="193">
        <v>0.984</v>
      </c>
      <c r="O20" s="193">
        <v>0.715</v>
      </c>
      <c r="P20" s="193">
        <v>0.706</v>
      </c>
      <c r="Q20" s="193">
        <v>0.744</v>
      </c>
      <c r="R20" s="193">
        <v>0.762</v>
      </c>
      <c r="S20" s="193">
        <v>0.806</v>
      </c>
      <c r="T20" s="193">
        <v>0.889</v>
      </c>
      <c r="U20" s="193">
        <v>0.986</v>
      </c>
      <c r="V20" s="193">
        <v>0.975</v>
      </c>
      <c r="W20" s="193">
        <v>0.941</v>
      </c>
      <c r="X20" s="193">
        <v>0.748</v>
      </c>
      <c r="Y20" s="193">
        <v>0.741</v>
      </c>
      <c r="Z20" s="193">
        <v>0.733</v>
      </c>
      <c r="AA20" s="193">
        <v>0.717</v>
      </c>
      <c r="AB20" s="193">
        <v>0.721</v>
      </c>
      <c r="AC20" s="193">
        <v>0.644</v>
      </c>
      <c r="AD20" s="193">
        <v>0.59</v>
      </c>
      <c r="AE20" s="193">
        <v>0.584</v>
      </c>
      <c r="AF20" s="193">
        <v>0.596</v>
      </c>
      <c r="AG20" s="326">
        <v>88.27586206896552</v>
      </c>
      <c r="AH20" s="326">
        <v>88.52005532503458</v>
      </c>
      <c r="AI20" s="326">
        <v>89.8</v>
      </c>
      <c r="AJ20" s="326">
        <v>91.8321489001692</v>
      </c>
      <c r="AK20" s="325">
        <f>0.931258549931601*100</f>
        <v>93.12585499316009</v>
      </c>
      <c r="AL20" s="325">
        <v>92.9</v>
      </c>
      <c r="AM20" s="527">
        <f>AF20/AE20*100-100</f>
        <v>2.054794520547958</v>
      </c>
      <c r="AN20" s="191" t="s">
        <v>17</v>
      </c>
      <c r="AR20" s="547"/>
    </row>
    <row r="21" spans="1:40" ht="12.75" customHeight="1">
      <c r="A21" s="180"/>
      <c r="B21" s="187" t="s">
        <v>18</v>
      </c>
      <c r="C21" s="188">
        <v>2.132</v>
      </c>
      <c r="D21" s="188">
        <v>3.258</v>
      </c>
      <c r="E21" s="189">
        <v>3.64</v>
      </c>
      <c r="F21" s="189">
        <v>3.225</v>
      </c>
      <c r="G21" s="189">
        <v>2.74</v>
      </c>
      <c r="H21" s="189">
        <v>2.7</v>
      </c>
      <c r="I21" s="189">
        <v>1.574</v>
      </c>
      <c r="J21" s="189">
        <v>1.13</v>
      </c>
      <c r="K21" s="189">
        <v>0.954</v>
      </c>
      <c r="L21" s="189">
        <v>0.842</v>
      </c>
      <c r="M21" s="189">
        <v>0.8</v>
      </c>
      <c r="N21" s="189">
        <v>0.745</v>
      </c>
      <c r="O21" s="189">
        <v>0.611</v>
      </c>
      <c r="P21" s="189">
        <v>0.533</v>
      </c>
      <c r="Q21" s="189">
        <v>0.498</v>
      </c>
      <c r="R21" s="189">
        <v>0.432</v>
      </c>
      <c r="S21" s="189">
        <v>0.444</v>
      </c>
      <c r="T21" s="189">
        <v>0.28</v>
      </c>
      <c r="U21" s="189">
        <v>0.268</v>
      </c>
      <c r="V21" s="189">
        <v>0.246</v>
      </c>
      <c r="W21" s="189">
        <v>0.258</v>
      </c>
      <c r="X21" s="189">
        <v>0.231</v>
      </c>
      <c r="Y21" s="189">
        <v>0.244</v>
      </c>
      <c r="Z21" s="189">
        <v>0.269</v>
      </c>
      <c r="AA21" s="189">
        <v>0.278</v>
      </c>
      <c r="AB21" s="189">
        <v>0.278</v>
      </c>
      <c r="AC21" s="189">
        <v>0.27</v>
      </c>
      <c r="AD21" s="189">
        <v>0.262</v>
      </c>
      <c r="AE21" s="189">
        <v>0.28</v>
      </c>
      <c r="AF21" s="189">
        <v>0.315</v>
      </c>
      <c r="AG21" s="326">
        <v>100</v>
      </c>
      <c r="AH21" s="373">
        <v>64.51406649616368</v>
      </c>
      <c r="AI21" s="326">
        <v>67.2</v>
      </c>
      <c r="AJ21" s="326">
        <v>68.69806094182826</v>
      </c>
      <c r="AK21" s="325">
        <f>0.674242424242424*100</f>
        <v>67.4242424242424</v>
      </c>
      <c r="AL21" s="325">
        <v>71.3</v>
      </c>
      <c r="AM21" s="526">
        <f>AF21/AE21*100-100</f>
        <v>12.5</v>
      </c>
      <c r="AN21" s="187" t="s">
        <v>18</v>
      </c>
    </row>
    <row r="22" spans="1:40" s="201" customFormat="1" ht="12.75" customHeight="1">
      <c r="A22" s="206"/>
      <c r="B22" s="191" t="s">
        <v>35</v>
      </c>
      <c r="C22" s="213">
        <v>0.256</v>
      </c>
      <c r="D22" s="213">
        <v>0.246</v>
      </c>
      <c r="E22" s="193">
        <v>0.208</v>
      </c>
      <c r="F22" s="193">
        <v>0.22</v>
      </c>
      <c r="G22" s="193">
        <v>0.255</v>
      </c>
      <c r="H22" s="193">
        <v>0.262</v>
      </c>
      <c r="I22" s="193">
        <v>0.289</v>
      </c>
      <c r="J22" s="193">
        <v>0.287</v>
      </c>
      <c r="K22" s="193">
        <v>0.284</v>
      </c>
      <c r="L22" s="193">
        <v>0.295</v>
      </c>
      <c r="M22" s="193">
        <v>0.3</v>
      </c>
      <c r="N22" s="193">
        <v>0.31</v>
      </c>
      <c r="O22" s="193">
        <v>0.332</v>
      </c>
      <c r="P22" s="193">
        <v>0.346</v>
      </c>
      <c r="Q22" s="193">
        <v>0.268</v>
      </c>
      <c r="R22" s="193">
        <v>0.262</v>
      </c>
      <c r="S22" s="193">
        <v>0.253</v>
      </c>
      <c r="T22" s="193">
        <v>0.267</v>
      </c>
      <c r="U22" s="193">
        <v>0.298</v>
      </c>
      <c r="V22" s="193">
        <v>0.316</v>
      </c>
      <c r="W22" s="193">
        <v>0.345</v>
      </c>
      <c r="X22" s="193">
        <v>0.333</v>
      </c>
      <c r="Y22" s="193">
        <v>0.347</v>
      </c>
      <c r="Z22" s="193">
        <f>0.349</f>
        <v>0.349</v>
      </c>
      <c r="AA22" s="193">
        <v>0.373</v>
      </c>
      <c r="AB22" s="193">
        <v>0.394</v>
      </c>
      <c r="AC22" s="193">
        <v>0.366</v>
      </c>
      <c r="AD22" s="193">
        <v>0.418</v>
      </c>
      <c r="AE22" s="193">
        <v>0.417</v>
      </c>
      <c r="AF22" s="193">
        <v>0.438</v>
      </c>
      <c r="AG22" s="331"/>
      <c r="AH22" s="326">
        <v>100</v>
      </c>
      <c r="AI22" s="326">
        <v>100</v>
      </c>
      <c r="AJ22" s="326"/>
      <c r="AK22" s="325"/>
      <c r="AL22" s="325"/>
      <c r="AM22" s="527">
        <f>AF22/AE22*100-100</f>
        <v>5.0359712230215905</v>
      </c>
      <c r="AN22" s="191" t="s">
        <v>35</v>
      </c>
    </row>
    <row r="23" spans="1:40" ht="12.75" customHeight="1">
      <c r="A23" s="180"/>
      <c r="B23" s="187" t="s">
        <v>16</v>
      </c>
      <c r="C23" s="188">
        <v>16.35</v>
      </c>
      <c r="D23" s="188">
        <v>13.544</v>
      </c>
      <c r="E23" s="189">
        <v>11.403</v>
      </c>
      <c r="F23" s="189">
        <v>9.861</v>
      </c>
      <c r="G23" s="189">
        <v>9.183</v>
      </c>
      <c r="H23" s="189">
        <v>8.432</v>
      </c>
      <c r="I23" s="189">
        <v>8.508</v>
      </c>
      <c r="J23" s="189">
        <v>8.441</v>
      </c>
      <c r="K23" s="189">
        <v>8.582</v>
      </c>
      <c r="L23" s="189">
        <v>8.669</v>
      </c>
      <c r="M23" s="189">
        <v>8.884</v>
      </c>
      <c r="N23" s="189">
        <v>9.514</v>
      </c>
      <c r="O23" s="189">
        <v>9.693</v>
      </c>
      <c r="P23" s="189">
        <v>10.005</v>
      </c>
      <c r="Q23" s="189">
        <v>10.531</v>
      </c>
      <c r="R23" s="189">
        <v>10.286</v>
      </c>
      <c r="S23" s="189">
        <v>10.165</v>
      </c>
      <c r="T23" s="189">
        <v>9.851</v>
      </c>
      <c r="U23" s="189">
        <v>9.658</v>
      </c>
      <c r="V23" s="189">
        <v>8.752</v>
      </c>
      <c r="W23" s="189">
        <v>8.292</v>
      </c>
      <c r="X23" s="189">
        <v>8.072</v>
      </c>
      <c r="Y23" s="189">
        <v>7.681</v>
      </c>
      <c r="Z23" s="189">
        <v>7.763</v>
      </c>
      <c r="AA23" s="189">
        <v>7.806</v>
      </c>
      <c r="AB23" s="189">
        <v>7.842</v>
      </c>
      <c r="AC23" s="189">
        <v>7.738</v>
      </c>
      <c r="AD23" s="189">
        <v>7.609</v>
      </c>
      <c r="AE23" s="189">
        <v>7.653</v>
      </c>
      <c r="AF23" s="189">
        <v>7.731</v>
      </c>
      <c r="AG23" s="326">
        <v>94.26008968609865</v>
      </c>
      <c r="AH23" s="326">
        <v>95.34913516976297</v>
      </c>
      <c r="AI23" s="326">
        <v>95.5</v>
      </c>
      <c r="AJ23" s="326">
        <v>95.0882719695478</v>
      </c>
      <c r="AK23" s="325">
        <f>0.953600836491962*100</f>
        <v>95.3600836491962</v>
      </c>
      <c r="AL23" s="325">
        <v>95.3</v>
      </c>
      <c r="AM23" s="526">
        <f>AF23/AE23*100-100</f>
        <v>1.0192081536652324</v>
      </c>
      <c r="AN23" s="187" t="s">
        <v>16</v>
      </c>
    </row>
    <row r="24" spans="1:40" s="201" customFormat="1" ht="12.75" customHeight="1">
      <c r="A24" s="206"/>
      <c r="B24" s="191" t="s">
        <v>19</v>
      </c>
      <c r="C24" s="309" t="s">
        <v>43</v>
      </c>
      <c r="D24" s="309" t="s">
        <v>43</v>
      </c>
      <c r="E24" s="303" t="s">
        <v>43</v>
      </c>
      <c r="F24" s="303" t="s">
        <v>43</v>
      </c>
      <c r="G24" s="303" t="s">
        <v>43</v>
      </c>
      <c r="H24" s="303" t="s">
        <v>43</v>
      </c>
      <c r="I24" s="303" t="s">
        <v>43</v>
      </c>
      <c r="J24" s="303" t="s">
        <v>43</v>
      </c>
      <c r="K24" s="303" t="s">
        <v>43</v>
      </c>
      <c r="L24" s="303" t="s">
        <v>43</v>
      </c>
      <c r="M24" s="303" t="s">
        <v>43</v>
      </c>
      <c r="N24" s="303" t="s">
        <v>43</v>
      </c>
      <c r="O24" s="303" t="s">
        <v>43</v>
      </c>
      <c r="P24" s="303" t="s">
        <v>43</v>
      </c>
      <c r="Q24" s="303" t="s">
        <v>43</v>
      </c>
      <c r="R24" s="303" t="s">
        <v>43</v>
      </c>
      <c r="S24" s="303" t="s">
        <v>43</v>
      </c>
      <c r="T24" s="303" t="s">
        <v>43</v>
      </c>
      <c r="U24" s="303" t="s">
        <v>43</v>
      </c>
      <c r="V24" s="303" t="s">
        <v>43</v>
      </c>
      <c r="W24" s="303" t="s">
        <v>43</v>
      </c>
      <c r="X24" s="303" t="s">
        <v>43</v>
      </c>
      <c r="Y24" s="303" t="s">
        <v>43</v>
      </c>
      <c r="Z24" s="303" t="s">
        <v>43</v>
      </c>
      <c r="AA24" s="303" t="s">
        <v>43</v>
      </c>
      <c r="AB24" s="303" t="s">
        <v>43</v>
      </c>
      <c r="AC24" s="303" t="s">
        <v>43</v>
      </c>
      <c r="AD24" s="303" t="s">
        <v>43</v>
      </c>
      <c r="AE24" s="303" t="s">
        <v>43</v>
      </c>
      <c r="AF24" s="303" t="s">
        <v>43</v>
      </c>
      <c r="AG24" s="326" t="s">
        <v>43</v>
      </c>
      <c r="AH24" s="326" t="s">
        <v>43</v>
      </c>
      <c r="AI24" s="326" t="s">
        <v>43</v>
      </c>
      <c r="AJ24" s="326" t="s">
        <v>43</v>
      </c>
      <c r="AK24" s="325" t="s">
        <v>43</v>
      </c>
      <c r="AL24" s="325" t="s">
        <v>43</v>
      </c>
      <c r="AM24" s="520" t="s">
        <v>43</v>
      </c>
      <c r="AN24" s="191" t="s">
        <v>19</v>
      </c>
    </row>
    <row r="25" spans="1:40" ht="12.75" customHeight="1">
      <c r="A25" s="180"/>
      <c r="B25" s="187" t="s">
        <v>27</v>
      </c>
      <c r="C25" s="188">
        <v>8.011</v>
      </c>
      <c r="D25" s="188">
        <v>8.91</v>
      </c>
      <c r="E25" s="189">
        <v>11.06</v>
      </c>
      <c r="F25" s="189">
        <v>15.195</v>
      </c>
      <c r="G25" s="189">
        <v>15.35</v>
      </c>
      <c r="H25" s="189">
        <v>15.245</v>
      </c>
      <c r="I25" s="189">
        <v>14.439</v>
      </c>
      <c r="J25" s="189">
        <v>16.35</v>
      </c>
      <c r="K25" s="189">
        <v>14.092</v>
      </c>
      <c r="L25" s="189">
        <v>13.875</v>
      </c>
      <c r="M25" s="189">
        <v>14.107</v>
      </c>
      <c r="N25" s="189">
        <v>14.281</v>
      </c>
      <c r="O25" s="189">
        <v>14.666</v>
      </c>
      <c r="P25" s="189">
        <v>14.392</v>
      </c>
      <c r="Q25" s="189">
        <v>14.288</v>
      </c>
      <c r="R25" s="189">
        <v>13.848</v>
      </c>
      <c r="S25" s="189">
        <v>14.509</v>
      </c>
      <c r="T25" s="189">
        <v>15.153</v>
      </c>
      <c r="U25" s="189">
        <v>15.889</v>
      </c>
      <c r="V25" s="189">
        <v>16.325</v>
      </c>
      <c r="W25" s="189">
        <v>16.343</v>
      </c>
      <c r="X25" s="189">
        <v>16.455</v>
      </c>
      <c r="Y25" s="189">
        <v>16.9</v>
      </c>
      <c r="Z25" s="189">
        <v>17.479</v>
      </c>
      <c r="AA25" s="189">
        <v>17.771</v>
      </c>
      <c r="AB25" s="189">
        <v>19.044</v>
      </c>
      <c r="AC25" s="189">
        <v>20.005</v>
      </c>
      <c r="AD25" s="189">
        <v>17.523</v>
      </c>
      <c r="AE25" s="189">
        <v>17.98</v>
      </c>
      <c r="AF25" s="189">
        <v>18.437</v>
      </c>
      <c r="AG25" s="326"/>
      <c r="AH25" s="326">
        <v>96.31558096100515</v>
      </c>
      <c r="AI25" s="326">
        <v>94.7</v>
      </c>
      <c r="AJ25" s="326">
        <v>100</v>
      </c>
      <c r="AK25" s="325"/>
      <c r="AL25" s="325">
        <v>99.5</v>
      </c>
      <c r="AM25" s="526">
        <f aca="true" t="shared" si="3" ref="AM25:AM39">AF25/AE25*100-100</f>
        <v>2.5417130144605125</v>
      </c>
      <c r="AN25" s="187" t="s">
        <v>27</v>
      </c>
    </row>
    <row r="26" spans="1:40" s="201" customFormat="1" ht="12.75" customHeight="1">
      <c r="A26" s="206"/>
      <c r="B26" s="191" t="s">
        <v>36</v>
      </c>
      <c r="C26" s="213">
        <v>6.438</v>
      </c>
      <c r="D26" s="213">
        <v>7.586</v>
      </c>
      <c r="E26" s="193">
        <v>8.912</v>
      </c>
      <c r="F26" s="193">
        <v>9.59</v>
      </c>
      <c r="G26" s="193">
        <v>9.957</v>
      </c>
      <c r="H26" s="193">
        <v>9.764</v>
      </c>
      <c r="I26" s="193">
        <v>9.949</v>
      </c>
      <c r="J26" s="193">
        <v>10.124</v>
      </c>
      <c r="K26" s="193">
        <v>10.222</v>
      </c>
      <c r="L26" s="193">
        <v>8.709</v>
      </c>
      <c r="M26" s="193">
        <v>8.537</v>
      </c>
      <c r="N26" s="193">
        <v>8.554</v>
      </c>
      <c r="O26" s="193">
        <v>8.73978502490829</v>
      </c>
      <c r="P26" s="193">
        <v>8.76093130944158</v>
      </c>
      <c r="Q26" s="193">
        <v>8.80985261380452</v>
      </c>
      <c r="R26" s="193">
        <v>8.6731335633535</v>
      </c>
      <c r="S26" s="193">
        <v>8.274</v>
      </c>
      <c r="T26" s="193">
        <v>8.685</v>
      </c>
      <c r="U26" s="193">
        <v>8.907</v>
      </c>
      <c r="V26" s="193">
        <v>9.167</v>
      </c>
      <c r="W26" s="193">
        <v>10.365</v>
      </c>
      <c r="X26" s="193">
        <v>10.184</v>
      </c>
      <c r="Y26" s="193">
        <v>10.263</v>
      </c>
      <c r="Z26" s="193">
        <v>10.778</v>
      </c>
      <c r="AA26" s="193">
        <v>11.211</v>
      </c>
      <c r="AB26" s="193">
        <v>11.804</v>
      </c>
      <c r="AC26" s="193">
        <v>11.981</v>
      </c>
      <c r="AD26" s="193">
        <v>12.211</v>
      </c>
      <c r="AE26" s="193">
        <v>12.5781</v>
      </c>
      <c r="AF26" s="193">
        <v>12.657</v>
      </c>
      <c r="AG26" s="331"/>
      <c r="AH26" s="331"/>
      <c r="AI26" s="326">
        <v>71.1</v>
      </c>
      <c r="AJ26" s="326">
        <v>69.1072891072891</v>
      </c>
      <c r="AK26" s="325">
        <f>0.693914218706523*100</f>
        <v>69.39142187065231</v>
      </c>
      <c r="AL26" s="325">
        <v>67.8</v>
      </c>
      <c r="AM26" s="527">
        <f t="shared" si="3"/>
        <v>0.6272807498747852</v>
      </c>
      <c r="AN26" s="191" t="s">
        <v>36</v>
      </c>
    </row>
    <row r="27" spans="1:40" ht="12.75" customHeight="1">
      <c r="A27" s="180"/>
      <c r="B27" s="187" t="s">
        <v>20</v>
      </c>
      <c r="C27" s="188">
        <v>36.891</v>
      </c>
      <c r="D27" s="188">
        <v>46.324</v>
      </c>
      <c r="E27" s="189">
        <v>50.373</v>
      </c>
      <c r="F27" s="189">
        <v>40.115</v>
      </c>
      <c r="G27" s="189">
        <v>32.571</v>
      </c>
      <c r="H27" s="189">
        <v>30.865</v>
      </c>
      <c r="I27" s="189">
        <v>27.61</v>
      </c>
      <c r="J27" s="189">
        <v>26.635</v>
      </c>
      <c r="K27" s="189">
        <v>26.569</v>
      </c>
      <c r="L27" s="189">
        <v>25.806</v>
      </c>
      <c r="M27" s="189">
        <v>25.664</v>
      </c>
      <c r="N27" s="189">
        <v>26.198</v>
      </c>
      <c r="O27" s="189">
        <v>24.092</v>
      </c>
      <c r="P27" s="189">
        <v>22.469</v>
      </c>
      <c r="Q27" s="189">
        <v>20.749</v>
      </c>
      <c r="R27" s="189">
        <v>19.638</v>
      </c>
      <c r="S27" s="189">
        <v>18.69</v>
      </c>
      <c r="T27" s="189">
        <v>18.157</v>
      </c>
      <c r="U27" s="189">
        <v>18.552</v>
      </c>
      <c r="V27" s="189">
        <v>19.859</v>
      </c>
      <c r="W27" s="189">
        <v>20.195</v>
      </c>
      <c r="X27" s="189">
        <v>18.637</v>
      </c>
      <c r="Y27" s="189">
        <v>17.921</v>
      </c>
      <c r="Z27" s="189">
        <v>18.177</v>
      </c>
      <c r="AA27" s="189">
        <v>17.826</v>
      </c>
      <c r="AB27" s="189">
        <v>16.797</v>
      </c>
      <c r="AC27" s="189">
        <v>16.015</v>
      </c>
      <c r="AD27" s="189">
        <v>17.367</v>
      </c>
      <c r="AE27" s="189">
        <v>19.175</v>
      </c>
      <c r="AF27" s="189">
        <v>20.319</v>
      </c>
      <c r="AG27" s="326">
        <v>81.90977275271464</v>
      </c>
      <c r="AH27" s="326">
        <v>86.51351029639328</v>
      </c>
      <c r="AI27" s="326">
        <v>86.2</v>
      </c>
      <c r="AJ27" s="326">
        <v>82.21272664279941</v>
      </c>
      <c r="AK27" s="325">
        <f>0.854388116653039*100</f>
        <v>85.4388116653039</v>
      </c>
      <c r="AL27" s="325">
        <v>88.9</v>
      </c>
      <c r="AM27" s="526">
        <f t="shared" si="3"/>
        <v>5.9661016949152526</v>
      </c>
      <c r="AN27" s="187" t="s">
        <v>20</v>
      </c>
    </row>
    <row r="28" spans="1:40" s="201" customFormat="1" ht="12.75" customHeight="1">
      <c r="A28" s="206"/>
      <c r="B28" s="191" t="s">
        <v>37</v>
      </c>
      <c r="C28" s="213">
        <v>3.546</v>
      </c>
      <c r="D28" s="213">
        <v>6.076</v>
      </c>
      <c r="E28" s="193">
        <v>5.664</v>
      </c>
      <c r="F28" s="193">
        <v>5.692</v>
      </c>
      <c r="G28" s="193">
        <v>5.694</v>
      </c>
      <c r="H28" s="193">
        <v>5.397</v>
      </c>
      <c r="I28" s="193">
        <v>5.11</v>
      </c>
      <c r="J28" s="193">
        <v>4.809</v>
      </c>
      <c r="K28" s="193">
        <v>4.502</v>
      </c>
      <c r="L28" s="193">
        <v>4.568</v>
      </c>
      <c r="M28" s="193">
        <v>4.601</v>
      </c>
      <c r="N28" s="193">
        <v>4.329</v>
      </c>
      <c r="O28" s="203">
        <v>4.032</v>
      </c>
      <c r="P28" s="203">
        <v>3.992</v>
      </c>
      <c r="Q28" s="193">
        <v>3.925</v>
      </c>
      <c r="R28" s="193">
        <v>3.753</v>
      </c>
      <c r="S28" s="193">
        <v>3.752</v>
      </c>
      <c r="T28" s="193">
        <v>3.809</v>
      </c>
      <c r="U28" s="193">
        <v>3.876</v>
      </c>
      <c r="V28" s="193">
        <v>3.987</v>
      </c>
      <c r="W28" s="193">
        <v>4.213</v>
      </c>
      <c r="X28" s="193">
        <v>4.213</v>
      </c>
      <c r="Y28" s="193">
        <v>4.111</v>
      </c>
      <c r="Z28" s="193">
        <v>4.237</v>
      </c>
      <c r="AA28" s="193">
        <v>3.803</v>
      </c>
      <c r="AB28" s="193">
        <v>3.649</v>
      </c>
      <c r="AC28" s="193">
        <v>3.852</v>
      </c>
      <c r="AD28" s="193">
        <v>3.957</v>
      </c>
      <c r="AE28" s="193">
        <v>4.266</v>
      </c>
      <c r="AF28" s="193">
        <v>4.516</v>
      </c>
      <c r="AG28" s="326"/>
      <c r="AH28" s="326">
        <v>67.75342465753424</v>
      </c>
      <c r="AI28" s="326">
        <v>65</v>
      </c>
      <c r="AJ28" s="326"/>
      <c r="AK28" s="325"/>
      <c r="AL28" s="325">
        <v>8.2</v>
      </c>
      <c r="AM28" s="527">
        <f t="shared" si="3"/>
        <v>5.860290670417243</v>
      </c>
      <c r="AN28" s="191" t="s">
        <v>37</v>
      </c>
    </row>
    <row r="29" spans="1:40" ht="12.75" customHeight="1">
      <c r="A29" s="180"/>
      <c r="B29" s="187" t="s">
        <v>21</v>
      </c>
      <c r="C29" s="188">
        <v>17.793</v>
      </c>
      <c r="D29" s="188">
        <v>23.22</v>
      </c>
      <c r="E29" s="189">
        <v>30.582</v>
      </c>
      <c r="F29" s="189">
        <v>25.429</v>
      </c>
      <c r="G29" s="189">
        <v>24.269</v>
      </c>
      <c r="H29" s="189">
        <v>19.402</v>
      </c>
      <c r="I29" s="189">
        <v>18.313</v>
      </c>
      <c r="J29" s="189">
        <v>18.879</v>
      </c>
      <c r="K29" s="189">
        <v>18.356</v>
      </c>
      <c r="L29" s="189">
        <v>15.794</v>
      </c>
      <c r="M29" s="189">
        <v>13.422</v>
      </c>
      <c r="N29" s="189">
        <v>12.304</v>
      </c>
      <c r="O29" s="189">
        <v>11.632</v>
      </c>
      <c r="P29" s="189">
        <v>10.965</v>
      </c>
      <c r="Q29" s="189">
        <v>8.502</v>
      </c>
      <c r="R29" s="189">
        <v>8.497</v>
      </c>
      <c r="S29" s="189">
        <v>8.638</v>
      </c>
      <c r="T29" s="189">
        <v>7.985</v>
      </c>
      <c r="U29" s="189">
        <v>8.092</v>
      </c>
      <c r="V29" s="189">
        <v>7.476</v>
      </c>
      <c r="W29" s="189">
        <v>6.958</v>
      </c>
      <c r="X29" s="189">
        <v>6.128</v>
      </c>
      <c r="Y29" s="189">
        <v>5.437</v>
      </c>
      <c r="Z29" s="189">
        <v>5.073</v>
      </c>
      <c r="AA29" s="189">
        <v>4.571</v>
      </c>
      <c r="AB29" s="189">
        <v>4.411</v>
      </c>
      <c r="AC29" s="189">
        <v>4.976</v>
      </c>
      <c r="AD29" s="189">
        <v>5.149</v>
      </c>
      <c r="AE29" s="189">
        <v>4.988</v>
      </c>
      <c r="AF29" s="189">
        <v>5.663</v>
      </c>
      <c r="AG29" s="326">
        <v>94.59755030621172</v>
      </c>
      <c r="AH29" s="326">
        <v>96.4253798033959</v>
      </c>
      <c r="AI29" s="326">
        <v>95.4</v>
      </c>
      <c r="AJ29" s="326">
        <v>100</v>
      </c>
      <c r="AK29" s="325">
        <v>100</v>
      </c>
      <c r="AL29" s="325"/>
      <c r="AM29" s="526">
        <f t="shared" si="3"/>
        <v>13.532477947072977</v>
      </c>
      <c r="AN29" s="187" t="s">
        <v>21</v>
      </c>
    </row>
    <row r="30" spans="1:40" s="201" customFormat="1" ht="12.75" customHeight="1">
      <c r="A30" s="206"/>
      <c r="B30" s="191" t="s">
        <v>23</v>
      </c>
      <c r="C30" s="213">
        <v>1.38</v>
      </c>
      <c r="D30" s="213">
        <v>1.436</v>
      </c>
      <c r="E30" s="193">
        <v>1.429</v>
      </c>
      <c r="F30" s="193">
        <v>0.814</v>
      </c>
      <c r="G30" s="193">
        <v>0.547</v>
      </c>
      <c r="H30" s="193">
        <v>0.566</v>
      </c>
      <c r="I30" s="193">
        <v>0.59</v>
      </c>
      <c r="J30" s="193">
        <v>0.595</v>
      </c>
      <c r="K30" s="193">
        <v>0.613</v>
      </c>
      <c r="L30" s="193">
        <v>0.616</v>
      </c>
      <c r="M30" s="193">
        <v>0.645</v>
      </c>
      <c r="N30" s="193">
        <v>0.623</v>
      </c>
      <c r="O30" s="193">
        <v>0.705</v>
      </c>
      <c r="P30" s="193">
        <v>0.715</v>
      </c>
      <c r="Q30" s="193">
        <v>0.749</v>
      </c>
      <c r="R30" s="193">
        <v>0.777</v>
      </c>
      <c r="S30" s="193">
        <v>0.695</v>
      </c>
      <c r="T30" s="193">
        <v>0.716</v>
      </c>
      <c r="U30" s="193">
        <v>0.724</v>
      </c>
      <c r="V30" s="193">
        <v>0.74</v>
      </c>
      <c r="W30" s="193">
        <v>0.765</v>
      </c>
      <c r="X30" s="193">
        <v>0.773</v>
      </c>
      <c r="Y30" s="193">
        <v>0.729</v>
      </c>
      <c r="Z30" s="193">
        <v>0.689</v>
      </c>
      <c r="AA30" s="193">
        <v>0.659</v>
      </c>
      <c r="AB30" s="193">
        <v>0.679</v>
      </c>
      <c r="AC30" s="193">
        <v>0.62</v>
      </c>
      <c r="AD30" s="193">
        <v>0.628</v>
      </c>
      <c r="AE30" s="193">
        <v>0.611</v>
      </c>
      <c r="AF30" s="193">
        <v>0.57</v>
      </c>
      <c r="AG30" s="326">
        <v>83.87096774193549</v>
      </c>
      <c r="AH30" s="373">
        <v>98.29172141918528</v>
      </c>
      <c r="AI30" s="326">
        <v>98.5</v>
      </c>
      <c r="AJ30" s="326">
        <v>94.55571227080395</v>
      </c>
      <c r="AK30" s="325">
        <v>97.412145272754</v>
      </c>
      <c r="AL30" s="325">
        <v>98.4</v>
      </c>
      <c r="AM30" s="527">
        <f t="shared" si="3"/>
        <v>-6.710310965630114</v>
      </c>
      <c r="AN30" s="191" t="s">
        <v>23</v>
      </c>
    </row>
    <row r="31" spans="1:40" ht="12.75" customHeight="1">
      <c r="A31" s="180"/>
      <c r="B31" s="187" t="s">
        <v>22</v>
      </c>
      <c r="C31" s="188"/>
      <c r="D31" s="188"/>
      <c r="E31" s="189">
        <v>6.381</v>
      </c>
      <c r="F31" s="189">
        <v>6.002</v>
      </c>
      <c r="G31" s="189">
        <v>5.453</v>
      </c>
      <c r="H31" s="189">
        <v>4.569</v>
      </c>
      <c r="I31" s="189">
        <v>4.548</v>
      </c>
      <c r="J31" s="189">
        <v>4.202</v>
      </c>
      <c r="K31" s="189">
        <v>3.769</v>
      </c>
      <c r="L31" s="189">
        <v>3.095</v>
      </c>
      <c r="M31" s="189">
        <v>3.092</v>
      </c>
      <c r="N31" s="189">
        <v>2.968</v>
      </c>
      <c r="O31" s="189">
        <v>2.87</v>
      </c>
      <c r="P31" s="189">
        <v>2.805</v>
      </c>
      <c r="Q31" s="189">
        <v>2.682</v>
      </c>
      <c r="R31" s="189">
        <v>2.316</v>
      </c>
      <c r="S31" s="189">
        <v>2.228</v>
      </c>
      <c r="T31" s="189">
        <v>2.182</v>
      </c>
      <c r="U31" s="189">
        <v>2.213</v>
      </c>
      <c r="V31" s="189">
        <v>2.165</v>
      </c>
      <c r="W31" s="189">
        <v>2.296</v>
      </c>
      <c r="X31" s="189">
        <v>2.264</v>
      </c>
      <c r="Y31" s="189">
        <v>2.309</v>
      </c>
      <c r="Z31" s="189">
        <v>2.431</v>
      </c>
      <c r="AA31" s="189">
        <v>2.459</v>
      </c>
      <c r="AB31" s="189">
        <v>2.485</v>
      </c>
      <c r="AC31" s="189">
        <v>2.583</v>
      </c>
      <c r="AD31" s="189">
        <v>3.411</v>
      </c>
      <c r="AE31" s="189">
        <v>3.484</v>
      </c>
      <c r="AF31" s="189">
        <v>3.754</v>
      </c>
      <c r="AG31" s="326">
        <v>92.28855721393035</v>
      </c>
      <c r="AH31" s="326">
        <v>90.21469859620149</v>
      </c>
      <c r="AI31" s="326">
        <v>91</v>
      </c>
      <c r="AJ31" s="326">
        <v>99.7</v>
      </c>
      <c r="AK31" s="325">
        <v>91.71896010757507</v>
      </c>
      <c r="AL31" s="325">
        <v>93.6</v>
      </c>
      <c r="AM31" s="526">
        <f t="shared" si="3"/>
        <v>7.749712973593574</v>
      </c>
      <c r="AN31" s="187" t="s">
        <v>22</v>
      </c>
    </row>
    <row r="32" spans="1:40" ht="12.75" customHeight="1">
      <c r="A32" s="180"/>
      <c r="B32" s="191" t="s">
        <v>38</v>
      </c>
      <c r="C32" s="213">
        <v>2.156</v>
      </c>
      <c r="D32" s="213">
        <v>3.216</v>
      </c>
      <c r="E32" s="193">
        <v>3.331</v>
      </c>
      <c r="F32" s="193">
        <v>3.23</v>
      </c>
      <c r="G32" s="193">
        <v>3.057</v>
      </c>
      <c r="H32" s="193">
        <v>3.007</v>
      </c>
      <c r="I32" s="193">
        <v>3.037</v>
      </c>
      <c r="J32" s="193">
        <v>3.184</v>
      </c>
      <c r="K32" s="193">
        <v>3.254</v>
      </c>
      <c r="L32" s="193">
        <v>3.376</v>
      </c>
      <c r="M32" s="193">
        <v>3.377</v>
      </c>
      <c r="N32" s="193">
        <v>3.415</v>
      </c>
      <c r="O32" s="193">
        <v>3.405</v>
      </c>
      <c r="P32" s="193">
        <v>3.282</v>
      </c>
      <c r="Q32" s="193">
        <v>3.318</v>
      </c>
      <c r="R32" s="193">
        <v>3.338</v>
      </c>
      <c r="S32" s="193">
        <v>3.352</v>
      </c>
      <c r="T32" s="193">
        <v>3.478</v>
      </c>
      <c r="U32" s="193">
        <v>3.54</v>
      </c>
      <c r="V32" s="193">
        <v>3.778</v>
      </c>
      <c r="W32" s="193">
        <v>4.052</v>
      </c>
      <c r="X32" s="193">
        <v>3.876</v>
      </c>
      <c r="Y32" s="193">
        <v>3.959</v>
      </c>
      <c r="Z32" s="193">
        <v>3.882</v>
      </c>
      <c r="AA32" s="193">
        <v>4.035</v>
      </c>
      <c r="AB32" s="193">
        <v>4.053</v>
      </c>
      <c r="AC32" s="193">
        <v>3.874</v>
      </c>
      <c r="AD32" s="193">
        <v>4.114</v>
      </c>
      <c r="AE32" s="193">
        <v>3.868</v>
      </c>
      <c r="AF32" s="193">
        <v>4.271</v>
      </c>
      <c r="AG32" s="326">
        <f>0.968277571251549*100</f>
        <v>96.8277571251549</v>
      </c>
      <c r="AH32" s="326">
        <f>0.961756723414754*100</f>
        <v>96.1756723414754</v>
      </c>
      <c r="AI32" s="326">
        <v>96.5</v>
      </c>
      <c r="AJ32" s="326">
        <v>97.30123997082421</v>
      </c>
      <c r="AK32" s="325">
        <f>0.969751809720786*100</f>
        <v>96.9751809720786</v>
      </c>
      <c r="AL32" s="325">
        <v>96.7</v>
      </c>
      <c r="AM32" s="527">
        <f t="shared" si="3"/>
        <v>10.41882109617373</v>
      </c>
      <c r="AN32" s="191" t="s">
        <v>38</v>
      </c>
    </row>
    <row r="33" spans="1:40" ht="12.75" customHeight="1">
      <c r="A33" s="180"/>
      <c r="B33" s="187" t="s">
        <v>39</v>
      </c>
      <c r="C33" s="188">
        <v>4.64</v>
      </c>
      <c r="D33" s="188">
        <v>6.998</v>
      </c>
      <c r="E33" s="189">
        <v>6.6</v>
      </c>
      <c r="F33" s="189">
        <v>5.985</v>
      </c>
      <c r="G33" s="189">
        <v>5.963</v>
      </c>
      <c r="H33" s="189">
        <v>6.422</v>
      </c>
      <c r="I33" s="189">
        <v>6.507</v>
      </c>
      <c r="J33" s="189">
        <v>6.839</v>
      </c>
      <c r="K33" s="189">
        <v>6.97</v>
      </c>
      <c r="L33" s="189">
        <v>7.039</v>
      </c>
      <c r="M33" s="189">
        <v>7.23</v>
      </c>
      <c r="N33" s="189">
        <v>7.701</v>
      </c>
      <c r="O33" s="189">
        <v>8.243</v>
      </c>
      <c r="P33" s="189">
        <v>8.732</v>
      </c>
      <c r="Q33" s="189">
        <v>8.874</v>
      </c>
      <c r="R33" s="189">
        <v>8.834</v>
      </c>
      <c r="S33" s="189">
        <v>8.634</v>
      </c>
      <c r="T33" s="189">
        <v>8.91</v>
      </c>
      <c r="U33" s="189">
        <v>9.617</v>
      </c>
      <c r="V33" s="189">
        <v>10.261</v>
      </c>
      <c r="W33" s="189">
        <v>11.146</v>
      </c>
      <c r="X33" s="189">
        <v>11.321</v>
      </c>
      <c r="Y33" s="189">
        <v>11.155</v>
      </c>
      <c r="Z33" s="189">
        <v>11.379</v>
      </c>
      <c r="AA33" s="189">
        <v>11.792</v>
      </c>
      <c r="AB33" s="189">
        <v>11.842</v>
      </c>
      <c r="AC33" s="189">
        <v>12.121</v>
      </c>
      <c r="AD33" s="189">
        <v>12.741</v>
      </c>
      <c r="AE33" s="189">
        <v>12.8</v>
      </c>
      <c r="AF33" s="189">
        <v>13.331</v>
      </c>
      <c r="AG33" s="326">
        <v>46.530332848464106</v>
      </c>
      <c r="AH33" s="326">
        <v>50</v>
      </c>
      <c r="AI33" s="326">
        <v>49.8</v>
      </c>
      <c r="AJ33" s="326">
        <v>49.94113491876619</v>
      </c>
      <c r="AK33" s="325">
        <f>0.494453125*100</f>
        <v>49.4453125</v>
      </c>
      <c r="AL33" s="325">
        <v>51.3</v>
      </c>
      <c r="AM33" s="526">
        <f t="shared" si="3"/>
        <v>4.148437499999986</v>
      </c>
      <c r="AN33" s="187" t="s">
        <v>39</v>
      </c>
    </row>
    <row r="34" spans="1:40" ht="12.75" customHeight="1">
      <c r="A34" s="180"/>
      <c r="B34" s="182" t="s">
        <v>28</v>
      </c>
      <c r="C34" s="423">
        <v>30.6</v>
      </c>
      <c r="D34" s="423">
        <v>30.5</v>
      </c>
      <c r="E34" s="422">
        <v>33.4</v>
      </c>
      <c r="F34" s="411">
        <v>32.7</v>
      </c>
      <c r="G34" s="184">
        <v>31.9</v>
      </c>
      <c r="H34" s="184">
        <v>30.6</v>
      </c>
      <c r="I34" s="184">
        <v>28.9</v>
      </c>
      <c r="J34" s="184">
        <f>30.039+0.2317</f>
        <v>30.2707</v>
      </c>
      <c r="K34" s="184">
        <f>32.135+0.2128</f>
        <v>32.3478</v>
      </c>
      <c r="L34" s="184">
        <f>34.66+0.2256</f>
        <v>34.8856</v>
      </c>
      <c r="M34" s="184">
        <f>36.28+0.2172</f>
        <v>36.4972</v>
      </c>
      <c r="N34" s="184">
        <f>38.472+0.2217</f>
        <v>38.6937</v>
      </c>
      <c r="O34" s="184">
        <f>38.179+0.2271</f>
        <v>38.4061</v>
      </c>
      <c r="P34" s="184">
        <f>39.141+0.2397</f>
        <v>39.3807</v>
      </c>
      <c r="Q34" s="184">
        <f>39.687+0.2363</f>
        <v>39.9233</v>
      </c>
      <c r="R34" s="184">
        <f>40.931+0.233</f>
        <v>41.163999999999994</v>
      </c>
      <c r="S34" s="184">
        <v>43.474</v>
      </c>
      <c r="T34" s="184">
        <v>44.642</v>
      </c>
      <c r="U34" s="184">
        <v>47.297</v>
      </c>
      <c r="V34" s="184">
        <v>50.474</v>
      </c>
      <c r="W34" s="184">
        <v>53.002</v>
      </c>
      <c r="X34" s="184">
        <v>52.765</v>
      </c>
      <c r="Y34" s="184">
        <v>55.831</v>
      </c>
      <c r="Z34" s="184">
        <v>58.462</v>
      </c>
      <c r="AA34" s="184">
        <v>60.783</v>
      </c>
      <c r="AB34" s="184">
        <v>61.95</v>
      </c>
      <c r="AC34" s="358">
        <v>64.711</v>
      </c>
      <c r="AD34" s="358">
        <v>66.594</v>
      </c>
      <c r="AE34" s="411">
        <v>68.01</v>
      </c>
      <c r="AF34" s="411">
        <v>68.912</v>
      </c>
      <c r="AG34" s="330">
        <v>96.1894919869429</v>
      </c>
      <c r="AH34" s="371">
        <v>95.48387096774194</v>
      </c>
      <c r="AI34" s="371">
        <v>96.1</v>
      </c>
      <c r="AJ34" s="414">
        <v>96.90756098301893</v>
      </c>
      <c r="AK34" s="412">
        <f>0.97038069259962*100</f>
        <v>97.038069259962</v>
      </c>
      <c r="AL34" s="412">
        <v>97</v>
      </c>
      <c r="AM34" s="528">
        <f t="shared" si="3"/>
        <v>1.3262755477135642</v>
      </c>
      <c r="AN34" s="470" t="s">
        <v>28</v>
      </c>
    </row>
    <row r="35" spans="1:40" ht="12.75" customHeight="1">
      <c r="A35" s="180"/>
      <c r="B35" s="187" t="s">
        <v>112</v>
      </c>
      <c r="C35" s="188">
        <v>0.253</v>
      </c>
      <c r="D35" s="188">
        <v>0.369</v>
      </c>
      <c r="E35" s="189">
        <v>0.779</v>
      </c>
      <c r="F35" s="189">
        <v>0.318</v>
      </c>
      <c r="G35" s="189">
        <v>0.191</v>
      </c>
      <c r="H35" s="189">
        <v>0.223</v>
      </c>
      <c r="I35" s="189">
        <v>0.215</v>
      </c>
      <c r="J35" s="189">
        <v>0.197</v>
      </c>
      <c r="K35" s="189">
        <v>0.168</v>
      </c>
      <c r="L35" s="189">
        <v>0.095</v>
      </c>
      <c r="M35" s="189">
        <v>0.116</v>
      </c>
      <c r="N35" s="189">
        <v>0.121</v>
      </c>
      <c r="O35" s="189">
        <v>0.125</v>
      </c>
      <c r="P35" s="189">
        <v>0.138</v>
      </c>
      <c r="Q35" s="189">
        <v>0.123</v>
      </c>
      <c r="R35" s="189">
        <v>0.105</v>
      </c>
      <c r="S35" s="189">
        <v>0.089</v>
      </c>
      <c r="T35" s="189">
        <v>0.073</v>
      </c>
      <c r="U35" s="189">
        <v>0.08</v>
      </c>
      <c r="V35" s="189">
        <v>0.051</v>
      </c>
      <c r="W35" s="189">
        <v>0.041</v>
      </c>
      <c r="X35" s="189">
        <v>0.032</v>
      </c>
      <c r="Y35" s="189">
        <v>0.019</v>
      </c>
      <c r="Z35" s="189">
        <v>0.018</v>
      </c>
      <c r="AA35" s="189">
        <v>0.016</v>
      </c>
      <c r="AB35" s="189">
        <v>0.012</v>
      </c>
      <c r="AC35" s="189">
        <v>0.008</v>
      </c>
      <c r="AD35" s="189">
        <v>0.007</v>
      </c>
      <c r="AE35" s="189">
        <v>0.003</v>
      </c>
      <c r="AF35" s="189">
        <v>0.002</v>
      </c>
      <c r="AG35" s="327"/>
      <c r="AH35" s="326"/>
      <c r="AI35" s="326"/>
      <c r="AJ35" s="326"/>
      <c r="AK35" s="325"/>
      <c r="AL35" s="325"/>
      <c r="AM35" s="526">
        <f t="shared" si="3"/>
        <v>-33.33333333333334</v>
      </c>
      <c r="AN35" s="187" t="s">
        <v>112</v>
      </c>
    </row>
    <row r="36" spans="1:40" ht="12.75" customHeight="1">
      <c r="A36" s="180"/>
      <c r="B36" s="191" t="s">
        <v>103</v>
      </c>
      <c r="C36" s="213"/>
      <c r="D36" s="213"/>
      <c r="E36" s="193"/>
      <c r="F36" s="193"/>
      <c r="G36" s="193"/>
      <c r="H36" s="193"/>
      <c r="I36" s="193"/>
      <c r="J36" s="193"/>
      <c r="K36" s="193"/>
      <c r="L36" s="193"/>
      <c r="M36" s="193"/>
      <c r="N36" s="193"/>
      <c r="O36" s="193"/>
      <c r="P36" s="193"/>
      <c r="Q36" s="193"/>
      <c r="R36" s="193"/>
      <c r="S36" s="193"/>
      <c r="T36" s="193"/>
      <c r="U36" s="193"/>
      <c r="V36" s="193"/>
      <c r="W36" s="193"/>
      <c r="X36" s="193"/>
      <c r="Y36" s="193">
        <v>0.09066</v>
      </c>
      <c r="Z36" s="193">
        <v>0.0651</v>
      </c>
      <c r="AA36" s="193">
        <v>0.062</v>
      </c>
      <c r="AB36" s="193">
        <v>0.073</v>
      </c>
      <c r="AC36" s="193">
        <v>0.076</v>
      </c>
      <c r="AD36" s="193">
        <v>0.081</v>
      </c>
      <c r="AE36" s="193">
        <f>83897/1000000</f>
        <v>0.083897</v>
      </c>
      <c r="AF36" s="193">
        <v>0.06</v>
      </c>
      <c r="AG36" s="329"/>
      <c r="AH36" s="329"/>
      <c r="AI36" s="329"/>
      <c r="AJ36" s="329"/>
      <c r="AK36" s="328"/>
      <c r="AL36" s="328"/>
      <c r="AM36" s="527">
        <f t="shared" si="3"/>
        <v>-28.48373600963086</v>
      </c>
      <c r="AN36" s="191" t="s">
        <v>103</v>
      </c>
    </row>
    <row r="37" spans="1:40" ht="12.75" customHeight="1">
      <c r="A37" s="180"/>
      <c r="B37" s="187" t="s">
        <v>6</v>
      </c>
      <c r="C37" s="424"/>
      <c r="D37" s="424"/>
      <c r="E37" s="217"/>
      <c r="F37" s="189"/>
      <c r="G37" s="189"/>
      <c r="H37" s="189"/>
      <c r="I37" s="189"/>
      <c r="J37" s="208">
        <v>0.1</v>
      </c>
      <c r="K37" s="208">
        <v>0.1</v>
      </c>
      <c r="L37" s="208">
        <v>0.1</v>
      </c>
      <c r="M37" s="208">
        <v>0.1</v>
      </c>
      <c r="N37" s="208">
        <v>0.1</v>
      </c>
      <c r="O37" s="208">
        <v>0.1</v>
      </c>
      <c r="P37" s="189">
        <v>0.133</v>
      </c>
      <c r="Q37" s="189">
        <v>0.098</v>
      </c>
      <c r="R37" s="189">
        <v>0.092</v>
      </c>
      <c r="S37" s="189">
        <v>0.094</v>
      </c>
      <c r="T37" s="189">
        <v>0.094</v>
      </c>
      <c r="U37" s="189">
        <v>0.105</v>
      </c>
      <c r="V37" s="189">
        <v>0.109</v>
      </c>
      <c r="W37" s="189">
        <v>0.148</v>
      </c>
      <c r="X37" s="189">
        <v>0.154</v>
      </c>
      <c r="Y37" s="189">
        <f>0.155</f>
        <v>0.155</v>
      </c>
      <c r="Z37" s="189">
        <f>0.145</f>
        <v>0.145</v>
      </c>
      <c r="AA37" s="189">
        <f>0.099</f>
        <v>0.099</v>
      </c>
      <c r="AB37" s="189">
        <v>0.08</v>
      </c>
      <c r="AC37" s="189">
        <v>0.08</v>
      </c>
      <c r="AD37" s="189">
        <v>0.177</v>
      </c>
      <c r="AE37" s="189">
        <v>0.083</v>
      </c>
      <c r="AF37" s="189">
        <v>0.059</v>
      </c>
      <c r="AG37" s="329"/>
      <c r="AH37" s="329"/>
      <c r="AI37" s="329"/>
      <c r="AJ37" s="329"/>
      <c r="AK37" s="328"/>
      <c r="AL37" s="328"/>
      <c r="AM37" s="526">
        <f t="shared" si="3"/>
        <v>-28.915662650602414</v>
      </c>
      <c r="AN37" s="187" t="s">
        <v>6</v>
      </c>
    </row>
    <row r="38" spans="1:40" ht="12.75" customHeight="1">
      <c r="A38" s="180"/>
      <c r="B38" s="191" t="s">
        <v>104</v>
      </c>
      <c r="C38" s="425">
        <v>3.671</v>
      </c>
      <c r="D38" s="425">
        <v>3.352</v>
      </c>
      <c r="E38" s="274">
        <v>4.452</v>
      </c>
      <c r="F38" s="193">
        <v>2.675</v>
      </c>
      <c r="G38" s="193">
        <v>2.544</v>
      </c>
      <c r="H38" s="193">
        <v>3.076</v>
      </c>
      <c r="I38" s="193">
        <v>2.299</v>
      </c>
      <c r="J38" s="203">
        <v>2.326</v>
      </c>
      <c r="K38" s="203">
        <v>1.415</v>
      </c>
      <c r="L38" s="203">
        <v>1.304</v>
      </c>
      <c r="M38" s="203">
        <v>1.368</v>
      </c>
      <c r="N38" s="203">
        <v>0.789</v>
      </c>
      <c r="O38" s="203">
        <v>1.236</v>
      </c>
      <c r="P38" s="193">
        <v>1.047</v>
      </c>
      <c r="Q38" s="193">
        <v>0.954</v>
      </c>
      <c r="R38" s="193">
        <v>0.809</v>
      </c>
      <c r="S38" s="193">
        <v>0.821</v>
      </c>
      <c r="T38" s="193">
        <v>0.713</v>
      </c>
      <c r="U38" s="193">
        <v>0.684</v>
      </c>
      <c r="V38" s="193">
        <v>0.687</v>
      </c>
      <c r="W38" s="193">
        <v>0.583</v>
      </c>
      <c r="X38" s="193">
        <v>0.522</v>
      </c>
      <c r="Y38" s="193">
        <v>0.522</v>
      </c>
      <c r="Z38" s="193">
        <v>0.541</v>
      </c>
      <c r="AA38" s="193">
        <v>0.54</v>
      </c>
      <c r="AB38" s="193">
        <v>0.612</v>
      </c>
      <c r="AC38" s="193">
        <v>0.453</v>
      </c>
      <c r="AD38" s="193">
        <v>0.509</v>
      </c>
      <c r="AE38" s="193">
        <v>0.438</v>
      </c>
      <c r="AF38" s="193">
        <v>0.377</v>
      </c>
      <c r="AG38" s="329"/>
      <c r="AH38" s="329"/>
      <c r="AI38" s="329"/>
      <c r="AJ38" s="329"/>
      <c r="AK38" s="328"/>
      <c r="AL38" s="328"/>
      <c r="AM38" s="527">
        <f t="shared" si="3"/>
        <v>-13.926940639269404</v>
      </c>
      <c r="AN38" s="191" t="s">
        <v>104</v>
      </c>
    </row>
    <row r="39" spans="1:40" s="201" customFormat="1" ht="12.75" customHeight="1">
      <c r="A39" s="206"/>
      <c r="B39" s="195" t="s">
        <v>24</v>
      </c>
      <c r="C39" s="188">
        <v>5.561</v>
      </c>
      <c r="D39" s="188">
        <v>6.011</v>
      </c>
      <c r="E39" s="189">
        <v>6.41</v>
      </c>
      <c r="F39" s="189">
        <v>6.048</v>
      </c>
      <c r="G39" s="189">
        <v>6.259</v>
      </c>
      <c r="H39" s="189">
        <v>7.147</v>
      </c>
      <c r="I39" s="189">
        <v>6.335</v>
      </c>
      <c r="J39" s="189">
        <v>5.797</v>
      </c>
      <c r="K39" s="189">
        <v>5.229</v>
      </c>
      <c r="L39" s="189">
        <v>5.84</v>
      </c>
      <c r="M39" s="189">
        <v>6.16</v>
      </c>
      <c r="N39" s="189">
        <v>6.146</v>
      </c>
      <c r="O39" s="189">
        <v>5.832</v>
      </c>
      <c r="P39" s="189">
        <v>5.568</v>
      </c>
      <c r="Q39" s="189">
        <v>5.204</v>
      </c>
      <c r="R39" s="189">
        <v>5.878</v>
      </c>
      <c r="S39" s="189">
        <v>5.237</v>
      </c>
      <c r="T39" s="189">
        <v>5.036</v>
      </c>
      <c r="U39" s="189">
        <v>5.277</v>
      </c>
      <c r="V39" s="189">
        <v>5.553</v>
      </c>
      <c r="W39" s="189">
        <v>5.097</v>
      </c>
      <c r="X39" s="189">
        <v>5.374</v>
      </c>
      <c r="Y39" s="189">
        <v>5.491</v>
      </c>
      <c r="Z39" s="189">
        <f>5.882</f>
        <v>5.882</v>
      </c>
      <c r="AA39" s="189">
        <v>4.598</v>
      </c>
      <c r="AB39" s="189">
        <v>3.775</v>
      </c>
      <c r="AC39" s="189">
        <v>4.393</v>
      </c>
      <c r="AD39" s="189">
        <v>4.828</v>
      </c>
      <c r="AE39" s="189">
        <v>4.325</v>
      </c>
      <c r="AF39" s="471">
        <v>4.566</v>
      </c>
      <c r="AG39" s="472"/>
      <c r="AH39" s="472"/>
      <c r="AI39" s="472"/>
      <c r="AJ39" s="472"/>
      <c r="AK39" s="413"/>
      <c r="AL39" s="413"/>
      <c r="AM39" s="529">
        <f t="shared" si="3"/>
        <v>5.572254335260112</v>
      </c>
      <c r="AN39" s="195" t="s">
        <v>24</v>
      </c>
    </row>
    <row r="40" spans="1:40" s="201" customFormat="1" ht="12.75" customHeight="1">
      <c r="A40" s="206"/>
      <c r="B40" s="191" t="s">
        <v>10</v>
      </c>
      <c r="C40" s="297" t="s">
        <v>43</v>
      </c>
      <c r="D40" s="297" t="s">
        <v>43</v>
      </c>
      <c r="E40" s="298" t="s">
        <v>43</v>
      </c>
      <c r="F40" s="298" t="s">
        <v>43</v>
      </c>
      <c r="G40" s="298" t="s">
        <v>43</v>
      </c>
      <c r="H40" s="298" t="s">
        <v>43</v>
      </c>
      <c r="I40" s="298" t="s">
        <v>43</v>
      </c>
      <c r="J40" s="298" t="s">
        <v>43</v>
      </c>
      <c r="K40" s="298" t="s">
        <v>43</v>
      </c>
      <c r="L40" s="298" t="s">
        <v>43</v>
      </c>
      <c r="M40" s="298" t="s">
        <v>43</v>
      </c>
      <c r="N40" s="298" t="s">
        <v>43</v>
      </c>
      <c r="O40" s="298" t="s">
        <v>43</v>
      </c>
      <c r="P40" s="298" t="s">
        <v>43</v>
      </c>
      <c r="Q40" s="298" t="s">
        <v>43</v>
      </c>
      <c r="R40" s="298" t="s">
        <v>43</v>
      </c>
      <c r="S40" s="298" t="s">
        <v>43</v>
      </c>
      <c r="T40" s="298" t="s">
        <v>43</v>
      </c>
      <c r="U40" s="298" t="s">
        <v>43</v>
      </c>
      <c r="V40" s="298" t="s">
        <v>43</v>
      </c>
      <c r="W40" s="298" t="s">
        <v>43</v>
      </c>
      <c r="X40" s="298" t="s">
        <v>43</v>
      </c>
      <c r="Y40" s="298" t="s">
        <v>43</v>
      </c>
      <c r="Z40" s="298" t="s">
        <v>43</v>
      </c>
      <c r="AA40" s="298" t="s">
        <v>43</v>
      </c>
      <c r="AB40" s="298" t="s">
        <v>43</v>
      </c>
      <c r="AC40" s="366" t="s">
        <v>43</v>
      </c>
      <c r="AD40" s="366" t="s">
        <v>43</v>
      </c>
      <c r="AE40" s="366" t="s">
        <v>43</v>
      </c>
      <c r="AF40" s="303" t="s">
        <v>43</v>
      </c>
      <c r="AG40" s="326" t="s">
        <v>43</v>
      </c>
      <c r="AH40" s="326" t="s">
        <v>43</v>
      </c>
      <c r="AI40" s="326" t="s">
        <v>43</v>
      </c>
      <c r="AJ40" s="326" t="s">
        <v>43</v>
      </c>
      <c r="AK40" s="325" t="s">
        <v>43</v>
      </c>
      <c r="AL40" s="325" t="s">
        <v>43</v>
      </c>
      <c r="AM40" s="520" t="s">
        <v>43</v>
      </c>
      <c r="AN40" s="191" t="s">
        <v>10</v>
      </c>
    </row>
    <row r="41" spans="1:40" ht="12.75" customHeight="1">
      <c r="A41" s="180"/>
      <c r="B41" s="187" t="s">
        <v>40</v>
      </c>
      <c r="C41" s="188">
        <v>1.86</v>
      </c>
      <c r="D41" s="188">
        <v>2.394</v>
      </c>
      <c r="E41" s="189">
        <v>2.104</v>
      </c>
      <c r="F41" s="189">
        <v>2.15</v>
      </c>
      <c r="G41" s="189">
        <v>2.256</v>
      </c>
      <c r="H41" s="189">
        <v>2.316</v>
      </c>
      <c r="I41" s="189">
        <v>2.398</v>
      </c>
      <c r="J41" s="189">
        <v>2.381</v>
      </c>
      <c r="K41" s="189">
        <v>2.449</v>
      </c>
      <c r="L41" s="189">
        <v>2.561</v>
      </c>
      <c r="M41" s="189">
        <v>2.59</v>
      </c>
      <c r="N41" s="189">
        <v>2.674</v>
      </c>
      <c r="O41" s="189">
        <v>2.635</v>
      </c>
      <c r="P41" s="189">
        <v>2.677</v>
      </c>
      <c r="Q41" s="189">
        <v>2.477</v>
      </c>
      <c r="R41" s="189">
        <v>2.381</v>
      </c>
      <c r="S41" s="189">
        <v>2.62</v>
      </c>
      <c r="T41" s="189">
        <v>2.723</v>
      </c>
      <c r="U41" s="189">
        <v>2.833</v>
      </c>
      <c r="V41" s="189">
        <v>2.958</v>
      </c>
      <c r="W41" s="189">
        <v>3.123</v>
      </c>
      <c r="X41" s="189">
        <v>3.08</v>
      </c>
      <c r="Y41" s="189">
        <v>3.186</v>
      </c>
      <c r="Z41" s="189">
        <v>3.076</v>
      </c>
      <c r="AA41" s="189">
        <v>3.092</v>
      </c>
      <c r="AB41" s="189">
        <v>3.26</v>
      </c>
      <c r="AC41" s="189">
        <v>3.44</v>
      </c>
      <c r="AD41" s="189">
        <v>3.555</v>
      </c>
      <c r="AE41" s="189">
        <v>3.695</v>
      </c>
      <c r="AF41" s="189">
        <v>3.584</v>
      </c>
      <c r="AG41" s="326">
        <v>74.14116177389131</v>
      </c>
      <c r="AH41" s="326">
        <v>74.57783236106846</v>
      </c>
      <c r="AI41" s="326">
        <v>74.4</v>
      </c>
      <c r="AJ41" s="326">
        <v>44.872513309050156</v>
      </c>
      <c r="AK41" s="325">
        <f>0.988950874722418*100</f>
        <v>98.89508747224181</v>
      </c>
      <c r="AL41" s="325">
        <f>0.988950874722418*100</f>
        <v>98.89508747224181</v>
      </c>
      <c r="AM41" s="526">
        <f>AF41/AE41*100-100</f>
        <v>-3.0040595399187993</v>
      </c>
      <c r="AN41" s="187" t="s">
        <v>40</v>
      </c>
    </row>
    <row r="42" spans="1:40" s="201" customFormat="1" ht="12.75" customHeight="1">
      <c r="A42" s="206"/>
      <c r="B42" s="182" t="s">
        <v>11</v>
      </c>
      <c r="C42" s="183">
        <v>9.339</v>
      </c>
      <c r="D42" s="183">
        <v>9.964</v>
      </c>
      <c r="E42" s="184">
        <v>12.68</v>
      </c>
      <c r="F42" s="184">
        <v>13.83</v>
      </c>
      <c r="G42" s="184">
        <v>13.21</v>
      </c>
      <c r="H42" s="184">
        <v>13.38</v>
      </c>
      <c r="I42" s="184">
        <v>13.84</v>
      </c>
      <c r="J42" s="184">
        <v>11.71</v>
      </c>
      <c r="K42" s="184">
        <v>11.89</v>
      </c>
      <c r="L42" s="184">
        <v>12.05</v>
      </c>
      <c r="M42" s="184">
        <v>12.15</v>
      </c>
      <c r="N42" s="184">
        <v>12.5</v>
      </c>
      <c r="O42" s="184">
        <v>12.62</v>
      </c>
      <c r="P42" s="184">
        <v>13.301</v>
      </c>
      <c r="Q42" s="184">
        <v>14.147</v>
      </c>
      <c r="R42" s="184">
        <v>14.509</v>
      </c>
      <c r="S42" s="184">
        <v>14.914</v>
      </c>
      <c r="T42" s="184">
        <v>16.144</v>
      </c>
      <c r="U42" s="184">
        <v>16.578</v>
      </c>
      <c r="V42" s="184">
        <v>17.434</v>
      </c>
      <c r="W42" s="184">
        <v>17.7755</v>
      </c>
      <c r="X42" s="184">
        <v>18.570700000000002</v>
      </c>
      <c r="Y42" s="184">
        <v>19.176599999999997</v>
      </c>
      <c r="Z42" s="184">
        <v>19.471400000000003</v>
      </c>
      <c r="AA42" s="184">
        <v>19.262400000000003</v>
      </c>
      <c r="AB42" s="184">
        <v>19.447200000000002</v>
      </c>
      <c r="AC42" s="358">
        <v>20.0102</v>
      </c>
      <c r="AD42" s="358">
        <v>20.3893</v>
      </c>
      <c r="AE42" s="411">
        <v>20.812</v>
      </c>
      <c r="AF42" s="411">
        <v>20.865</v>
      </c>
      <c r="AG42" s="472"/>
      <c r="AH42" s="472"/>
      <c r="AI42" s="472"/>
      <c r="AJ42" s="472"/>
      <c r="AK42" s="413"/>
      <c r="AL42" s="413"/>
      <c r="AM42" s="530">
        <f>AF42/AE42*100-100</f>
        <v>0.25466077263116915</v>
      </c>
      <c r="AN42" s="182" t="s">
        <v>11</v>
      </c>
    </row>
    <row r="43" spans="1:40" ht="12.75" customHeight="1">
      <c r="A43" s="180"/>
      <c r="B43" s="600" t="s">
        <v>159</v>
      </c>
      <c r="C43" s="600"/>
      <c r="D43" s="600"/>
      <c r="E43" s="600"/>
      <c r="F43" s="600"/>
      <c r="G43" s="600"/>
      <c r="H43" s="600"/>
      <c r="I43" s="600"/>
      <c r="J43" s="600"/>
      <c r="K43" s="600"/>
      <c r="L43" s="600"/>
      <c r="M43" s="600"/>
      <c r="N43" s="600"/>
      <c r="O43" s="600"/>
      <c r="P43" s="600"/>
      <c r="Q43" s="600"/>
      <c r="R43" s="600"/>
      <c r="S43" s="600"/>
      <c r="T43" s="600"/>
      <c r="U43" s="600"/>
      <c r="V43" s="600"/>
      <c r="W43" s="600"/>
      <c r="X43" s="600"/>
      <c r="Y43" s="600"/>
      <c r="Z43" s="600"/>
      <c r="AA43" s="600"/>
      <c r="AB43" s="600"/>
      <c r="AC43" s="600"/>
      <c r="AD43" s="600"/>
      <c r="AE43" s="600"/>
      <c r="AF43" s="600"/>
      <c r="AG43" s="600"/>
      <c r="AH43" s="600"/>
      <c r="AI43" s="600"/>
      <c r="AJ43" s="600"/>
      <c r="AK43" s="600"/>
      <c r="AL43" s="600"/>
      <c r="AM43" s="600"/>
      <c r="AN43" s="600"/>
    </row>
    <row r="44" spans="1:40" s="201" customFormat="1" ht="12.75" customHeight="1">
      <c r="A44" s="206"/>
      <c r="B44" s="324" t="s">
        <v>132</v>
      </c>
      <c r="C44" s="323"/>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70"/>
      <c r="AD44" s="390"/>
      <c r="AE44" s="410"/>
      <c r="AF44" s="461"/>
      <c r="AG44" s="323"/>
      <c r="AH44" s="323"/>
      <c r="AI44" s="370"/>
      <c r="AJ44" s="390"/>
      <c r="AK44" s="467"/>
      <c r="AL44" s="410"/>
      <c r="AM44" s="531"/>
      <c r="AN44" s="323"/>
    </row>
    <row r="45" spans="2:40" ht="15" customHeight="1">
      <c r="B45" s="271" t="s">
        <v>158</v>
      </c>
      <c r="AN45" s="380"/>
    </row>
    <row r="46" ht="18.75" customHeight="1">
      <c r="B46" s="271"/>
    </row>
  </sheetData>
  <sheetProtection/>
  <mergeCells count="2">
    <mergeCell ref="B2:AN2"/>
    <mergeCell ref="B43:AN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S62"/>
  <sheetViews>
    <sheetView zoomScale="85" zoomScaleNormal="85" zoomScalePageLayoutView="0" workbookViewId="0" topLeftCell="A1">
      <selection activeCell="V51" sqref="V51"/>
    </sheetView>
  </sheetViews>
  <sheetFormatPr defaultColWidth="9.140625" defaultRowHeight="12.75"/>
  <cols>
    <col min="1" max="1" width="3.28125" style="0" customWidth="1"/>
    <col min="2" max="2" width="2.57421875" style="0" customWidth="1"/>
    <col min="3" max="3" width="7.28125" style="0" customWidth="1"/>
    <col min="4" max="4" width="5.28125" style="0" customWidth="1"/>
    <col min="5" max="11" width="5.7109375" style="0" customWidth="1"/>
    <col min="12" max="12" width="5.00390625" style="0" customWidth="1"/>
    <col min="13" max="15" width="5.7109375" style="0" customWidth="1"/>
    <col min="16" max="16" width="4.8515625" style="0" customWidth="1"/>
    <col min="17" max="17" width="10.57421875" style="0" customWidth="1"/>
    <col min="18" max="18" width="7.140625" style="0" customWidth="1"/>
  </cols>
  <sheetData>
    <row r="1" spans="3:18" ht="14.25" customHeight="1">
      <c r="C1" s="605"/>
      <c r="D1" s="605"/>
      <c r="E1" s="81"/>
      <c r="F1" s="39"/>
      <c r="G1" s="39"/>
      <c r="H1" s="39"/>
      <c r="I1" s="39"/>
      <c r="J1" s="39"/>
      <c r="K1" s="39"/>
      <c r="L1" s="39"/>
      <c r="M1" s="39"/>
      <c r="N1" s="39"/>
      <c r="O1" s="39"/>
      <c r="P1" s="40"/>
      <c r="R1" s="59" t="s">
        <v>91</v>
      </c>
    </row>
    <row r="2" spans="3:18" s="17" customFormat="1" ht="30" customHeight="1">
      <c r="C2" s="606" t="s">
        <v>60</v>
      </c>
      <c r="D2" s="606"/>
      <c r="E2" s="606"/>
      <c r="F2" s="606"/>
      <c r="G2" s="606"/>
      <c r="H2" s="606"/>
      <c r="I2" s="606"/>
      <c r="J2" s="606"/>
      <c r="K2" s="606"/>
      <c r="L2" s="606"/>
      <c r="M2" s="606"/>
      <c r="N2" s="606"/>
      <c r="O2" s="606"/>
      <c r="P2" s="606"/>
      <c r="Q2" s="606"/>
      <c r="R2" s="606"/>
    </row>
    <row r="3" spans="3:17" ht="10.5" customHeight="1">
      <c r="C3" s="607" t="s">
        <v>108</v>
      </c>
      <c r="D3" s="608"/>
      <c r="E3" s="608"/>
      <c r="F3" s="608"/>
      <c r="G3" s="608"/>
      <c r="H3" s="608"/>
      <c r="I3" s="608"/>
      <c r="J3" s="608"/>
      <c r="K3" s="608"/>
      <c r="L3" s="608"/>
      <c r="M3" s="608"/>
      <c r="N3" s="608"/>
      <c r="O3" s="608"/>
      <c r="P3" s="608"/>
      <c r="Q3" s="608"/>
    </row>
    <row r="4" spans="3:18" ht="24.75" customHeight="1">
      <c r="C4" s="41"/>
      <c r="D4" s="55" t="s">
        <v>29</v>
      </c>
      <c r="E4" s="55" t="s">
        <v>14</v>
      </c>
      <c r="F4" s="55" t="s">
        <v>30</v>
      </c>
      <c r="G4" s="56" t="s">
        <v>31</v>
      </c>
      <c r="H4" s="55" t="s">
        <v>32</v>
      </c>
      <c r="I4" s="55" t="s">
        <v>34</v>
      </c>
      <c r="J4" s="55" t="s">
        <v>27</v>
      </c>
      <c r="K4" s="163" t="s">
        <v>20</v>
      </c>
      <c r="L4" s="55" t="s">
        <v>37</v>
      </c>
      <c r="M4" s="55" t="s">
        <v>23</v>
      </c>
      <c r="N4" s="55" t="s">
        <v>38</v>
      </c>
      <c r="O4" s="55" t="s">
        <v>39</v>
      </c>
      <c r="P4" s="56" t="s">
        <v>28</v>
      </c>
      <c r="Q4" s="162" t="s">
        <v>113</v>
      </c>
      <c r="R4" s="103" t="s">
        <v>78</v>
      </c>
    </row>
    <row r="5" spans="3:18" ht="15" customHeight="1">
      <c r="C5" s="57">
        <v>1990</v>
      </c>
      <c r="D5" s="115" t="s">
        <v>43</v>
      </c>
      <c r="E5" s="114" t="s">
        <v>43</v>
      </c>
      <c r="F5" s="114" t="s">
        <v>43</v>
      </c>
      <c r="G5" s="114" t="s">
        <v>43</v>
      </c>
      <c r="H5" s="101">
        <v>14.92</v>
      </c>
      <c r="I5" s="101">
        <v>0.3</v>
      </c>
      <c r="J5" s="114" t="s">
        <v>43</v>
      </c>
      <c r="K5" s="408" t="s">
        <v>43</v>
      </c>
      <c r="L5" s="114" t="s">
        <v>43</v>
      </c>
      <c r="M5" s="114" t="s">
        <v>43</v>
      </c>
      <c r="N5" s="114" t="s">
        <v>43</v>
      </c>
      <c r="O5" s="114">
        <v>0.006</v>
      </c>
      <c r="P5" s="114" t="s">
        <v>43</v>
      </c>
      <c r="Q5" s="106">
        <f>SUM(D5:P5)</f>
        <v>15.226</v>
      </c>
      <c r="R5" s="116"/>
    </row>
    <row r="6" spans="3:18" ht="15" customHeight="1">
      <c r="C6" s="58">
        <v>1991</v>
      </c>
      <c r="D6" s="109" t="s">
        <v>43</v>
      </c>
      <c r="E6" s="100" t="s">
        <v>43</v>
      </c>
      <c r="F6" s="38">
        <v>2</v>
      </c>
      <c r="G6" s="100" t="s">
        <v>43</v>
      </c>
      <c r="H6" s="38">
        <v>17.87</v>
      </c>
      <c r="I6" s="38">
        <v>0.4</v>
      </c>
      <c r="J6" s="100" t="s">
        <v>43</v>
      </c>
      <c r="K6" s="409" t="s">
        <v>43</v>
      </c>
      <c r="L6" s="100" t="s">
        <v>43</v>
      </c>
      <c r="M6" s="100" t="s">
        <v>43</v>
      </c>
      <c r="N6" s="100" t="s">
        <v>43</v>
      </c>
      <c r="O6" s="38">
        <v>0.094</v>
      </c>
      <c r="P6" s="100" t="s">
        <v>43</v>
      </c>
      <c r="Q6" s="107">
        <f>SUM(D6:P6)</f>
        <v>20.364</v>
      </c>
      <c r="R6" s="104">
        <f>Q6/Q5-1</f>
        <v>0.3374491002233022</v>
      </c>
    </row>
    <row r="7" spans="3:18" ht="15" customHeight="1">
      <c r="C7" s="58">
        <v>1992</v>
      </c>
      <c r="D7" s="109" t="s">
        <v>43</v>
      </c>
      <c r="E7" s="100" t="s">
        <v>43</v>
      </c>
      <c r="F7" s="38">
        <v>5.2</v>
      </c>
      <c r="G7" s="38">
        <v>0.4</v>
      </c>
      <c r="H7" s="38">
        <v>18.96</v>
      </c>
      <c r="I7" s="38">
        <v>0.4</v>
      </c>
      <c r="J7" s="100" t="s">
        <v>43</v>
      </c>
      <c r="K7" s="409" t="s">
        <v>43</v>
      </c>
      <c r="L7" s="100" t="s">
        <v>43</v>
      </c>
      <c r="M7" s="100" t="s">
        <v>43</v>
      </c>
      <c r="N7" s="100" t="s">
        <v>43</v>
      </c>
      <c r="O7" s="38">
        <v>0.154</v>
      </c>
      <c r="P7" s="100" t="s">
        <v>43</v>
      </c>
      <c r="Q7" s="107">
        <f>SUM(D7:P7)</f>
        <v>25.114</v>
      </c>
      <c r="R7" s="104">
        <f aca="true" t="shared" si="0" ref="R7:R32">Q7/Q6-1</f>
        <v>0.23325476330779815</v>
      </c>
    </row>
    <row r="8" spans="2:18" ht="15" customHeight="1">
      <c r="B8" s="2"/>
      <c r="C8" s="58">
        <v>1993</v>
      </c>
      <c r="D8" s="109" t="s">
        <v>43</v>
      </c>
      <c r="E8" s="100" t="s">
        <v>43</v>
      </c>
      <c r="F8" s="38">
        <v>7</v>
      </c>
      <c r="G8" s="38">
        <v>0.9</v>
      </c>
      <c r="H8" s="38">
        <v>18.93</v>
      </c>
      <c r="I8" s="38">
        <v>0.5</v>
      </c>
      <c r="J8" s="100" t="s">
        <v>43</v>
      </c>
      <c r="K8" s="409" t="s">
        <v>43</v>
      </c>
      <c r="L8" s="100" t="s">
        <v>43</v>
      </c>
      <c r="M8" s="100" t="s">
        <v>43</v>
      </c>
      <c r="N8" s="100" t="s">
        <v>43</v>
      </c>
      <c r="O8" s="38">
        <v>0.272</v>
      </c>
      <c r="P8" s="100" t="s">
        <v>43</v>
      </c>
      <c r="Q8" s="107">
        <f>SUM(D8:P8)</f>
        <v>27.601999999999997</v>
      </c>
      <c r="R8" s="104">
        <f t="shared" si="0"/>
        <v>0.09906824878553788</v>
      </c>
    </row>
    <row r="9" spans="2:18" ht="15" customHeight="1" thickBot="1">
      <c r="B9" s="2"/>
      <c r="C9" s="58">
        <v>1994</v>
      </c>
      <c r="D9" s="109" t="s">
        <v>43</v>
      </c>
      <c r="E9" s="100" t="s">
        <v>43</v>
      </c>
      <c r="F9" s="38">
        <v>8.2</v>
      </c>
      <c r="G9" s="38">
        <v>0.9</v>
      </c>
      <c r="H9" s="488">
        <v>20.51</v>
      </c>
      <c r="I9" s="38">
        <v>0.8</v>
      </c>
      <c r="J9" s="100" t="s">
        <v>43</v>
      </c>
      <c r="K9" s="409" t="s">
        <v>43</v>
      </c>
      <c r="L9" s="100" t="s">
        <v>43</v>
      </c>
      <c r="M9" s="100" t="s">
        <v>43</v>
      </c>
      <c r="N9" s="100" t="s">
        <v>43</v>
      </c>
      <c r="O9" s="38">
        <v>0.305</v>
      </c>
      <c r="P9" s="351" t="s">
        <v>43</v>
      </c>
      <c r="Q9" s="108">
        <f>SUM(D9:P9)</f>
        <v>30.715</v>
      </c>
      <c r="R9" s="104">
        <f t="shared" si="0"/>
        <v>0.11278168248677645</v>
      </c>
    </row>
    <row r="10" spans="3:18" ht="15" customHeight="1" thickTop="1">
      <c r="C10" s="58">
        <v>1995</v>
      </c>
      <c r="D10" s="109" t="s">
        <v>43</v>
      </c>
      <c r="E10" s="100" t="s">
        <v>43</v>
      </c>
      <c r="F10" s="38">
        <v>8.7</v>
      </c>
      <c r="G10" s="38">
        <v>1.294</v>
      </c>
      <c r="H10" s="38">
        <v>21.43</v>
      </c>
      <c r="I10" s="38">
        <v>1.1</v>
      </c>
      <c r="J10" s="100" t="s">
        <v>43</v>
      </c>
      <c r="K10" s="409" t="s">
        <v>43</v>
      </c>
      <c r="L10" s="100" t="s">
        <v>43</v>
      </c>
      <c r="M10" s="100" t="s">
        <v>43</v>
      </c>
      <c r="N10" s="100" t="s">
        <v>43</v>
      </c>
      <c r="O10" s="38">
        <v>0.415</v>
      </c>
      <c r="P10" s="351" t="s">
        <v>43</v>
      </c>
      <c r="Q10" s="108">
        <f aca="true" t="shared" si="1" ref="Q10:Q30">SUM(D10:P10)</f>
        <v>32.939</v>
      </c>
      <c r="R10" s="104">
        <f t="shared" si="0"/>
        <v>0.07240761842747845</v>
      </c>
    </row>
    <row r="11" spans="3:18" ht="15" customHeight="1">
      <c r="C11" s="58">
        <v>1996</v>
      </c>
      <c r="D11" s="109">
        <v>0.32</v>
      </c>
      <c r="E11" s="100" t="s">
        <v>43</v>
      </c>
      <c r="F11" s="38">
        <v>8.85</v>
      </c>
      <c r="G11" s="38">
        <v>1.1</v>
      </c>
      <c r="H11" s="38">
        <v>24.79</v>
      </c>
      <c r="I11" s="38">
        <v>1.3</v>
      </c>
      <c r="J11" s="100">
        <v>0.031</v>
      </c>
      <c r="K11" s="409" t="s">
        <v>43</v>
      </c>
      <c r="L11" s="100" t="s">
        <v>43</v>
      </c>
      <c r="M11" s="100" t="s">
        <v>43</v>
      </c>
      <c r="N11" s="100">
        <v>0.024</v>
      </c>
      <c r="O11" s="38">
        <v>1.101</v>
      </c>
      <c r="P11" s="351" t="s">
        <v>43</v>
      </c>
      <c r="Q11" s="108">
        <f t="shared" si="1"/>
        <v>37.516</v>
      </c>
      <c r="R11" s="104">
        <f t="shared" si="0"/>
        <v>0.1389538237347825</v>
      </c>
    </row>
    <row r="12" spans="3:18" ht="15" customHeight="1">
      <c r="C12" s="58">
        <v>1997</v>
      </c>
      <c r="D12" s="102">
        <v>0.555</v>
      </c>
      <c r="E12" s="100" t="s">
        <v>43</v>
      </c>
      <c r="F12" s="38">
        <v>10.073</v>
      </c>
      <c r="G12" s="38">
        <v>1.3</v>
      </c>
      <c r="H12" s="38">
        <v>27.58</v>
      </c>
      <c r="I12" s="38">
        <v>2.4</v>
      </c>
      <c r="J12" s="100">
        <v>0.073</v>
      </c>
      <c r="K12" s="409" t="s">
        <v>43</v>
      </c>
      <c r="L12" s="100" t="s">
        <v>43</v>
      </c>
      <c r="M12" s="100" t="s">
        <v>43</v>
      </c>
      <c r="N12" s="100">
        <v>0.053</v>
      </c>
      <c r="O12" s="38">
        <v>1.328</v>
      </c>
      <c r="P12" s="351" t="s">
        <v>43</v>
      </c>
      <c r="Q12" s="108">
        <f t="shared" si="1"/>
        <v>43.361999999999995</v>
      </c>
      <c r="R12" s="104">
        <f t="shared" si="0"/>
        <v>0.15582684721185625</v>
      </c>
    </row>
    <row r="13" spans="3:18" ht="15" customHeight="1">
      <c r="C13" s="58">
        <v>1998</v>
      </c>
      <c r="D13" s="102">
        <v>0.788</v>
      </c>
      <c r="E13" s="100" t="s">
        <v>43</v>
      </c>
      <c r="F13" s="38">
        <v>10.155</v>
      </c>
      <c r="G13" s="38">
        <v>1.516</v>
      </c>
      <c r="H13" s="38">
        <v>30.619</v>
      </c>
      <c r="I13" s="38">
        <v>3.638</v>
      </c>
      <c r="J13" s="38">
        <v>0.09</v>
      </c>
      <c r="K13" s="351" t="s">
        <v>43</v>
      </c>
      <c r="L13" s="100" t="s">
        <v>43</v>
      </c>
      <c r="M13" s="100" t="s">
        <v>43</v>
      </c>
      <c r="N13" s="38">
        <v>0.056</v>
      </c>
      <c r="O13" s="38">
        <v>1.605</v>
      </c>
      <c r="P13" s="351" t="s">
        <v>43</v>
      </c>
      <c r="Q13" s="108">
        <f t="shared" si="1"/>
        <v>48.467</v>
      </c>
      <c r="R13" s="104">
        <f t="shared" si="0"/>
        <v>0.11772980951063161</v>
      </c>
    </row>
    <row r="14" spans="3:18" ht="15" customHeight="1">
      <c r="C14" s="58">
        <v>1999</v>
      </c>
      <c r="D14" s="102">
        <v>0.804</v>
      </c>
      <c r="E14" s="100" t="s">
        <v>43</v>
      </c>
      <c r="F14" s="38">
        <v>11.591</v>
      </c>
      <c r="G14" s="38">
        <v>1.674</v>
      </c>
      <c r="H14" s="38">
        <v>32.192</v>
      </c>
      <c r="I14" s="38">
        <v>4.464</v>
      </c>
      <c r="J14" s="38">
        <v>0.1</v>
      </c>
      <c r="K14" s="351" t="s">
        <v>43</v>
      </c>
      <c r="L14" s="100" t="s">
        <v>43</v>
      </c>
      <c r="M14" s="100" t="s">
        <v>43</v>
      </c>
      <c r="N14" s="38">
        <v>0.054</v>
      </c>
      <c r="O14" s="38">
        <v>1.812</v>
      </c>
      <c r="P14" s="351" t="s">
        <v>43</v>
      </c>
      <c r="Q14" s="108">
        <f t="shared" si="1"/>
        <v>52.690999999999995</v>
      </c>
      <c r="R14" s="104">
        <f t="shared" si="0"/>
        <v>0.08715208286050302</v>
      </c>
    </row>
    <row r="15" spans="3:18" ht="15" customHeight="1">
      <c r="C15" s="58">
        <v>2000</v>
      </c>
      <c r="D15" s="102">
        <v>0.865</v>
      </c>
      <c r="E15" s="100" t="s">
        <v>43</v>
      </c>
      <c r="F15" s="38">
        <v>13.925</v>
      </c>
      <c r="G15" s="38">
        <v>1.942</v>
      </c>
      <c r="H15" s="38">
        <v>34.747</v>
      </c>
      <c r="I15" s="38">
        <v>5.086</v>
      </c>
      <c r="J15" s="38">
        <v>0.113</v>
      </c>
      <c r="K15" s="351" t="s">
        <v>43</v>
      </c>
      <c r="L15" s="100" t="s">
        <v>43</v>
      </c>
      <c r="M15" s="100" t="s">
        <v>43</v>
      </c>
      <c r="N15" s="38">
        <v>0.071</v>
      </c>
      <c r="O15" s="38">
        <v>2.047</v>
      </c>
      <c r="P15" s="351" t="s">
        <v>43</v>
      </c>
      <c r="Q15" s="108">
        <f t="shared" si="1"/>
        <v>58.79599999999999</v>
      </c>
      <c r="R15" s="104">
        <f t="shared" si="0"/>
        <v>0.11586418933024611</v>
      </c>
    </row>
    <row r="16" spans="3:18" ht="15" customHeight="1">
      <c r="C16" s="58">
        <v>2001</v>
      </c>
      <c r="D16" s="102">
        <v>0.889</v>
      </c>
      <c r="E16" s="100" t="s">
        <v>43</v>
      </c>
      <c r="F16" s="38">
        <v>15.515</v>
      </c>
      <c r="G16" s="38">
        <v>2.077</v>
      </c>
      <c r="H16" s="38">
        <v>37.404</v>
      </c>
      <c r="I16" s="38">
        <v>6.763</v>
      </c>
      <c r="J16" s="38">
        <v>0.191</v>
      </c>
      <c r="K16" s="351" t="s">
        <v>43</v>
      </c>
      <c r="L16" s="100" t="s">
        <v>43</v>
      </c>
      <c r="M16" s="100" t="s">
        <v>43</v>
      </c>
      <c r="N16" s="38">
        <v>0.06</v>
      </c>
      <c r="O16" s="38">
        <v>2.227</v>
      </c>
      <c r="P16" s="351" t="s">
        <v>43</v>
      </c>
      <c r="Q16" s="108">
        <f t="shared" si="1"/>
        <v>65.126</v>
      </c>
      <c r="R16" s="104">
        <f t="shared" si="0"/>
        <v>0.10766038506020847</v>
      </c>
    </row>
    <row r="17" spans="3:18" ht="15" customHeight="1">
      <c r="C17" s="58">
        <v>2002</v>
      </c>
      <c r="D17" s="102">
        <v>0.909</v>
      </c>
      <c r="E17" s="100" t="s">
        <v>43</v>
      </c>
      <c r="F17" s="38">
        <v>15.255</v>
      </c>
      <c r="G17" s="38">
        <v>2.181</v>
      </c>
      <c r="H17" s="38">
        <v>39.856</v>
      </c>
      <c r="I17" s="38">
        <v>7.078</v>
      </c>
      <c r="J17" s="38">
        <v>0.201</v>
      </c>
      <c r="K17" s="351" t="s">
        <v>43</v>
      </c>
      <c r="L17" s="100" t="s">
        <v>43</v>
      </c>
      <c r="M17" s="100" t="s">
        <v>43</v>
      </c>
      <c r="N17" s="38">
        <v>0.135</v>
      </c>
      <c r="O17" s="38">
        <v>2.39</v>
      </c>
      <c r="P17" s="351" t="s">
        <v>43</v>
      </c>
      <c r="Q17" s="108">
        <f t="shared" si="1"/>
        <v>68.00500000000001</v>
      </c>
      <c r="R17" s="104">
        <f t="shared" si="0"/>
        <v>0.044206614869637395</v>
      </c>
    </row>
    <row r="18" spans="3:18" ht="15" customHeight="1">
      <c r="C18" s="58">
        <v>2003</v>
      </c>
      <c r="D18" s="102">
        <v>0.878</v>
      </c>
      <c r="E18" s="100" t="s">
        <v>43</v>
      </c>
      <c r="F18" s="38">
        <v>17.457</v>
      </c>
      <c r="G18" s="38">
        <v>2.027</v>
      </c>
      <c r="H18" s="38">
        <v>39.604</v>
      </c>
      <c r="I18" s="38">
        <v>7.431</v>
      </c>
      <c r="J18" s="38">
        <v>0.664</v>
      </c>
      <c r="K18" s="351" t="s">
        <v>43</v>
      </c>
      <c r="L18" s="100" t="s">
        <v>43</v>
      </c>
      <c r="M18" s="100" t="s">
        <v>43</v>
      </c>
      <c r="N18" s="38">
        <v>0.2</v>
      </c>
      <c r="O18" s="38">
        <v>2.4</v>
      </c>
      <c r="P18" s="351" t="s">
        <v>43</v>
      </c>
      <c r="Q18" s="108">
        <f t="shared" si="1"/>
        <v>70.66100000000002</v>
      </c>
      <c r="R18" s="104">
        <f t="shared" si="0"/>
        <v>0.039055951768252495</v>
      </c>
    </row>
    <row r="19" spans="3:18" ht="15" customHeight="1">
      <c r="C19" s="58">
        <v>2004</v>
      </c>
      <c r="D19" s="102">
        <v>0.94</v>
      </c>
      <c r="E19" s="38">
        <v>0.001</v>
      </c>
      <c r="F19" s="38">
        <v>19.604</v>
      </c>
      <c r="G19" s="38">
        <v>2.085</v>
      </c>
      <c r="H19" s="38">
        <v>41.439</v>
      </c>
      <c r="I19" s="38">
        <v>7.925</v>
      </c>
      <c r="J19" s="38">
        <v>0.657</v>
      </c>
      <c r="K19" s="351" t="s">
        <v>43</v>
      </c>
      <c r="L19" s="38">
        <v>0.436</v>
      </c>
      <c r="M19" s="38" t="s">
        <v>43</v>
      </c>
      <c r="N19" s="38">
        <v>0.162</v>
      </c>
      <c r="O19" s="38">
        <v>2.422</v>
      </c>
      <c r="P19" s="38">
        <v>0.44</v>
      </c>
      <c r="Q19" s="108">
        <f t="shared" si="1"/>
        <v>76.111</v>
      </c>
      <c r="R19" s="104">
        <f t="shared" si="0"/>
        <v>0.07712882636815199</v>
      </c>
    </row>
    <row r="20" spans="3:18" ht="15" customHeight="1">
      <c r="C20" s="58">
        <v>2005</v>
      </c>
      <c r="D20" s="102">
        <v>0.982</v>
      </c>
      <c r="E20" s="38">
        <v>0.006</v>
      </c>
      <c r="F20" s="38">
        <v>20.853</v>
      </c>
      <c r="G20" s="38">
        <v>2.324</v>
      </c>
      <c r="H20" s="38">
        <v>43.13</v>
      </c>
      <c r="I20" s="38">
        <v>8.55</v>
      </c>
      <c r="J20" s="38">
        <v>0.687</v>
      </c>
      <c r="K20" s="351" t="s">
        <v>43</v>
      </c>
      <c r="L20" s="38">
        <v>0.49</v>
      </c>
      <c r="M20" s="38" t="s">
        <v>43</v>
      </c>
      <c r="N20" s="38">
        <v>0.311</v>
      </c>
      <c r="O20" s="38">
        <v>2.33</v>
      </c>
      <c r="P20" s="45">
        <v>0.45</v>
      </c>
      <c r="Q20" s="108">
        <f t="shared" si="1"/>
        <v>80.113</v>
      </c>
      <c r="R20" s="104">
        <f t="shared" si="0"/>
        <v>0.05258109865853822</v>
      </c>
    </row>
    <row r="21" spans="3:18" ht="15" customHeight="1">
      <c r="C21" s="58">
        <v>2006</v>
      </c>
      <c r="D21" s="102">
        <v>1</v>
      </c>
      <c r="E21" s="38">
        <v>0.148</v>
      </c>
      <c r="F21" s="38">
        <v>21.635</v>
      </c>
      <c r="G21" s="38">
        <v>2.697</v>
      </c>
      <c r="H21" s="38">
        <v>44.853</v>
      </c>
      <c r="I21" s="38">
        <v>8.912</v>
      </c>
      <c r="J21" s="38">
        <v>0.733</v>
      </c>
      <c r="K21" s="351" t="s">
        <v>43</v>
      </c>
      <c r="L21" s="38">
        <v>0.508</v>
      </c>
      <c r="M21" s="38" t="s">
        <v>43</v>
      </c>
      <c r="N21" s="38">
        <v>0.435</v>
      </c>
      <c r="O21" s="38">
        <v>2.49</v>
      </c>
      <c r="P21" s="38">
        <v>0.904</v>
      </c>
      <c r="Q21" s="108">
        <f t="shared" si="1"/>
        <v>84.315</v>
      </c>
      <c r="R21" s="104">
        <f t="shared" si="0"/>
        <v>0.05245091308526706</v>
      </c>
    </row>
    <row r="22" spans="3:18" ht="15" customHeight="1">
      <c r="C22" s="58">
        <v>2007</v>
      </c>
      <c r="D22" s="102">
        <v>1.018</v>
      </c>
      <c r="E22" s="38">
        <v>0.329</v>
      </c>
      <c r="F22" s="38">
        <v>21.919</v>
      </c>
      <c r="G22" s="38">
        <v>2.592</v>
      </c>
      <c r="H22" s="38">
        <v>47.966</v>
      </c>
      <c r="I22" s="38">
        <v>8.818</v>
      </c>
      <c r="J22" s="38">
        <v>0.8</v>
      </c>
      <c r="K22" s="351" t="s">
        <v>43</v>
      </c>
      <c r="L22" s="38">
        <v>0.506</v>
      </c>
      <c r="M22" s="38" t="s">
        <v>43</v>
      </c>
      <c r="N22" s="38">
        <v>0.58</v>
      </c>
      <c r="O22" s="38">
        <v>2.775</v>
      </c>
      <c r="P22" s="38">
        <v>1.392</v>
      </c>
      <c r="Q22" s="108">
        <f t="shared" si="1"/>
        <v>88.695</v>
      </c>
      <c r="R22" s="104">
        <f t="shared" si="0"/>
        <v>0.051948051948051965</v>
      </c>
    </row>
    <row r="23" spans="3:18" ht="15" customHeight="1">
      <c r="C23" s="58">
        <v>2008</v>
      </c>
      <c r="D23" s="102">
        <v>1.079</v>
      </c>
      <c r="E23" s="38">
        <v>0.253</v>
      </c>
      <c r="F23" s="38">
        <v>23.333</v>
      </c>
      <c r="G23" s="38">
        <v>5.483</v>
      </c>
      <c r="H23" s="38">
        <v>52.564</v>
      </c>
      <c r="I23" s="38">
        <v>8.878</v>
      </c>
      <c r="J23" s="38">
        <v>0.867</v>
      </c>
      <c r="K23" s="351" t="s">
        <v>43</v>
      </c>
      <c r="L23" s="38">
        <v>0.525</v>
      </c>
      <c r="M23" s="38">
        <v>0.014</v>
      </c>
      <c r="N23" s="38">
        <v>0.622</v>
      </c>
      <c r="O23" s="38">
        <v>2.992</v>
      </c>
      <c r="P23" s="38">
        <v>0.993</v>
      </c>
      <c r="Q23" s="108">
        <f t="shared" si="1"/>
        <v>97.60300000000001</v>
      </c>
      <c r="R23" s="104">
        <f t="shared" si="0"/>
        <v>0.10043407181915565</v>
      </c>
    </row>
    <row r="24" spans="2:18" ht="15" customHeight="1" thickBot="1">
      <c r="B24" s="2"/>
      <c r="C24" s="58">
        <v>2009</v>
      </c>
      <c r="D24" s="38">
        <v>1.061</v>
      </c>
      <c r="E24" s="38">
        <v>0.235</v>
      </c>
      <c r="F24" s="38">
        <v>22.561</v>
      </c>
      <c r="G24" s="38">
        <v>11.505</v>
      </c>
      <c r="H24" s="38">
        <v>51.864</v>
      </c>
      <c r="I24" s="38">
        <v>10.746</v>
      </c>
      <c r="J24" s="38">
        <v>0.915</v>
      </c>
      <c r="K24" s="351" t="s">
        <v>43</v>
      </c>
      <c r="L24" s="38">
        <v>0.529</v>
      </c>
      <c r="M24" s="38">
        <v>0.016</v>
      </c>
      <c r="N24" s="38">
        <v>0.604</v>
      </c>
      <c r="O24" s="38">
        <v>3.05</v>
      </c>
      <c r="P24" s="38">
        <v>1.014</v>
      </c>
      <c r="Q24" s="107">
        <f t="shared" si="1"/>
        <v>104.1</v>
      </c>
      <c r="R24" s="104">
        <f t="shared" si="0"/>
        <v>0.06656557687775977</v>
      </c>
    </row>
    <row r="25" spans="2:18" ht="15" customHeight="1" thickBot="1" thickTop="1">
      <c r="B25" s="2"/>
      <c r="C25" s="58">
        <v>2010</v>
      </c>
      <c r="D25" s="38">
        <v>1.061</v>
      </c>
      <c r="E25" s="38">
        <v>0.271</v>
      </c>
      <c r="F25" s="38">
        <v>23.903134902</v>
      </c>
      <c r="G25" s="38">
        <v>11.715</v>
      </c>
      <c r="H25" s="38">
        <v>51.890184043438</v>
      </c>
      <c r="I25" s="38">
        <v>11.6062</v>
      </c>
      <c r="J25" s="144">
        <v>0.285</v>
      </c>
      <c r="K25" s="351" t="s">
        <v>43</v>
      </c>
      <c r="L25" s="38">
        <v>0.519259398</v>
      </c>
      <c r="M25" s="38">
        <v>0.0151</v>
      </c>
      <c r="N25" s="38">
        <v>0.651</v>
      </c>
      <c r="O25" s="45">
        <f>AVERAGE(O24,O26)</f>
        <v>2.9385</v>
      </c>
      <c r="P25" s="38">
        <v>1.014</v>
      </c>
      <c r="Q25" s="108">
        <f t="shared" si="1"/>
        <v>105.869378343438</v>
      </c>
      <c r="R25" s="104">
        <f t="shared" si="0"/>
        <v>0.016996910119481345</v>
      </c>
    </row>
    <row r="26" spans="2:18" ht="15" customHeight="1" thickTop="1">
      <c r="B26" s="2"/>
      <c r="C26" s="58">
        <v>2011</v>
      </c>
      <c r="D26" s="38">
        <v>0.905</v>
      </c>
      <c r="E26" s="38">
        <v>0.285</v>
      </c>
      <c r="F26" s="38">
        <v>23.306</v>
      </c>
      <c r="G26" s="38">
        <v>11.231</v>
      </c>
      <c r="H26" s="38">
        <v>51.365</v>
      </c>
      <c r="I26" s="38">
        <v>12.283</v>
      </c>
      <c r="J26" s="38">
        <v>0.305</v>
      </c>
      <c r="K26" s="351" t="s">
        <v>43</v>
      </c>
      <c r="L26" s="38">
        <v>0.466</v>
      </c>
      <c r="M26" s="38">
        <v>0.01334</v>
      </c>
      <c r="N26" s="38">
        <v>0.709</v>
      </c>
      <c r="O26" s="38">
        <v>2.827</v>
      </c>
      <c r="P26" s="353">
        <v>4.364</v>
      </c>
      <c r="Q26" s="107">
        <f t="shared" si="1"/>
        <v>108.05934000000002</v>
      </c>
      <c r="R26" s="104">
        <f t="shared" si="0"/>
        <v>0.020685505958652373</v>
      </c>
    </row>
    <row r="27" spans="2:18" ht="15" customHeight="1">
      <c r="B27" s="2"/>
      <c r="C27" s="58">
        <v>2012</v>
      </c>
      <c r="D27" s="45">
        <v>0.905</v>
      </c>
      <c r="E27" s="38">
        <v>0.271</v>
      </c>
      <c r="F27" s="38">
        <v>24.753</v>
      </c>
      <c r="G27" s="38">
        <v>11.177</v>
      </c>
      <c r="H27" s="38">
        <v>51.086</v>
      </c>
      <c r="I27" s="38">
        <v>12.794</v>
      </c>
      <c r="J27" s="38">
        <v>0.324</v>
      </c>
      <c r="K27" s="351" t="s">
        <v>43</v>
      </c>
      <c r="L27" s="38">
        <v>0.462</v>
      </c>
      <c r="M27" s="38">
        <v>0.011888481</v>
      </c>
      <c r="N27" s="38">
        <v>0.708</v>
      </c>
      <c r="O27" s="38">
        <v>2.948</v>
      </c>
      <c r="P27" s="45">
        <v>4.364</v>
      </c>
      <c r="Q27" s="108">
        <f t="shared" si="1"/>
        <v>109.803888481</v>
      </c>
      <c r="R27" s="104">
        <f t="shared" si="0"/>
        <v>0.01614435624907551</v>
      </c>
    </row>
    <row r="28" spans="2:18" ht="15" customHeight="1">
      <c r="B28" s="2"/>
      <c r="C28" s="58">
        <v>2013</v>
      </c>
      <c r="D28" s="377">
        <v>0.905</v>
      </c>
      <c r="E28" s="38">
        <v>0.246</v>
      </c>
      <c r="F28" s="38">
        <v>25.178</v>
      </c>
      <c r="G28" s="38">
        <v>12.744</v>
      </c>
      <c r="H28" s="38">
        <v>50.786</v>
      </c>
      <c r="I28" s="45">
        <v>12.794</v>
      </c>
      <c r="J28" s="38">
        <v>0.363</v>
      </c>
      <c r="K28" s="351" t="s">
        <v>43</v>
      </c>
      <c r="L28" s="38">
        <v>0.465</v>
      </c>
      <c r="M28" s="38">
        <v>0.011050688</v>
      </c>
      <c r="N28" s="38">
        <v>0.757</v>
      </c>
      <c r="O28" s="38">
        <v>3.055</v>
      </c>
      <c r="P28" s="45">
        <v>4.364</v>
      </c>
      <c r="Q28" s="108">
        <f t="shared" si="1"/>
        <v>111.66805068800002</v>
      </c>
      <c r="R28" s="104">
        <f t="shared" si="0"/>
        <v>0.016977196643838344</v>
      </c>
    </row>
    <row r="29" spans="2:18" ht="15" customHeight="1">
      <c r="B29" s="2"/>
      <c r="C29" s="401">
        <v>2014</v>
      </c>
      <c r="D29" s="377">
        <v>0.91</v>
      </c>
      <c r="E29" s="45">
        <v>0.246</v>
      </c>
      <c r="F29" s="38">
        <v>24.316</v>
      </c>
      <c r="G29" s="38">
        <v>12.788</v>
      </c>
      <c r="H29" s="38">
        <v>50.659</v>
      </c>
      <c r="I29" s="45">
        <v>12.794</v>
      </c>
      <c r="J29" s="38">
        <v>0.242</v>
      </c>
      <c r="K29" s="351" t="s">
        <v>43</v>
      </c>
      <c r="L29" s="38">
        <v>0.538</v>
      </c>
      <c r="M29" s="38">
        <v>0.007713148</v>
      </c>
      <c r="N29" s="38">
        <v>0.651</v>
      </c>
      <c r="O29" s="38">
        <v>3.228</v>
      </c>
      <c r="P29" s="426">
        <v>2.9</v>
      </c>
      <c r="Q29" s="108">
        <f t="shared" si="1"/>
        <v>109.27971314799998</v>
      </c>
      <c r="R29" s="104">
        <f t="shared" si="0"/>
        <v>-0.02138783228761676</v>
      </c>
    </row>
    <row r="30" spans="2:18" ht="15" customHeight="1">
      <c r="B30" s="2"/>
      <c r="C30" s="58">
        <v>2015</v>
      </c>
      <c r="D30" s="351">
        <v>1.2</v>
      </c>
      <c r="E30" s="351">
        <v>0.567</v>
      </c>
      <c r="F30" s="38">
        <v>25.28</v>
      </c>
      <c r="G30" s="38">
        <v>14.129</v>
      </c>
      <c r="H30" s="38">
        <v>49.98</v>
      </c>
      <c r="I30" s="45">
        <v>12.794</v>
      </c>
      <c r="J30" s="38">
        <v>0.996</v>
      </c>
      <c r="K30" s="38">
        <v>0.467</v>
      </c>
      <c r="L30" s="38">
        <v>0.569</v>
      </c>
      <c r="M30" s="38">
        <v>0.005629107</v>
      </c>
      <c r="N30" s="38">
        <v>0.571</v>
      </c>
      <c r="O30" s="38">
        <v>3.365</v>
      </c>
      <c r="P30" s="351">
        <v>2.9</v>
      </c>
      <c r="Q30" s="108">
        <f t="shared" si="1"/>
        <v>112.823629107</v>
      </c>
      <c r="R30" s="104">
        <f t="shared" si="0"/>
        <v>0.03242976996288793</v>
      </c>
    </row>
    <row r="31" spans="2:18" ht="15" customHeight="1">
      <c r="B31" s="2"/>
      <c r="C31" s="58">
        <v>2016</v>
      </c>
      <c r="D31" s="351">
        <v>1.5</v>
      </c>
      <c r="E31" s="351">
        <v>0.698</v>
      </c>
      <c r="F31" s="38">
        <v>27.213</v>
      </c>
      <c r="G31" s="38">
        <v>15.059</v>
      </c>
      <c r="H31" s="38">
        <v>50.539</v>
      </c>
      <c r="I31" s="45">
        <v>12.794</v>
      </c>
      <c r="J31" s="38">
        <v>0.365</v>
      </c>
      <c r="K31" s="351">
        <v>1.43549</v>
      </c>
      <c r="L31" s="38">
        <v>0.61411</v>
      </c>
      <c r="M31" s="38">
        <v>0.003907696</v>
      </c>
      <c r="N31" s="38">
        <v>0.613</v>
      </c>
      <c r="O31" s="38">
        <v>3.481</v>
      </c>
      <c r="P31" s="426">
        <v>2.8</v>
      </c>
      <c r="Q31" s="108">
        <f>SUM(D31:P31)</f>
        <v>117.11550769599998</v>
      </c>
      <c r="R31" s="104">
        <f t="shared" si="0"/>
        <v>0.038040600386375134</v>
      </c>
    </row>
    <row r="32" spans="2:19" ht="14.25" customHeight="1">
      <c r="B32" s="2"/>
      <c r="C32" s="512">
        <v>2017</v>
      </c>
      <c r="D32" s="513">
        <v>1.564</v>
      </c>
      <c r="E32" s="514">
        <v>0.769</v>
      </c>
      <c r="F32" s="407">
        <v>28.502</v>
      </c>
      <c r="G32" s="407">
        <v>15.54</v>
      </c>
      <c r="H32" s="407">
        <v>58.28</v>
      </c>
      <c r="I32" s="517">
        <v>12.79</v>
      </c>
      <c r="J32" s="518">
        <v>0.413</v>
      </c>
      <c r="K32" s="517">
        <v>1.44</v>
      </c>
      <c r="L32" s="518">
        <v>0.653</v>
      </c>
      <c r="M32" s="407">
        <v>0.0015</v>
      </c>
      <c r="N32" s="407">
        <v>0.678</v>
      </c>
      <c r="O32" s="407">
        <v>3.604</v>
      </c>
      <c r="P32" s="487">
        <v>2.8</v>
      </c>
      <c r="Q32" s="403">
        <f>SUM(D32:P32)</f>
        <v>127.03449999999998</v>
      </c>
      <c r="R32" s="515">
        <f t="shared" si="0"/>
        <v>0.08469409815262896</v>
      </c>
      <c r="S32" s="516"/>
    </row>
    <row r="33" spans="2:18" ht="21.75" customHeight="1">
      <c r="B33" s="2"/>
      <c r="C33" s="9" t="s">
        <v>77</v>
      </c>
      <c r="D33" s="53"/>
      <c r="E33" s="53"/>
      <c r="F33" s="53"/>
      <c r="G33" s="53"/>
      <c r="H33" s="53"/>
      <c r="I33" s="53"/>
      <c r="J33" s="53"/>
      <c r="K33" s="394"/>
      <c r="L33" s="53"/>
      <c r="M33" s="53"/>
      <c r="N33" s="53"/>
      <c r="O33" s="53"/>
      <c r="P33" s="53"/>
      <c r="Q33" s="53"/>
      <c r="R33" s="1"/>
    </row>
    <row r="34" spans="2:18" ht="27" customHeight="1">
      <c r="B34" s="2"/>
      <c r="C34" s="609" t="s">
        <v>98</v>
      </c>
      <c r="D34" s="610"/>
      <c r="E34" s="610"/>
      <c r="F34" s="610"/>
      <c r="G34" s="610"/>
      <c r="H34" s="610"/>
      <c r="I34" s="610"/>
      <c r="J34" s="610"/>
      <c r="K34" s="610"/>
      <c r="L34" s="610"/>
      <c r="M34" s="610"/>
      <c r="N34" s="610"/>
      <c r="O34" s="610"/>
      <c r="P34" s="610"/>
      <c r="Q34" s="610"/>
      <c r="R34" s="1"/>
    </row>
    <row r="35" spans="2:18" ht="15" customHeight="1">
      <c r="B35" s="2"/>
      <c r="C35" s="43"/>
      <c r="D35" s="23"/>
      <c r="E35" s="23"/>
      <c r="F35" s="23"/>
      <c r="G35" s="23"/>
      <c r="H35" s="23"/>
      <c r="I35" s="23"/>
      <c r="J35" s="42"/>
      <c r="K35" s="42"/>
      <c r="L35" s="42"/>
      <c r="M35" s="42"/>
      <c r="N35" s="23"/>
      <c r="O35" s="42"/>
      <c r="P35" s="23"/>
      <c r="Q35" s="44"/>
      <c r="R35" s="1"/>
    </row>
    <row r="36" spans="2:18" ht="24.75" customHeight="1">
      <c r="B36" s="2"/>
      <c r="C36" s="601" t="s">
        <v>51</v>
      </c>
      <c r="D36" s="601"/>
      <c r="E36" s="601"/>
      <c r="F36" s="601"/>
      <c r="G36" s="601"/>
      <c r="H36" s="601"/>
      <c r="I36" s="601"/>
      <c r="J36" s="601"/>
      <c r="K36" s="601"/>
      <c r="L36" s="601"/>
      <c r="M36" s="601"/>
      <c r="N36" s="601"/>
      <c r="O36" s="601"/>
      <c r="P36" s="601"/>
      <c r="Q36" s="601"/>
      <c r="R36" s="1"/>
    </row>
    <row r="37" spans="2:18" ht="15" customHeight="1">
      <c r="B37" s="2"/>
      <c r="C37" s="602" t="s">
        <v>42</v>
      </c>
      <c r="D37" s="602"/>
      <c r="E37" s="602"/>
      <c r="F37" s="602"/>
      <c r="G37" s="602"/>
      <c r="H37" s="602"/>
      <c r="I37" s="602"/>
      <c r="J37" s="602"/>
      <c r="K37" s="602"/>
      <c r="L37" s="602"/>
      <c r="M37" s="602"/>
      <c r="N37" s="602"/>
      <c r="O37" s="602"/>
      <c r="P37" s="602"/>
      <c r="Q37" s="602"/>
      <c r="R37" s="1"/>
    </row>
    <row r="38" spans="2:18" ht="15" customHeight="1">
      <c r="B38" s="2"/>
      <c r="C38" s="43"/>
      <c r="D38" s="55" t="s">
        <v>29</v>
      </c>
      <c r="E38" s="55" t="s">
        <v>14</v>
      </c>
      <c r="F38" s="55" t="s">
        <v>30</v>
      </c>
      <c r="G38" s="56" t="s">
        <v>31</v>
      </c>
      <c r="H38" s="55" t="s">
        <v>32</v>
      </c>
      <c r="I38" s="55" t="s">
        <v>34</v>
      </c>
      <c r="J38" s="55" t="s">
        <v>27</v>
      </c>
      <c r="K38" s="163" t="s">
        <v>20</v>
      </c>
      <c r="L38" s="55" t="s">
        <v>37</v>
      </c>
      <c r="M38" s="55" t="s">
        <v>23</v>
      </c>
      <c r="N38" s="55" t="s">
        <v>38</v>
      </c>
      <c r="O38" s="55" t="s">
        <v>39</v>
      </c>
      <c r="P38" s="105" t="s">
        <v>28</v>
      </c>
      <c r="Q38" s="163" t="s">
        <v>113</v>
      </c>
      <c r="R38" s="83"/>
    </row>
    <row r="39" spans="2:18" ht="15" customHeight="1">
      <c r="B39" s="2"/>
      <c r="C39" s="57">
        <v>2000</v>
      </c>
      <c r="D39" s="110">
        <v>11.184380656839927</v>
      </c>
      <c r="E39" s="110" t="s">
        <v>43</v>
      </c>
      <c r="F39" s="110">
        <v>18.467190069492336</v>
      </c>
      <c r="G39" s="110">
        <v>9.640587768069897</v>
      </c>
      <c r="H39" s="110">
        <v>46.39118825100133</v>
      </c>
      <c r="I39" s="110">
        <v>10.259824094246753</v>
      </c>
      <c r="J39" s="110">
        <v>0.7704895677076231</v>
      </c>
      <c r="K39" s="110" t="s">
        <v>43</v>
      </c>
      <c r="L39" s="110" t="s">
        <v>43</v>
      </c>
      <c r="M39" s="110" t="s">
        <v>43</v>
      </c>
      <c r="N39" s="110">
        <v>2.0851688693098382</v>
      </c>
      <c r="O39" s="110">
        <v>24.83319179910227</v>
      </c>
      <c r="P39" s="110" t="s">
        <v>43</v>
      </c>
      <c r="Q39" s="111">
        <v>15.596050306391138</v>
      </c>
      <c r="R39" s="1"/>
    </row>
    <row r="40" spans="2:18" ht="15" customHeight="1">
      <c r="B40" s="2"/>
      <c r="C40" s="58">
        <v>2001</v>
      </c>
      <c r="D40" s="110">
        <v>11.059965165464046</v>
      </c>
      <c r="E40" s="110" t="s">
        <v>43</v>
      </c>
      <c r="F40" s="110">
        <v>20.480766692187874</v>
      </c>
      <c r="G40" s="110">
        <v>9.97215287113501</v>
      </c>
      <c r="H40" s="110">
        <v>48.70312500000001</v>
      </c>
      <c r="I40" s="110">
        <v>13.505471683041776</v>
      </c>
      <c r="J40" s="110">
        <v>1.3271261812117845</v>
      </c>
      <c r="K40" s="110" t="s">
        <v>43</v>
      </c>
      <c r="L40" s="110" t="s">
        <v>43</v>
      </c>
      <c r="M40" s="110" t="s">
        <v>43</v>
      </c>
      <c r="N40" s="110">
        <v>1.8281535648994516</v>
      </c>
      <c r="O40" s="110">
        <v>25.503893724232707</v>
      </c>
      <c r="P40" s="110" t="s">
        <v>43</v>
      </c>
      <c r="Q40" s="113">
        <v>17.171169169492217</v>
      </c>
      <c r="R40" s="1"/>
    </row>
    <row r="41" spans="2:18" ht="15" customHeight="1">
      <c r="B41" s="2"/>
      <c r="C41" s="58">
        <v>2002</v>
      </c>
      <c r="D41" s="110">
        <v>11.004842615012107</v>
      </c>
      <c r="E41" s="110" t="s">
        <v>43</v>
      </c>
      <c r="F41" s="110">
        <v>21.54082943842754</v>
      </c>
      <c r="G41" s="110">
        <v>10.28240064117675</v>
      </c>
      <c r="H41" s="110">
        <v>50.707379134860055</v>
      </c>
      <c r="I41" s="110">
        <v>14.355833198117802</v>
      </c>
      <c r="J41" s="110">
        <v>1.406774916013438</v>
      </c>
      <c r="K41" s="110" t="s">
        <v>43</v>
      </c>
      <c r="L41" s="110" t="s">
        <v>43</v>
      </c>
      <c r="M41" s="110" t="s">
        <v>43</v>
      </c>
      <c r="N41" s="110">
        <v>4.06871609403255</v>
      </c>
      <c r="O41" s="110">
        <v>26.932612125309895</v>
      </c>
      <c r="P41" s="110" t="s">
        <v>43</v>
      </c>
      <c r="Q41" s="113">
        <v>18.289217744818977</v>
      </c>
      <c r="R41" s="1"/>
    </row>
    <row r="42" spans="2:18" ht="15" customHeight="1">
      <c r="B42" s="2"/>
      <c r="C42" s="58">
        <v>2003</v>
      </c>
      <c r="D42" s="110">
        <v>10.623109497882636</v>
      </c>
      <c r="E42" s="110" t="s">
        <v>43</v>
      </c>
      <c r="F42" s="110">
        <v>24.48627494985482</v>
      </c>
      <c r="G42" s="110">
        <v>9.594357930610121</v>
      </c>
      <c r="H42" s="110">
        <v>51.7023498694517</v>
      </c>
      <c r="I42" s="110">
        <v>15.259666919933466</v>
      </c>
      <c r="J42" s="110">
        <v>4.7949162333911035</v>
      </c>
      <c r="K42" s="110" t="s">
        <v>43</v>
      </c>
      <c r="L42" s="110" t="s">
        <v>43</v>
      </c>
      <c r="M42" s="110" t="s">
        <v>43</v>
      </c>
      <c r="N42" s="110">
        <v>5.991611743559018</v>
      </c>
      <c r="O42" s="110">
        <v>27.16776092370387</v>
      </c>
      <c r="P42" s="110" t="s">
        <v>43</v>
      </c>
      <c r="Q42" s="113">
        <v>19.204336016749828</v>
      </c>
      <c r="R42" s="1"/>
    </row>
    <row r="43" spans="2:18" ht="15" customHeight="1">
      <c r="B43" s="2"/>
      <c r="C43" s="58">
        <v>2004</v>
      </c>
      <c r="D43" s="110">
        <v>10.18970189701897</v>
      </c>
      <c r="E43" s="110">
        <v>0.015197568389057751</v>
      </c>
      <c r="F43" s="110">
        <v>26.89163237311385</v>
      </c>
      <c r="G43" s="110">
        <v>10.227607181399</v>
      </c>
      <c r="H43" s="110">
        <v>51.66957605985038</v>
      </c>
      <c r="I43" s="110">
        <v>16.09006375116742</v>
      </c>
      <c r="J43" s="110">
        <v>4.528223861051761</v>
      </c>
      <c r="K43" s="110" t="s">
        <v>43</v>
      </c>
      <c r="L43" s="110">
        <v>11.620469083155651</v>
      </c>
      <c r="M43" s="110" t="s">
        <v>43</v>
      </c>
      <c r="N43" s="110">
        <v>4.832935560859189</v>
      </c>
      <c r="O43" s="110">
        <v>28.051887885105398</v>
      </c>
      <c r="P43" s="112">
        <v>1.0120991857202006</v>
      </c>
      <c r="Q43" s="113">
        <v>20.273506276953075</v>
      </c>
      <c r="R43" s="1"/>
    </row>
    <row r="44" spans="2:18" ht="15" customHeight="1">
      <c r="B44" s="2"/>
      <c r="C44" s="58">
        <v>2005</v>
      </c>
      <c r="D44" s="110">
        <v>11.539365452408932</v>
      </c>
      <c r="E44" s="110">
        <v>0.08999550022498876</v>
      </c>
      <c r="F44" s="110">
        <v>27.152343750000004</v>
      </c>
      <c r="G44" s="110">
        <v>10.747317795042544</v>
      </c>
      <c r="H44" s="110">
        <v>52.40583232077765</v>
      </c>
      <c r="I44" s="110">
        <v>17.06995687589842</v>
      </c>
      <c r="J44" s="110">
        <v>4.53375569194219</v>
      </c>
      <c r="K44" s="110" t="s">
        <v>43</v>
      </c>
      <c r="L44" s="110">
        <v>12.864268836965081</v>
      </c>
      <c r="M44" s="110" t="s">
        <v>43</v>
      </c>
      <c r="N44" s="110">
        <v>8.941920644048302</v>
      </c>
      <c r="O44" s="110">
        <v>26.150392817059487</v>
      </c>
      <c r="P44" s="147">
        <v>1.0080193539715963</v>
      </c>
      <c r="Q44" s="113">
        <v>20.837473274619857</v>
      </c>
      <c r="R44" s="1"/>
    </row>
    <row r="45" spans="2:18" ht="15" customHeight="1">
      <c r="B45" s="2"/>
      <c r="C45" s="58">
        <v>2006</v>
      </c>
      <c r="D45" s="110">
        <v>11.155734047300312</v>
      </c>
      <c r="E45" s="110">
        <v>2.138110372724646</v>
      </c>
      <c r="F45" s="110">
        <v>27.38607594936709</v>
      </c>
      <c r="G45" s="110">
        <v>12.200859534042072</v>
      </c>
      <c r="H45" s="110">
        <v>52.27622377622379</v>
      </c>
      <c r="I45" s="110">
        <v>17.75829431104912</v>
      </c>
      <c r="J45" s="110">
        <v>4.613254452766065</v>
      </c>
      <c r="K45" s="110" t="s">
        <v>43</v>
      </c>
      <c r="L45" s="110">
        <v>13.106295149638802</v>
      </c>
      <c r="M45" s="110" t="s">
        <v>43</v>
      </c>
      <c r="N45" s="110">
        <v>12.288135593220337</v>
      </c>
      <c r="O45" s="110">
        <v>25.891650202765938</v>
      </c>
      <c r="P45" s="112">
        <v>1.9113262997653129</v>
      </c>
      <c r="Q45" s="113">
        <v>21.255382226300554</v>
      </c>
      <c r="R45" s="1"/>
    </row>
    <row r="46" spans="2:18" ht="15" customHeight="1">
      <c r="B46" s="2"/>
      <c r="C46" s="58">
        <v>2007</v>
      </c>
      <c r="D46" s="110">
        <v>10.826332021695203</v>
      </c>
      <c r="E46" s="110">
        <v>4.76949840533488</v>
      </c>
      <c r="F46" s="110">
        <v>27.708041007749003</v>
      </c>
      <c r="G46" s="110">
        <v>11.858901038568881</v>
      </c>
      <c r="H46" s="110">
        <v>54.56882821387941</v>
      </c>
      <c r="I46" s="110">
        <v>17.713941341904377</v>
      </c>
      <c r="J46" s="110">
        <v>4.900459418070445</v>
      </c>
      <c r="K46" s="110" t="s">
        <v>43</v>
      </c>
      <c r="L46" s="110">
        <v>12.691246551291698</v>
      </c>
      <c r="M46" s="110" t="s">
        <v>43</v>
      </c>
      <c r="N46" s="110">
        <v>15.352038115404977</v>
      </c>
      <c r="O46" s="110">
        <v>27.04414774388461</v>
      </c>
      <c r="P46" s="112">
        <v>2.7578555295795852</v>
      </c>
      <c r="Q46" s="113">
        <v>21.963449966570085</v>
      </c>
      <c r="R46" s="1"/>
    </row>
    <row r="47" spans="3:18" ht="15.75" customHeight="1">
      <c r="C47" s="58">
        <v>2008</v>
      </c>
      <c r="D47" s="110">
        <v>10.642075155340763</v>
      </c>
      <c r="E47" s="110">
        <v>3.7354200501993207</v>
      </c>
      <c r="F47" s="110">
        <v>28.269120622931084</v>
      </c>
      <c r="G47" s="110">
        <v>22.87538070007092</v>
      </c>
      <c r="H47" s="110">
        <v>56.39914163090128</v>
      </c>
      <c r="I47" s="110">
        <v>17.926661820531457</v>
      </c>
      <c r="J47" s="110">
        <v>5.305023557486386</v>
      </c>
      <c r="K47" s="110" t="s">
        <v>43</v>
      </c>
      <c r="L47" s="110">
        <v>12.461428910515073</v>
      </c>
      <c r="M47" s="110">
        <v>1.8300653594771243</v>
      </c>
      <c r="N47" s="110">
        <v>15.350444225074039</v>
      </c>
      <c r="O47" s="110">
        <v>26.843710748250494</v>
      </c>
      <c r="P47" s="112">
        <v>1.873514207011056</v>
      </c>
      <c r="Q47" s="113">
        <v>23.261637775118952</v>
      </c>
      <c r="R47" s="1"/>
    </row>
    <row r="48" spans="3:18" ht="15.75" customHeight="1" thickBot="1">
      <c r="C48" s="58">
        <v>2009</v>
      </c>
      <c r="D48" s="139">
        <v>10.364364559929665</v>
      </c>
      <c r="E48" s="139">
        <v>3.6310259579728053</v>
      </c>
      <c r="F48" s="139">
        <v>27.42845332749775</v>
      </c>
      <c r="G48" s="139">
        <v>49.72554782383196</v>
      </c>
      <c r="H48" s="139">
        <v>56.190682556879736</v>
      </c>
      <c r="I48" s="139">
        <v>22.329814645499127</v>
      </c>
      <c r="J48" s="139">
        <v>5.560619872379217</v>
      </c>
      <c r="K48" s="139" t="s">
        <v>43</v>
      </c>
      <c r="L48" s="139">
        <v>12.556373130785664</v>
      </c>
      <c r="M48" s="139">
        <v>2.069857697283312</v>
      </c>
      <c r="N48" s="139">
        <v>15.583075335397318</v>
      </c>
      <c r="O48" s="139">
        <v>26.9410829432029</v>
      </c>
      <c r="P48" s="112">
        <v>1.9217284184592058</v>
      </c>
      <c r="Q48" s="113">
        <v>25.266070410057885</v>
      </c>
      <c r="R48" s="140"/>
    </row>
    <row r="49" spans="3:18" ht="15.75" customHeight="1" thickBot="1" thickTop="1">
      <c r="C49" s="58">
        <v>2010</v>
      </c>
      <c r="D49" s="139">
        <v>10.043544112078758</v>
      </c>
      <c r="E49" s="139">
        <v>4.131727397469127</v>
      </c>
      <c r="F49" s="139">
        <v>28.492746509798316</v>
      </c>
      <c r="G49" s="139">
        <v>52.16868542928393</v>
      </c>
      <c r="H49" s="139">
        <v>56.15820783921861</v>
      </c>
      <c r="I49" s="139">
        <v>24.60400237428983</v>
      </c>
      <c r="J49" s="145">
        <v>1.6863905325443789</v>
      </c>
      <c r="K49" s="139" t="s">
        <v>43</v>
      </c>
      <c r="L49" s="139">
        <v>12.630975383118463</v>
      </c>
      <c r="M49" s="139">
        <v>2.0713305898491083</v>
      </c>
      <c r="N49" s="139">
        <v>16.443546350088408</v>
      </c>
      <c r="O49" s="146">
        <v>26.342447333034514</v>
      </c>
      <c r="P49" s="112">
        <v>1.8161953036843328</v>
      </c>
      <c r="Q49" s="148">
        <v>25.565026959329956</v>
      </c>
      <c r="R49" s="140"/>
    </row>
    <row r="50" spans="3:18" ht="15.75" customHeight="1" thickTop="1">
      <c r="C50" s="58">
        <v>2011</v>
      </c>
      <c r="D50" s="139">
        <v>8.48251944887056</v>
      </c>
      <c r="E50" s="139">
        <v>4.273504273504273</v>
      </c>
      <c r="F50" s="139">
        <v>27.28624448268999</v>
      </c>
      <c r="G50" s="139">
        <v>49.269576661548584</v>
      </c>
      <c r="H50" s="139">
        <v>54.38244514106583</v>
      </c>
      <c r="I50" s="139">
        <v>26.22051446258939</v>
      </c>
      <c r="J50" s="139">
        <v>1.7449510841581326</v>
      </c>
      <c r="K50" s="139" t="s">
        <v>43</v>
      </c>
      <c r="L50" s="139">
        <v>10.998347887656362</v>
      </c>
      <c r="M50" s="139">
        <v>1.9361393323657476</v>
      </c>
      <c r="N50" s="139">
        <v>18.26378155589902</v>
      </c>
      <c r="O50" s="139">
        <v>24.844010897266898</v>
      </c>
      <c r="P50" s="354">
        <v>7.464677910437549</v>
      </c>
      <c r="Q50" s="113">
        <v>25.73615423940622</v>
      </c>
      <c r="R50" s="1"/>
    </row>
    <row r="51" spans="3:18" ht="15.75" customHeight="1">
      <c r="C51" s="58">
        <v>2012</v>
      </c>
      <c r="D51" s="146">
        <v>8.335635995210463</v>
      </c>
      <c r="E51" s="139">
        <v>3.765981100611451</v>
      </c>
      <c r="F51" s="139">
        <v>27.876569626668168</v>
      </c>
      <c r="G51" s="139">
        <v>49.72859939491013</v>
      </c>
      <c r="H51" s="139">
        <v>53.32567849686848</v>
      </c>
      <c r="I51" s="139">
        <v>27.361577450330422</v>
      </c>
      <c r="J51" s="139">
        <v>1.8231950931292553</v>
      </c>
      <c r="K51" s="139" t="s">
        <v>43</v>
      </c>
      <c r="L51" s="139">
        <v>12.148303970549566</v>
      </c>
      <c r="M51" s="139">
        <v>1.8040183611532625</v>
      </c>
      <c r="N51" s="139">
        <v>17.546468401486987</v>
      </c>
      <c r="O51" s="139">
        <v>25</v>
      </c>
      <c r="P51" s="146">
        <v>7.1796390438115925</v>
      </c>
      <c r="Q51" s="148">
        <v>25.650379598391883</v>
      </c>
      <c r="R51" s="1"/>
    </row>
    <row r="52" spans="3:18" ht="15.75" customHeight="1">
      <c r="C52" s="58">
        <v>2013</v>
      </c>
      <c r="D52" s="146">
        <v>8.31343009369833</v>
      </c>
      <c r="E52" s="139">
        <v>3.2747603833865817</v>
      </c>
      <c r="F52" s="139">
        <v>28.095742900184124</v>
      </c>
      <c r="G52" s="139">
        <v>53.57323020010089</v>
      </c>
      <c r="H52" s="139">
        <v>53.40273396424816</v>
      </c>
      <c r="I52" s="146">
        <v>26.25002564681262</v>
      </c>
      <c r="J52" s="139">
        <v>1.9061121613106489</v>
      </c>
      <c r="K52" s="139" t="s">
        <v>43</v>
      </c>
      <c r="L52" s="139">
        <v>12.743217319813649</v>
      </c>
      <c r="M52" s="139">
        <v>1.6274945508100145</v>
      </c>
      <c r="N52" s="139">
        <v>18.677522822600544</v>
      </c>
      <c r="O52" s="139">
        <v>25.798007093396386</v>
      </c>
      <c r="P52" s="146">
        <v>7.0443906376109755</v>
      </c>
      <c r="Q52" s="148">
        <v>25.745151676564987</v>
      </c>
      <c r="R52" s="1"/>
    </row>
    <row r="53" spans="3:18" ht="15.75" customHeight="1">
      <c r="C53" s="401">
        <v>2014</v>
      </c>
      <c r="D53" s="404">
        <v>8.292327319117915</v>
      </c>
      <c r="E53" s="146">
        <v>3.2182103610675035</v>
      </c>
      <c r="F53" s="139">
        <v>26.727928244811817</v>
      </c>
      <c r="G53" s="139">
        <v>51.00510529674538</v>
      </c>
      <c r="H53" s="139">
        <v>53.664194915254235</v>
      </c>
      <c r="I53" s="146">
        <v>25.61002462117421</v>
      </c>
      <c r="J53" s="139">
        <v>1.2096975756060986</v>
      </c>
      <c r="K53" s="139" t="s">
        <v>43</v>
      </c>
      <c r="L53" s="139">
        <v>13.966770508826585</v>
      </c>
      <c r="M53" s="139">
        <v>1.244056129032258</v>
      </c>
      <c r="N53" s="139">
        <v>16.804336602994322</v>
      </c>
      <c r="O53" s="139">
        <v>26.631466050655888</v>
      </c>
      <c r="P53" s="112">
        <v>4.481463738777023</v>
      </c>
      <c r="Q53" s="147">
        <v>24.78071080281278</v>
      </c>
      <c r="R53" s="1"/>
    </row>
    <row r="54" spans="3:18" ht="15.75" customHeight="1">
      <c r="C54" s="401">
        <v>2015</v>
      </c>
      <c r="D54" s="428">
        <v>11.613277847672505</v>
      </c>
      <c r="E54" s="139">
        <v>6.978461538461538</v>
      </c>
      <c r="F54" s="139">
        <v>27.56545159144686</v>
      </c>
      <c r="G54" s="139">
        <v>54.04712722821513</v>
      </c>
      <c r="H54" s="139">
        <v>52.77719112988384</v>
      </c>
      <c r="I54" s="146">
        <v>24.506292259658665</v>
      </c>
      <c r="J54" s="139">
        <v>5.683958226331108</v>
      </c>
      <c r="K54" s="139">
        <v>2.6890078885242126</v>
      </c>
      <c r="L54" s="139">
        <v>14.379580490270405</v>
      </c>
      <c r="M54" s="139">
        <v>0.896354617834395</v>
      </c>
      <c r="N54" s="139">
        <v>13.879436071949442</v>
      </c>
      <c r="O54" s="139">
        <v>26.41079978023703</v>
      </c>
      <c r="P54" s="112">
        <v>4.354746673874523</v>
      </c>
      <c r="Q54" s="147">
        <v>25.16963168277736</v>
      </c>
      <c r="R54" s="1"/>
    </row>
    <row r="55" spans="3:18" ht="15.75" customHeight="1">
      <c r="C55" s="401">
        <v>2016</v>
      </c>
      <c r="D55" s="428">
        <v>14.962593516209477</v>
      </c>
      <c r="E55" s="139">
        <v>9.4579945799458</v>
      </c>
      <c r="F55" s="139">
        <v>28.39716164040488</v>
      </c>
      <c r="G55" s="139">
        <v>56.46398026254119</v>
      </c>
      <c r="H55" s="139">
        <v>53.76489361702128</v>
      </c>
      <c r="I55" s="146">
        <v>25.079389971380404</v>
      </c>
      <c r="J55" s="139">
        <v>2.030033370411568</v>
      </c>
      <c r="K55" s="139">
        <v>7.48625814863103</v>
      </c>
      <c r="L55" s="139">
        <v>16.152288269331933</v>
      </c>
      <c r="M55" s="139">
        <v>0.6395574468085108</v>
      </c>
      <c r="N55" s="139">
        <v>15.847983453981385</v>
      </c>
      <c r="O55" s="139">
        <v>27.195312499999996</v>
      </c>
      <c r="P55" s="112">
        <v>4.117041611527716</v>
      </c>
      <c r="Q55" s="147">
        <v>25.761511838173394</v>
      </c>
      <c r="R55" s="1"/>
    </row>
    <row r="56" spans="3:18" ht="13.5" customHeight="1">
      <c r="C56" s="402">
        <v>2017</v>
      </c>
      <c r="D56" s="429">
        <v>15.333333333333336</v>
      </c>
      <c r="E56" s="406">
        <v>8.839080459770116</v>
      </c>
      <c r="F56" s="406">
        <v>29.751565762004173</v>
      </c>
      <c r="G56" s="406">
        <v>56.50909090909091</v>
      </c>
      <c r="H56" s="406">
        <v>58.22177822177823</v>
      </c>
      <c r="I56" s="427">
        <v>24.041353383458645</v>
      </c>
      <c r="J56" s="406">
        <v>2.244565217391304</v>
      </c>
      <c r="K56" s="406">
        <v>7.0935960591133</v>
      </c>
      <c r="L56" s="406">
        <v>14.511111111111111</v>
      </c>
      <c r="M56" s="406">
        <v>0.26315789473684215</v>
      </c>
      <c r="N56" s="406">
        <v>15.874502458440649</v>
      </c>
      <c r="O56" s="406">
        <v>27.097744360902254</v>
      </c>
      <c r="P56" s="430">
        <v>4.063860667634252</v>
      </c>
      <c r="Q56" s="405">
        <v>27.043922730736963</v>
      </c>
      <c r="R56" s="1"/>
    </row>
    <row r="57" spans="3:17" ht="12.75">
      <c r="C57" s="603" t="s">
        <v>100</v>
      </c>
      <c r="D57" s="604"/>
      <c r="E57" s="604"/>
      <c r="F57" s="604"/>
      <c r="G57" s="604"/>
      <c r="H57" s="604"/>
      <c r="I57" s="604"/>
      <c r="J57" s="604"/>
      <c r="K57" s="604"/>
      <c r="L57" s="604"/>
      <c r="M57" s="604"/>
      <c r="N57" s="604"/>
      <c r="O57" s="604"/>
      <c r="P57" s="604"/>
      <c r="Q57" s="604"/>
    </row>
    <row r="61" ht="12.75">
      <c r="I61" s="1"/>
    </row>
    <row r="62" ht="12.75">
      <c r="M62" s="1"/>
    </row>
  </sheetData>
  <sheetProtection/>
  <mergeCells count="7">
    <mergeCell ref="C36:Q36"/>
    <mergeCell ref="C37:Q37"/>
    <mergeCell ref="C57:Q57"/>
    <mergeCell ref="C1:D1"/>
    <mergeCell ref="C2:R2"/>
    <mergeCell ref="C3:Q3"/>
    <mergeCell ref="C34:Q34"/>
  </mergeCells>
  <printOptions horizontalCentered="1"/>
  <pageMargins left="0.6692913385826772" right="0.4724409448818898"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2012-03-29T14:37:27Z</cp:lastPrinted>
  <dcterms:created xsi:type="dcterms:W3CDTF">2003-09-05T14:33:05Z</dcterms:created>
  <dcterms:modified xsi:type="dcterms:W3CDTF">2019-09-17T14:33:14Z</dcterms:modified>
  <cp:category/>
  <cp:version/>
  <cp:contentType/>
  <cp:contentStatus/>
</cp:coreProperties>
</file>