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705" windowWidth="9510" windowHeight="11040" tabRatio="877" firstSheet="5" activeTab="14"/>
  </bookViews>
  <sheets>
    <sheet name="T2.4" sheetId="1" r:id="rId1"/>
    <sheet name="air_cntr" sheetId="2" r:id="rId2"/>
    <sheet name="airlines" sheetId="3" r:id="rId3"/>
    <sheet name="airpt_pass_maj" sheetId="4" r:id="rId4"/>
    <sheet name="airpt_pairs_intra" sheetId="5" r:id="rId5"/>
    <sheet name="airpt_pairs_extra" sheetId="6" r:id="rId6"/>
    <sheet name="airpt_cargo_maj" sheetId="7" r:id="rId7"/>
    <sheet name="airpt_mvmnt_maj" sheetId="8" r:id="rId8"/>
    <sheet name="sea_cntry_pass" sheetId="9" r:id="rId9"/>
    <sheet name="sea_ports_pass " sheetId="10" r:id="rId10"/>
    <sheet name="sea_ports_freight" sheetId="11" r:id="rId11"/>
    <sheet name="sea_intra_rel" sheetId="12" r:id="rId12"/>
    <sheet name="sea_intra_routes" sheetId="13" r:id="rId13"/>
    <sheet name="sea_container" sheetId="14" r:id="rId14"/>
    <sheet name="combined" sheetId="15" r:id="rId15"/>
    <sheet name="alps" sheetId="16" r:id="rId16"/>
    <sheet name="pyrenee" sheetId="17" r:id="rId17"/>
    <sheet name="rail_traffic" sheetId="18" r:id="rId18"/>
    <sheet name="rail_share_pas" sheetId="19" r:id="rId19"/>
    <sheet name="rail_share_fr" sheetId="20" r:id="rId20"/>
    <sheet name="rail_alp_pyr" sheetId="21" r:id="rId21"/>
    <sheet name="channel" sheetId="22" r:id="rId22"/>
  </sheets>
  <definedNames>
    <definedName name="A" localSheetId="0">'T2.4'!$A$65502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'airlines'!$B$1:$T$44</definedName>
    <definedName name="_xlnm.Print_Area" localSheetId="6">'airpt_cargo_maj'!$A$1:$V$66</definedName>
    <definedName name="_xlnm.Print_Area" localSheetId="7">'airpt_mvmnt_maj'!$A$1:$T$85</definedName>
    <definedName name="_xlnm.Print_Area" localSheetId="5">'airpt_pairs_extra'!#REF!</definedName>
    <definedName name="_xlnm.Print_Area" localSheetId="4">'airpt_pairs_intra'!#REF!</definedName>
    <definedName name="_xlnm.Print_Area" localSheetId="3">'airpt_pass_maj'!$B$1:$R$66</definedName>
    <definedName name="_xlnm.Print_Area" localSheetId="15">'alps'!#REF!</definedName>
    <definedName name="_xlnm.Print_Area" localSheetId="21">'channel'!$B$1:$H$36</definedName>
    <definedName name="_xlnm.Print_Area" localSheetId="14">'combined'!$B$1:$I$35</definedName>
    <definedName name="_xlnm.Print_Area" localSheetId="16">'pyrenee'!$B$1:$F$35</definedName>
    <definedName name="_xlnm.Print_Area" localSheetId="20">'rail_alp_pyr'!$A$1:$I$39</definedName>
    <definedName name="_xlnm.Print_Area" localSheetId="8">'sea_cntry_pass'!$A$1:$BO$40</definedName>
    <definedName name="_xlnm.Print_Area" localSheetId="11">'sea_intra_rel'!$B$1:$L$38</definedName>
    <definedName name="_xlnm.Print_Area" localSheetId="12">'sea_intra_routes'!#REF!</definedName>
    <definedName name="_xlnm.Print_Area" localSheetId="10">'sea_ports_freight'!$B$1:$U$67</definedName>
    <definedName name="_xlnm.Print_Area" localSheetId="9">'sea_ports_pass '!$B$1:$W$70</definedName>
    <definedName name="_xlnm.Print_Area" localSheetId="0">'T2.4'!$B$1:$E$37</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fullCalcOnLoad="1"/>
</workbook>
</file>

<file path=xl/sharedStrings.xml><?xml version="1.0" encoding="utf-8"?>
<sst xmlns="http://schemas.openxmlformats.org/spreadsheetml/2006/main" count="2018" uniqueCount="623">
  <si>
    <t>2.4.13</t>
  </si>
  <si>
    <t>1985-2000</t>
  </si>
  <si>
    <r>
      <t>Source</t>
    </r>
    <r>
      <rPr>
        <sz val="8"/>
        <rFont val="Arial"/>
        <family val="2"/>
      </rPr>
      <t>: Observatorio hispano-francés de Trafico en los Pirineos, Spain and own estimates (</t>
    </r>
    <r>
      <rPr>
        <i/>
        <sz val="8"/>
        <rFont val="Arial"/>
        <family val="2"/>
      </rPr>
      <t>in italics</t>
    </r>
    <r>
      <rPr>
        <sz val="8"/>
        <rFont val="Arial"/>
        <family val="2"/>
      </rPr>
      <t>)</t>
    </r>
  </si>
  <si>
    <t>Cargo and Mail loaded and unloaded</t>
  </si>
  <si>
    <t>1000 tonnes</t>
  </si>
  <si>
    <t>Marseille</t>
  </si>
  <si>
    <t xml:space="preserve">Airline </t>
  </si>
  <si>
    <t xml:space="preserve">British Airways </t>
  </si>
  <si>
    <t xml:space="preserve">Iberia </t>
  </si>
  <si>
    <t xml:space="preserve">Air Berlin </t>
  </si>
  <si>
    <t>Sea : Passenger Traffic at Major EU Seaports</t>
  </si>
  <si>
    <t>Traffic</t>
  </si>
  <si>
    <t>Road : Pyrenees Crossing Traffic</t>
  </si>
  <si>
    <t>Total inwards</t>
  </si>
  <si>
    <t>TOTAL goods transported*</t>
  </si>
  <si>
    <t>of which: to/from EU</t>
  </si>
  <si>
    <t>Total outwards</t>
  </si>
  <si>
    <t>Relevance of intra-EU transport in total maritime transport by EU country</t>
  </si>
  <si>
    <t>Antwerpen</t>
  </si>
  <si>
    <t>Göteborg</t>
  </si>
  <si>
    <t>Palma De Mallorca</t>
  </si>
  <si>
    <t>Paloukia Salaminas</t>
  </si>
  <si>
    <t>Perama</t>
  </si>
  <si>
    <t>Cirkewwa</t>
  </si>
  <si>
    <t>Mgarr, Gozo</t>
  </si>
  <si>
    <t>Sorrento</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</si>
  <si>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</si>
  <si>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</si>
  <si>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</si>
  <si>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</si>
  <si>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</si>
  <si>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</si>
  <si>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</si>
  <si>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</si>
  <si>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</si>
  <si>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</si>
  <si>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</si>
  <si>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</si>
  <si>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</si>
  <si>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</si>
  <si>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</si>
  <si>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</si>
  <si>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</si>
  <si>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</si>
  <si>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</si>
  <si>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</si>
  <si>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</si>
  <si>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</si>
  <si>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</si>
  <si>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</si>
  <si>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</si>
  <si>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</si>
  <si>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</si>
  <si>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</si>
  <si>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</si>
  <si>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</si>
  <si>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</si>
  <si>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</si>
  <si>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</si>
  <si>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</si>
  <si>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</si>
  <si>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</si>
  <si>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</si>
  <si>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</si>
  <si>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Göteborg / Landvetter</t>
  </si>
  <si>
    <t>Bologna / Borgo Panigale</t>
  </si>
  <si>
    <t>Bristol</t>
  </si>
  <si>
    <t>Catania / Fontanarossa</t>
  </si>
  <si>
    <t>Tenerife Sur / Reina Sofia</t>
  </si>
  <si>
    <t>Berlin / Schönefeld</t>
  </si>
  <si>
    <t>Porto</t>
  </si>
  <si>
    <t>Köln-Bonn</t>
  </si>
  <si>
    <t>Liège / Bierset</t>
  </si>
  <si>
    <t>Nottingham East Midlands</t>
  </si>
  <si>
    <t>Frankfurt / Hahn</t>
  </si>
  <si>
    <t>Leipzig-Halle</t>
  </si>
  <si>
    <t>Maastricht-Aachen</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</si>
  <si>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</si>
  <si>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</si>
  <si>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</si>
  <si>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</si>
  <si>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</si>
  <si>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</si>
  <si>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</si>
  <si>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</si>
  <si>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Chicago / O'Hare Intl, IL, USA</t>
  </si>
  <si>
    <t>London / Heathrow - Miami Intl, FL, USA</t>
  </si>
  <si>
    <t>Frankfurt (Main) - Istanbul / Atatürk, Turkey</t>
  </si>
  <si>
    <t>London / Heathrow - New Delhi / Indira Gandhi Intl, India</t>
  </si>
  <si>
    <t>Berlin / Tegel - Zürich, Switzerland</t>
  </si>
  <si>
    <t>Wien / Schwechat - Zürich, Switzerland</t>
  </si>
  <si>
    <t>In Passenger Transport</t>
  </si>
  <si>
    <t>Air : Main Connections Between EU- And Non-EU Airports</t>
  </si>
  <si>
    <t>Lyon / Saint-Exupéry</t>
  </si>
  <si>
    <t>Faro</t>
  </si>
  <si>
    <t>Leixões</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</si>
  <si>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</si>
  <si>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</si>
  <si>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</si>
  <si>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</si>
  <si>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</si>
  <si>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</si>
  <si>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</si>
  <si>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</si>
  <si>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</si>
  <si>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</si>
  <si>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</si>
  <si>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</si>
  <si>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</si>
  <si>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</si>
  <si>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</si>
  <si>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</si>
  <si>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</si>
  <si>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</si>
  <si>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</si>
  <si>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</si>
  <si>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</si>
  <si>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</si>
  <si>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</si>
  <si>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</si>
  <si>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</si>
  <si>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</si>
  <si>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</si>
  <si>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</si>
  <si>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</si>
  <si>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</si>
  <si>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</si>
  <si>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</si>
  <si>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</si>
  <si>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</si>
  <si>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</si>
  <si>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</si>
  <si>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</si>
  <si>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Milford Haven</t>
  </si>
  <si>
    <t>Zeebrugge</t>
  </si>
  <si>
    <t>Tarragona</t>
  </si>
  <si>
    <t>Bilbao</t>
  </si>
  <si>
    <t>Ravenna</t>
  </si>
  <si>
    <t>Felixstowe</t>
  </si>
  <si>
    <t>Rouen</t>
  </si>
  <si>
    <t>Klaipeda</t>
  </si>
  <si>
    <t>Koper</t>
  </si>
  <si>
    <t>1000 TEU</t>
  </si>
  <si>
    <t>Gioia Tauro</t>
  </si>
  <si>
    <t>La Spezia</t>
  </si>
  <si>
    <t>Thessaloniki</t>
  </si>
  <si>
    <t>Year</t>
  </si>
  <si>
    <t>Semi-trailers</t>
  </si>
  <si>
    <t>million tonnes</t>
  </si>
  <si>
    <t>St. Gotthard</t>
  </si>
  <si>
    <t>Brenner</t>
  </si>
  <si>
    <t xml:space="preserve">Switzerland </t>
  </si>
  <si>
    <t>Simplon</t>
  </si>
  <si>
    <t>Gr.St. Bernard</t>
  </si>
  <si>
    <t>West coast</t>
  </si>
  <si>
    <t>East coast</t>
  </si>
  <si>
    <t>vehicles per day</t>
  </si>
  <si>
    <t>Venezia</t>
  </si>
  <si>
    <t>Lisboa</t>
  </si>
  <si>
    <t>Sea : Inward and Outward Flow of Passengers by Country</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</si>
  <si>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</si>
  <si>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</si>
  <si>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</si>
  <si>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</si>
  <si>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</si>
  <si>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</si>
  <si>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</si>
  <si>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</si>
  <si>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</si>
  <si>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</si>
  <si>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</si>
  <si>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</si>
  <si>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</si>
  <si>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</si>
  <si>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</si>
  <si>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</si>
  <si>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</si>
  <si>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</si>
  <si>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</si>
  <si>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</si>
  <si>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</si>
  <si>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</si>
  <si>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</si>
  <si>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</si>
  <si>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</si>
  <si>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</si>
  <si>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</si>
  <si>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</si>
  <si>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</si>
  <si>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</si>
  <si>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</si>
  <si>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</si>
  <si>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</si>
  <si>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</si>
  <si>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</si>
  <si>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</si>
  <si>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</si>
  <si>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</si>
  <si>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</si>
  <si>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Virgin Atlantic Airways</t>
  </si>
  <si>
    <t>THY Turkish Airlines</t>
  </si>
  <si>
    <t>TAP Portugal</t>
  </si>
  <si>
    <t>HR</t>
  </si>
  <si>
    <t>Cartagena</t>
  </si>
  <si>
    <t>Livorno</t>
  </si>
  <si>
    <t>Dunkerque</t>
  </si>
  <si>
    <t>Total</t>
  </si>
  <si>
    <t>Austrian Airlines</t>
  </si>
  <si>
    <t>(1)</t>
  </si>
  <si>
    <t>Cars</t>
  </si>
  <si>
    <t>Coaches</t>
  </si>
  <si>
    <t>Air : Passenger Traffic at Major EU Airports</t>
  </si>
  <si>
    <t>Air : Freight Traffic at Major EU Airports</t>
  </si>
  <si>
    <t>Biriatou</t>
  </si>
  <si>
    <t>Le Perthus</t>
  </si>
  <si>
    <t>Other crossings</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</si>
  <si>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</si>
  <si>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</si>
  <si>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</si>
  <si>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</si>
  <si>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</si>
  <si>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</si>
  <si>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</si>
  <si>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</si>
  <si>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</si>
  <si>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</si>
  <si>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</si>
  <si>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</si>
  <si>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</si>
  <si>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</si>
  <si>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</si>
  <si>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</si>
  <si>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</si>
  <si>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</si>
  <si>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</si>
  <si>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</si>
  <si>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</si>
  <si>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</si>
  <si>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</si>
  <si>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</si>
  <si>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</si>
  <si>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</si>
  <si>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</si>
  <si>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</si>
  <si>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</si>
  <si>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2"/>
      </rPr>
      <t>: Eurostat</t>
    </r>
  </si>
  <si>
    <t>Tees &amp; Hartlepool</t>
  </si>
  <si>
    <t>Forth</t>
  </si>
  <si>
    <t>Nantes Saint-Nazaire</t>
  </si>
  <si>
    <t>Liverpool</t>
  </si>
  <si>
    <t>Bremerhaven</t>
  </si>
  <si>
    <t>Sines</t>
  </si>
  <si>
    <t>Porto Foxi</t>
  </si>
  <si>
    <t>Huelva</t>
  </si>
  <si>
    <t>Civitavecchia</t>
  </si>
  <si>
    <t>Holyhead</t>
  </si>
  <si>
    <t>Igoumenitsa</t>
  </si>
  <si>
    <t>Alps Crossing Freight Traffic</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</si>
  <si>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</si>
  <si>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</si>
  <si>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</si>
  <si>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</si>
  <si>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</si>
  <si>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</si>
  <si>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</si>
  <si>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</si>
  <si>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</si>
  <si>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</si>
  <si>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</si>
  <si>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</si>
  <si>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</si>
  <si>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</si>
  <si>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</si>
  <si>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</si>
  <si>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</si>
  <si>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t>Combined Transport Traffic</t>
  </si>
  <si>
    <t>UIRR companies</t>
  </si>
  <si>
    <t xml:space="preserve">Pass- </t>
  </si>
  <si>
    <t>engers</t>
  </si>
  <si>
    <t>Pass-</t>
  </si>
  <si>
    <t>(arriving + departing + in transit)</t>
  </si>
  <si>
    <t>Notes:</t>
  </si>
  <si>
    <t>*: The total goods transported data may be less than the sum of inward and outward traffic due to the double counting of tonnes moved within the same country.</t>
  </si>
  <si>
    <t>Mont-Cenis</t>
  </si>
  <si>
    <t>Alicante</t>
  </si>
  <si>
    <t>UNITED KINGDOM</t>
  </si>
  <si>
    <t>ITALY</t>
  </si>
  <si>
    <t>SPAIN</t>
  </si>
  <si>
    <t>NETHERLANDS</t>
  </si>
  <si>
    <t>FRANCE</t>
  </si>
  <si>
    <t>GREECE</t>
  </si>
  <si>
    <t>GERMANY</t>
  </si>
  <si>
    <t>SWEDEN</t>
  </si>
  <si>
    <t>DENMARK</t>
  </si>
  <si>
    <t>BELGIUM</t>
  </si>
  <si>
    <t>LATVIA</t>
  </si>
  <si>
    <t>FINLAND</t>
  </si>
  <si>
    <t>IRELAND</t>
  </si>
  <si>
    <t>PORTUGAL</t>
  </si>
  <si>
    <t>million tonnes transported</t>
  </si>
  <si>
    <t>Sea: Main Routes in Intra-EU Maritime Transport</t>
  </si>
  <si>
    <t>Ceuta</t>
  </si>
  <si>
    <t>Scheduled and non-scheduled flights</t>
  </si>
  <si>
    <t>Bastia</t>
  </si>
  <si>
    <t>Norddeich</t>
  </si>
  <si>
    <t>Air: Passenger Traffic between Member States</t>
  </si>
  <si>
    <t>Road: Alps Crossing Freight Traffic</t>
  </si>
  <si>
    <t>Mont-Blanc</t>
  </si>
  <si>
    <t>St. Bernardino</t>
  </si>
  <si>
    <t>Million Tonnes</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</si>
  <si>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</si>
  <si>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</si>
  <si>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</si>
  <si>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</si>
  <si>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</si>
  <si>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</si>
  <si>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</si>
  <si>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r>
      <t>Source</t>
    </r>
    <r>
      <rPr>
        <sz val="8"/>
        <rFont val="Arial"/>
        <family val="2"/>
      </rPr>
      <t>: Eurostat</t>
    </r>
  </si>
  <si>
    <t>Sea : Freight Traffic at Major EU Seaports</t>
  </si>
  <si>
    <t>Rostock</t>
  </si>
  <si>
    <t>Passengers Embarked and Disembarked</t>
  </si>
  <si>
    <t>million passengers</t>
  </si>
  <si>
    <t>change</t>
  </si>
  <si>
    <t>Amsterdam</t>
  </si>
  <si>
    <t>Barcelona</t>
  </si>
  <si>
    <t>Dublin</t>
  </si>
  <si>
    <t>Helsinki</t>
  </si>
  <si>
    <t>Hamburg</t>
  </si>
  <si>
    <t>Riga</t>
  </si>
  <si>
    <t>Tallinn</t>
  </si>
  <si>
    <t>Airport, Country</t>
  </si>
  <si>
    <t>London / Heathrow - Mumbai / Chhatrapati Shivaji Intl, India</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</si>
  <si>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</si>
  <si>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</si>
  <si>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</si>
  <si>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</si>
  <si>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</si>
  <si>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Istanbul / Atatürk, Turkey</t>
  </si>
  <si>
    <t>Domestic + International</t>
  </si>
  <si>
    <t>Ranking</t>
  </si>
  <si>
    <t xml:space="preserve">average annual change </t>
  </si>
  <si>
    <t>average annual change</t>
  </si>
  <si>
    <t>Passengers carried*</t>
  </si>
  <si>
    <r>
      <t>Notes:</t>
    </r>
    <r>
      <rPr>
        <sz val="8"/>
        <rFont val="Arial"/>
        <family val="2"/>
      </rPr>
      <t xml:space="preserve"> </t>
    </r>
  </si>
  <si>
    <t>Tonnes loaded and unloaded</t>
  </si>
  <si>
    <t>EUROPEAN UNION</t>
  </si>
  <si>
    <t>European Commission</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</si>
  <si>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</si>
  <si>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</si>
  <si>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</si>
  <si>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</si>
  <si>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</si>
  <si>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</si>
  <si>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</si>
  <si>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</si>
  <si>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Sea: Inward and Outward Flow of Passengers by Country</t>
  </si>
  <si>
    <t>Sea: Passenger Traffic at Major EU Seaports</t>
  </si>
  <si>
    <t>Sea: Freight Traffic at Major EU Seaports</t>
  </si>
  <si>
    <t>Sea: Intra-EU Maritime Transport by Country</t>
  </si>
  <si>
    <t>Road: Pyrenees Crossing Traffic</t>
  </si>
  <si>
    <r>
      <t xml:space="preserve">in co-operation with </t>
    </r>
    <r>
      <rPr>
        <b/>
        <sz val="10"/>
        <rFont val="Arial"/>
        <family val="2"/>
      </rPr>
      <t>Eurostat</t>
    </r>
  </si>
  <si>
    <t>Aer Lingus</t>
  </si>
  <si>
    <r>
      <t xml:space="preserve">(3): </t>
    </r>
    <r>
      <rPr>
        <b/>
        <sz val="8"/>
        <rFont val="Arial"/>
        <family val="2"/>
      </rPr>
      <t>Easyjet:</t>
    </r>
    <r>
      <rPr>
        <sz val="8"/>
        <rFont val="Arial"/>
        <family val="2"/>
      </rPr>
      <t xml:space="preserve"> Financial year up to 30 September of the year indicated.</t>
    </r>
  </si>
  <si>
    <r>
      <t xml:space="preserve">(1):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</si>
  <si>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London / Heathrow - Singapore / Changi, Singapore</t>
  </si>
  <si>
    <t>London / Heathrow - Zürich, Switzerland</t>
  </si>
  <si>
    <t>Düsseldorf  - Zürich, Switzerland</t>
  </si>
  <si>
    <r>
      <t>Source:</t>
    </r>
    <r>
      <rPr>
        <b/>
        <sz val="8"/>
        <rFont val="Arial"/>
        <family val="2"/>
      </rPr>
      <t xml:space="preserve"> </t>
    </r>
    <r>
      <rPr>
        <sz val="8"/>
        <rFont val="Arial"/>
        <family val="2"/>
      </rPr>
      <t>Eurostat,</t>
    </r>
    <r>
      <rPr>
        <i/>
        <sz val="8"/>
        <rFont val="Arial"/>
        <family val="2"/>
      </rPr>
      <t xml:space="preserve"> airport websites (in italics).</t>
    </r>
  </si>
  <si>
    <t xml:space="preserve">Riga </t>
  </si>
  <si>
    <t>Palma Mallorca</t>
  </si>
  <si>
    <t>Norderney I.</t>
  </si>
  <si>
    <t>Hirtshals</t>
  </si>
  <si>
    <t>Ystad</t>
  </si>
  <si>
    <t>Kiel</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</si>
  <si>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</si>
  <si>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</si>
  <si>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</si>
  <si>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</si>
  <si>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</si>
  <si>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</si>
  <si>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</si>
  <si>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r>
      <t xml:space="preserve">Data from </t>
    </r>
    <r>
      <rPr>
        <u val="single"/>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</si>
  <si>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</si>
  <si>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</si>
  <si>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</si>
  <si>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</si>
  <si>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Paris / Charles de Gaulle - New York / J.F. Kennedy Intl, NY, USA</t>
  </si>
  <si>
    <t>Paris / Charles de Gaulle - Montreal / Pierre Elliot Trudeau Intl, Canada</t>
  </si>
  <si>
    <t>Paris / Charles de Gaulle - Tel Aviv / Ben Gurion, Israel</t>
  </si>
  <si>
    <t>Paris / Charles de Gaulle - Dubai Intl, United Arab Emirates</t>
  </si>
  <si>
    <t>Paris / Charles de Gaulle - Istanbul / Atatürk, Turkey</t>
  </si>
  <si>
    <t>Palma de Mallorca</t>
  </si>
  <si>
    <t>Nice / Côte d'Azur</t>
  </si>
  <si>
    <t>Bergamo / Orio al Serio</t>
  </si>
  <si>
    <t>Part 2  :  TRANSPORT</t>
  </si>
  <si>
    <t>2.4.1</t>
  </si>
  <si>
    <t>2.4.2</t>
  </si>
  <si>
    <t>2.4.4a</t>
  </si>
  <si>
    <t>2.4.4b</t>
  </si>
  <si>
    <t>2.4.5</t>
  </si>
  <si>
    <t>2.4.6</t>
  </si>
  <si>
    <t>2.4.7</t>
  </si>
  <si>
    <t>2.4.8</t>
  </si>
  <si>
    <t>2.4.9</t>
  </si>
  <si>
    <t>2.4.10a</t>
  </si>
  <si>
    <t>2.4.10b</t>
  </si>
  <si>
    <t>2.4.11</t>
  </si>
  <si>
    <t>2.4.12</t>
  </si>
  <si>
    <t>2.4.14</t>
  </si>
  <si>
    <t>2.4.15</t>
  </si>
  <si>
    <t>Chapter 2.4  :</t>
  </si>
  <si>
    <r>
      <t xml:space="preserve">(2): </t>
    </r>
    <r>
      <rPr>
        <b/>
        <sz val="8"/>
        <rFont val="Arial"/>
        <family val="2"/>
      </rPr>
      <t>Ryanair:</t>
    </r>
    <r>
      <rPr>
        <sz val="8"/>
        <rFont val="Arial"/>
        <family val="2"/>
      </rPr>
      <t xml:space="preserve"> Year up to 30 March of the following year. </t>
    </r>
  </si>
  <si>
    <r>
      <t xml:space="preserve">(4): </t>
    </r>
    <r>
      <rPr>
        <b/>
        <sz val="8"/>
        <rFont val="Arial"/>
        <family val="2"/>
      </rPr>
      <t>Air One</t>
    </r>
    <r>
      <rPr>
        <sz val="8"/>
        <rFont val="Arial"/>
        <family val="2"/>
      </rPr>
      <t xml:space="preserve"> merged with</t>
    </r>
    <r>
      <rPr>
        <b/>
        <sz val="8"/>
        <rFont val="Arial"/>
        <family val="2"/>
      </rPr>
      <t xml:space="preserve"> Alitalia</t>
    </r>
    <r>
      <rPr>
        <sz val="8"/>
        <rFont val="Arial"/>
        <family val="2"/>
      </rPr>
      <t xml:space="preserve"> end 2008</t>
    </r>
  </si>
  <si>
    <t>2.4.3</t>
  </si>
  <si>
    <t>Bologna</t>
  </si>
  <si>
    <t>Ibiza</t>
  </si>
  <si>
    <t>Toulouse / Blagnac - Paris / Orly</t>
  </si>
  <si>
    <t>Nice / Côte d'Azur - Paris / Orly</t>
  </si>
  <si>
    <t>Catania / Fontanarossa - Roma / Fiumicino</t>
  </si>
  <si>
    <t>Las Palmas / Gran Canaria - Madrid / Barajas</t>
  </si>
  <si>
    <t>München - Berlin / Tegel</t>
  </si>
  <si>
    <t>Tenerife Norte - Madrid / Barajas</t>
  </si>
  <si>
    <t>Frankfurt (Main) - Hamburg</t>
  </si>
  <si>
    <t>Madrid / Barajas - Paris / Orly</t>
  </si>
  <si>
    <t>Köln-Bonn - Berlin / Tegel</t>
  </si>
  <si>
    <t>København / Kastrup - Stockholm / Arlanda</t>
  </si>
  <si>
    <t>Frankfurt (Main) - München</t>
  </si>
  <si>
    <r>
      <t xml:space="preserve">Source: </t>
    </r>
    <r>
      <rPr>
        <sz val="8"/>
        <rFont val="Arial"/>
        <family val="2"/>
      </rPr>
      <t>Eurostat</t>
    </r>
  </si>
  <si>
    <t>Air : Main Intra-EU Airport Pairs in Passenger Transport</t>
  </si>
  <si>
    <t>Zaragoza</t>
  </si>
  <si>
    <t>Ancona</t>
  </si>
  <si>
    <t>Directorate-General for Mobility and Transport</t>
  </si>
  <si>
    <t xml:space="preserve"> TRANSPORT IN FIGURES</t>
  </si>
  <si>
    <t>Las Palmas</t>
  </si>
  <si>
    <t>Århus</t>
  </si>
  <si>
    <t>Gdynia</t>
  </si>
  <si>
    <t>Lemesos (Limassol)</t>
  </si>
  <si>
    <t>Cagliari</t>
  </si>
  <si>
    <t>Sea : Container Traffic at Major EU Seaports</t>
  </si>
  <si>
    <r>
      <t>Note</t>
    </r>
    <r>
      <rPr>
        <sz val="10"/>
        <rFont val="Arial"/>
        <family val="2"/>
      </rPr>
      <t xml:space="preserve">: </t>
    </r>
  </si>
  <si>
    <t>Air France (1)</t>
  </si>
  <si>
    <t>KLM Royal Dutch Airlines (1)</t>
  </si>
  <si>
    <t>Ryanair (2)</t>
  </si>
  <si>
    <t>Easyjet (3)</t>
  </si>
  <si>
    <t>London / Heathrow - Genève / Cointrin, Switzerland</t>
  </si>
  <si>
    <t>Frankfurt (Main) - Dubai Intl, United Arab Emirates</t>
  </si>
  <si>
    <t>London / Gatwick - Genève, Switzerland</t>
  </si>
  <si>
    <t>Venezia Tessera</t>
  </si>
  <si>
    <t>Helsingør (Elsinore)</t>
  </si>
  <si>
    <t>Porto D'Ischia</t>
  </si>
  <si>
    <t>Immingham</t>
  </si>
  <si>
    <t>Constanta</t>
  </si>
  <si>
    <t>Gent (Ghent)</t>
  </si>
  <si>
    <t>Sköldvik</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</si>
  <si>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</si>
  <si>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Note</t>
    </r>
    <r>
      <rPr>
        <sz val="8"/>
        <rFont val="Arial"/>
        <family val="2"/>
      </rPr>
      <t xml:space="preserve">: </t>
    </r>
    <r>
      <rPr>
        <sz val="8"/>
        <rFont val="Arial"/>
        <family val="2"/>
      </rPr>
      <t>France: Montgenèvre: from 1999</t>
    </r>
  </si>
  <si>
    <r>
      <t>Note</t>
    </r>
    <r>
      <rPr>
        <sz val="8"/>
        <rFont val="Arial"/>
        <family val="2"/>
      </rPr>
      <t>: internal, import, export and transit traffic</t>
    </r>
  </si>
  <si>
    <t>Charleroi</t>
  </si>
  <si>
    <t>% of consignments (*)</t>
  </si>
  <si>
    <t>Croatia</t>
  </si>
  <si>
    <r>
      <t>Source</t>
    </r>
    <r>
      <rPr>
        <sz val="8"/>
        <rFont val="Arial"/>
        <family val="2"/>
      </rPr>
      <t>: Eurostat, estimates (in italics)</t>
    </r>
  </si>
  <si>
    <t>Hull</t>
  </si>
  <si>
    <t>Rauma</t>
  </si>
  <si>
    <t>Castellón</t>
  </si>
  <si>
    <t>Hamina-Kotka</t>
  </si>
  <si>
    <r>
      <t>Source</t>
    </r>
    <r>
      <rPr>
        <sz val="8"/>
        <rFont val="Arial"/>
        <family val="2"/>
      </rPr>
      <t>: Eurostat. In 2011 the ports of Hamina and Kotka merged into a single legal entity. Older values refer to Kotka only.</t>
    </r>
  </si>
  <si>
    <t>Condor</t>
  </si>
  <si>
    <t>Wizz Air</t>
  </si>
  <si>
    <t>Transavia Airlines</t>
  </si>
  <si>
    <t>Vueling</t>
  </si>
  <si>
    <t>Air : Major European Airlines</t>
  </si>
  <si>
    <t>Norwegian</t>
  </si>
  <si>
    <t>SE/DK/NO</t>
  </si>
  <si>
    <t>Thomas Cook Airlines</t>
  </si>
  <si>
    <t>Zadar - passenger port</t>
  </si>
  <si>
    <t>Reggio Calabria</t>
  </si>
  <si>
    <t>Barcelona - Paris / Charles de Gaulle</t>
  </si>
  <si>
    <t>Amsterdam / Schiphol - Zürich, Switzerland</t>
  </si>
  <si>
    <t>Paris / Charles de Gaulle - Genève, Switzerland</t>
  </si>
  <si>
    <t>Manchester - Dubai Intl, United Arab Emirates</t>
  </si>
  <si>
    <t>Total passengers carried* including domestic flights (1000)</t>
  </si>
  <si>
    <r>
      <rPr>
        <b/>
        <sz val="8"/>
        <rFont val="Arial"/>
        <family val="2"/>
      </rPr>
      <t xml:space="preserve">Note: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</si>
  <si>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 xml:space="preserve">Split </t>
  </si>
  <si>
    <t>(1): From 2000 to 2005, estimates based on 2.52 passengers per car and 38.75 passengers per coach</t>
  </si>
  <si>
    <t>Alitalia</t>
  </si>
  <si>
    <t>Finnair</t>
  </si>
  <si>
    <t>Air Europa</t>
  </si>
  <si>
    <t>SunExpress</t>
  </si>
  <si>
    <t>Jet2</t>
  </si>
  <si>
    <t>Billion revenue passenger-kilometres</t>
  </si>
  <si>
    <t>Irun</t>
  </si>
  <si>
    <t>La Jonquera</t>
  </si>
  <si>
    <t>Paris / Orly - Aime Cesaire (Martinique)</t>
  </si>
  <si>
    <t>Paris / Orly - Alger, Algeria</t>
  </si>
  <si>
    <t>London / Gatwick - Orlando Intl, FL, USA</t>
  </si>
  <si>
    <t>2.4.17</t>
  </si>
  <si>
    <t>2.4.18</t>
  </si>
  <si>
    <t>Rail: Degree of Market Opening - Passenger</t>
  </si>
  <si>
    <t>Rail: Degree of Market Opening - Freight</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</si>
  <si>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</si>
  <si>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</si>
  <si>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EU-28</t>
  </si>
  <si>
    <t>*passengers carried are fewer than passengers on board, due to transit passengers staying on board the aircraft not being counted.</t>
  </si>
  <si>
    <t>Rail: Channel Tunnel Traffic</t>
  </si>
  <si>
    <r>
      <t>Note:</t>
    </r>
    <r>
      <rPr>
        <sz val="8"/>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</si>
  <si>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Agioi Theodoroi</t>
  </si>
  <si>
    <t>Larnaka</t>
  </si>
  <si>
    <r>
      <t>*Consignment</t>
    </r>
    <r>
      <rPr>
        <sz val="8"/>
        <rFont val="Arial"/>
        <family val="2"/>
      </rPr>
      <t xml:space="preserve"> = equivalent to 2.0 TEU, meaning: 
 - One semi-trailer;
 - Two swap bodies less than 8.30 m and under 16t;
 - One swap-body more than 8.30 m or over 16t; 
 - One vehicle on the Rolling Motorway
</t>
    </r>
  </si>
  <si>
    <t>Rolling motorway</t>
  </si>
  <si>
    <t>below 300 km</t>
  </si>
  <si>
    <t>between 300 and 900 km</t>
  </si>
  <si>
    <t>more than 900 km</t>
  </si>
  <si>
    <t>% of which:</t>
  </si>
  <si>
    <t>billion</t>
  </si>
  <si>
    <t>Amsterdam / Schiphol - Roma / Fiumicino</t>
  </si>
  <si>
    <t>Paris / Charles de Gaulle - Shanghai / Pudong , CN</t>
  </si>
  <si>
    <t>Berlin/Tegel airport</t>
  </si>
  <si>
    <t>La réunion/Roland Garros</t>
  </si>
  <si>
    <t>Bologna/Borgo Panigale</t>
  </si>
  <si>
    <t>Bucuresti/Henri Coanda</t>
  </si>
  <si>
    <t>London/Luton</t>
  </si>
  <si>
    <t>Madrid / Barajas - Barcelona</t>
  </si>
  <si>
    <t>München - Hamburg</t>
  </si>
  <si>
    <t>Dublin - London / Heathrow</t>
  </si>
  <si>
    <t>London / Heathrow - Frankfurt (Main)</t>
  </si>
  <si>
    <t>Roma / Fiumicino  - Palermo / Punta Raisi</t>
  </si>
  <si>
    <t>Palma De Mallorca- Barcelona</t>
  </si>
  <si>
    <t>Wien / Schwechat  - Frankfurt (Main)</t>
  </si>
  <si>
    <t>Palma de Mallorca - Madrid / Barajas</t>
  </si>
  <si>
    <t>Barcelona - London / Gatwick</t>
  </si>
  <si>
    <t>Barcelona - Amsterdam / Schiphol</t>
  </si>
  <si>
    <t>London / Heathrow - München</t>
  </si>
  <si>
    <t>Palma De Mallorca - Düsseldorf</t>
  </si>
  <si>
    <t>Malaga - London / Gatwick</t>
  </si>
  <si>
    <t>Stockholm / Arlanda - Helsinki / Vantaa</t>
  </si>
  <si>
    <t>Lisboa - Madrid / Barajas</t>
  </si>
  <si>
    <t>Dublin - London / Gatwick</t>
  </si>
  <si>
    <t>Barcelona - Roma / Fiumicino</t>
  </si>
  <si>
    <t xml:space="preserve">Amsterdam / Schiphol - Dubai Intl, United Arab Emirates </t>
  </si>
  <si>
    <t>Madrid / Barajas - New York / J.F. Kennedy Intl, NY, USA</t>
  </si>
  <si>
    <t xml:space="preserve">München - Dubai Intl, United Arab Emirates </t>
  </si>
  <si>
    <t>London / Heathrow - Doha / Hamad Intl, Qatar</t>
  </si>
  <si>
    <t>Paris / Charles de Gaulle - Atlanta / Hartfield Jackson Intl, GA, USA</t>
  </si>
  <si>
    <t xml:space="preserve">Lufthansa </t>
  </si>
  <si>
    <t>Barcelona / El Prat</t>
  </si>
  <si>
    <t>Warszawa / Chopina</t>
  </si>
  <si>
    <t>Bucuresti</t>
  </si>
  <si>
    <t>Commercial air flights (passengers, freight and mail)</t>
  </si>
  <si>
    <t>ME</t>
  </si>
  <si>
    <r>
      <t>Source</t>
    </r>
    <r>
      <rPr>
        <sz val="8"/>
        <rFont val="Arial"/>
        <family val="2"/>
      </rPr>
      <t>: International Union of Combined Road-Rail Transport Companies (UIRR)</t>
    </r>
  </si>
  <si>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</si>
  <si>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</si>
  <si>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Malmo</t>
  </si>
  <si>
    <t>Supetar</t>
  </si>
  <si>
    <t>2000-2015</t>
  </si>
  <si>
    <t xml:space="preserve">Air : Aircraft Traffic at Major EU Airports </t>
  </si>
  <si>
    <t>Air: Aircraft Traffic at Major EU Airports</t>
  </si>
  <si>
    <t>Rail: Alps Crossing Freight Traffic</t>
  </si>
  <si>
    <t>Rail: Alps Crossing Traffic</t>
  </si>
  <si>
    <t>Pegasus</t>
  </si>
  <si>
    <t>SWISS Intern. Airlines</t>
  </si>
  <si>
    <t>CH</t>
  </si>
  <si>
    <t>Eurowings (5)</t>
  </si>
  <si>
    <r>
      <t xml:space="preserve">(5) </t>
    </r>
    <r>
      <rPr>
        <b/>
        <sz val="8"/>
        <rFont val="Arial"/>
        <family val="2"/>
      </rPr>
      <t>Germanwings</t>
    </r>
    <r>
      <rPr>
        <sz val="8"/>
        <rFont val="Arial"/>
        <family val="2"/>
      </rPr>
      <t xml:space="preserve"> merged with </t>
    </r>
    <r>
      <rPr>
        <b/>
        <sz val="8"/>
        <rFont val="Arial"/>
        <family val="2"/>
      </rPr>
      <t>Eurowings</t>
    </r>
    <r>
      <rPr>
        <sz val="8"/>
        <rFont val="Arial"/>
        <family val="2"/>
      </rPr>
      <t xml:space="preserve"> in 2015. Data up to 2014 are revenue passenger-kilometres for Germanwings.</t>
    </r>
  </si>
  <si>
    <t>Berlin / Tegel - Frankfurt (Main)</t>
  </si>
  <si>
    <t>München - Düsseldorf</t>
  </si>
  <si>
    <t>Milano / Linate - Roma / Fiumicino</t>
  </si>
  <si>
    <t>Paris / Charles de Gaulle - Roma / Fiumicino</t>
  </si>
  <si>
    <t>Madrid / Barajas - Paris / Charles de Gaulle</t>
  </si>
  <si>
    <t>Madrid / Barajas - Frankfurt (Main)</t>
  </si>
  <si>
    <t>London / Gatwick - Dubai Intl, United Arab Emirates</t>
  </si>
  <si>
    <t>London / Heathrow - Abu Dhabi Intl, United Arab Emirates</t>
  </si>
  <si>
    <t>Amsterdam / Schiphol - Istanbul / Atatürk, Turkey</t>
  </si>
  <si>
    <t>Amsterdam / Schiphol - Atlanta / Hartfield Jackson Intl, GA, USA</t>
  </si>
  <si>
    <t>Paris / Charles de Gaulle - Doha / Hamad Intl, Qatar</t>
  </si>
  <si>
    <r>
      <t xml:space="preserve">Notes: </t>
    </r>
    <r>
      <rPr>
        <sz val="8"/>
        <rFont val="Arial"/>
        <family val="2"/>
      </rPr>
      <t>total market share of all but the principal railway undertakings (as a percentage of tonnes-km, in some cases as a percentage of train-km).</t>
    </r>
  </si>
  <si>
    <r>
      <t xml:space="preserve">Notes: </t>
    </r>
    <r>
      <rPr>
        <sz val="8"/>
        <rFont val="Arial"/>
        <family val="2"/>
      </rPr>
      <t>total market share of all but the principal railway undertakings (as a percentage of passenger-km, in some cases as a percentage of train-km).</t>
    </r>
    <r>
      <rPr>
        <b/>
        <sz val="8"/>
        <rFont val="Arial"/>
        <family val="2"/>
      </rPr>
      <t xml:space="preserve"> </t>
    </r>
    <r>
      <rPr>
        <b/>
        <sz val="8"/>
        <rFont val="Arial"/>
        <family val="2"/>
      </rPr>
      <t xml:space="preserve">DK: </t>
    </r>
    <r>
      <rPr>
        <sz val="8"/>
        <rFont val="Arial"/>
        <family val="2"/>
      </rPr>
      <t>not considering metro services after break in series.</t>
    </r>
  </si>
  <si>
    <t>'15/'16</t>
  </si>
  <si>
    <r>
      <t>Source:</t>
    </r>
    <r>
      <rPr>
        <sz val="8"/>
        <rFont val="Arial"/>
        <family val="2"/>
      </rPr>
      <t xml:space="preserve"> Association of European Airlines, Flightglobal, International Air Transport Association, air companies, own estimates</t>
    </r>
  </si>
  <si>
    <t>TUI Airways</t>
  </si>
  <si>
    <t>(not including general aviation) - Thousand</t>
  </si>
  <si>
    <t>15/16</t>
  </si>
  <si>
    <t>'15/16</t>
  </si>
  <si>
    <t>Zeeland seaports</t>
  </si>
  <si>
    <t>Port Reunion</t>
  </si>
  <si>
    <t>Swap bodies and containers</t>
  </si>
  <si>
    <t>2015-2016</t>
  </si>
  <si>
    <r>
      <t>Source</t>
    </r>
    <r>
      <rPr>
        <sz val="8"/>
        <rFont val="Arial"/>
        <family val="2"/>
      </rPr>
      <t>: DG MOVE Rail Market Monitoring, IRG-Rail reports (break in series).</t>
    </r>
    <r>
      <rPr>
        <b/>
        <sz val="8"/>
        <rFont val="Arial"/>
        <family val="2"/>
      </rPr>
      <t xml:space="preserve"> </t>
    </r>
    <r>
      <rPr>
        <sz val="8"/>
        <rFont val="Arial"/>
        <family val="2"/>
      </rPr>
      <t>Due to a methcdological change in reporting, values from 2015 onwards are mostly estimated by DG MOVE.</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</si>
  <si>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</si>
  <si>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Source</t>
    </r>
    <r>
      <rPr>
        <sz val="8"/>
        <rFont val="Arial"/>
        <family val="2"/>
      </rPr>
      <t>: DG MOVE Rail Market Monitoring, IRG-Rail reports (break in series).</t>
    </r>
  </si>
  <si>
    <t>change 15/16</t>
  </si>
  <si>
    <t>AL</t>
  </si>
  <si>
    <t>MK</t>
  </si>
  <si>
    <t>RS</t>
  </si>
  <si>
    <t>million train-km</t>
  </si>
  <si>
    <t>Of which: % of passenger traffic</t>
  </si>
  <si>
    <t>Of which: % of freight traffic</t>
  </si>
  <si>
    <r>
      <t>Source</t>
    </r>
    <r>
      <rPr>
        <sz val="8"/>
        <rFont val="Arial"/>
        <family val="2"/>
      </rPr>
      <t>: Eurostat (mainly table rail_tf_trainmv, complemented by table rail_tf_traveh), DG MOVE Rail Market Monitoring, National sources.</t>
    </r>
  </si>
  <si>
    <t>Rail: Traffic measured in train-kilometres</t>
  </si>
  <si>
    <t>2.4.16a</t>
  </si>
  <si>
    <t>2.4.16b</t>
  </si>
  <si>
    <t xml:space="preserve">Rail: traffic measured in Train-kilometres
</t>
  </si>
  <si>
    <t>Lisboa - Porto</t>
  </si>
  <si>
    <t>London / Heathrow - Edinburgh</t>
  </si>
  <si>
    <t/>
  </si>
  <si>
    <t>Lulea / Kallax - Stockholm / Arlanda</t>
  </si>
  <si>
    <t>Amsterdam / Schiphol - London / Gatwick</t>
  </si>
  <si>
    <t>Roma / Fiumicino - Madrid / Barajas</t>
  </si>
  <si>
    <t>Berlin / Tegel - Düsseldorf</t>
  </si>
  <si>
    <t>Amsterdam / Schiphol - Paris / Charles de Gaulle</t>
  </si>
  <si>
    <t>Paris / Charles de Gaulle - London / Heathrow</t>
  </si>
  <si>
    <t>Ponte-à-Pitre (Guadeloupe) / Pôle Caraïbes - Paris / Orly</t>
  </si>
  <si>
    <t>Lisboa - Paris / Orly</t>
  </si>
  <si>
    <t>Madrid / Barajas - London / Heathrow</t>
  </si>
  <si>
    <t>Amsterdam / Schiphol - London / Heathrow</t>
  </si>
  <si>
    <t>Athinai / Eleftherios Venizelos - Thessaloniki</t>
  </si>
  <si>
    <t>change '15/'16</t>
  </si>
  <si>
    <r>
      <t xml:space="preserve">Total passengers carried </t>
    </r>
    <r>
      <rPr>
        <sz val="10"/>
        <rFont val="Arial"/>
        <family val="2"/>
      </rPr>
      <t xml:space="preserve">(arriving + departing from first named airport) </t>
    </r>
  </si>
  <si>
    <t>London / Heathrow - Bangkok / Suvarnabhumi Intl, Thaïland</t>
  </si>
  <si>
    <t>Paris / Charles de Gaulle - Alger, Algeria</t>
  </si>
  <si>
    <t>of which: Market share 
PSO</t>
  </si>
  <si>
    <t>of which: Market share Commercial</t>
  </si>
  <si>
    <t>2012 data do not include 2 former UIRR members. Since 2013, data includes performance
 of two new UIRR members and since 2014 of other 4 new members.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</si>
</sst>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 0.0%;\-\ 0.0%"/>
    <numFmt numFmtId="166" formatCode="#,##0.0"/>
    <numFmt numFmtId="167" formatCode="#,##0.000"/>
    <numFmt numFmtId="168" formatCode="0.0"/>
    <numFmt numFmtId="169" formatCode="0.000"/>
    <numFmt numFmtId="170" formatCode="0.0%"/>
    <numFmt numFmtId="171" formatCode="0.00\ "/>
    <numFmt numFmtId="172" formatCode="0.0\ "/>
    <numFmt numFmtId="173" formatCode="#,##0\ "/>
    <numFmt numFmtId="174" formatCode="dd\.mm\.yy"/>
    <numFmt numFmtId="175" formatCode="#\ ##0.0"/>
    <numFmt numFmtId="176" formatCode="#\ ##0"/>
    <numFmt numFmtId="177" formatCode="0.0_ ;\-0.0\ "/>
  </numFmts>
  <fonts count="67">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2"/>
      <name val="Arial"/>
      <family val="2"/>
    </font>
    <font>
      <b/>
      <sz val="10"/>
      <name val="Arial"/>
      <family val="2"/>
    </font>
    <font>
      <b/>
      <sz val="9"/>
      <name val="Arial"/>
      <family val="2"/>
    </font>
    <font>
      <sz val="9"/>
      <name val="Arial"/>
      <family val="2"/>
    </font>
    <font>
      <i/>
      <sz val="10"/>
      <name val="Arial"/>
      <family val="2"/>
    </font>
    <font>
      <u val="single"/>
      <sz val="10"/>
      <color indexed="12"/>
      <name val="Arial"/>
      <family val="2"/>
    </font>
    <font>
      <i/>
      <sz val="8"/>
      <name val="Arial"/>
      <family val="2"/>
    </font>
    <font>
      <b/>
      <sz val="10"/>
      <color indexed="18"/>
      <name val="Arial"/>
      <family val="2"/>
    </font>
    <font>
      <b/>
      <sz val="10"/>
      <color indexed="8"/>
      <name val="Arial"/>
      <family val="2"/>
    </font>
    <font>
      <b/>
      <sz val="7"/>
      <name val="Arial"/>
      <family val="2"/>
    </font>
    <font>
      <i/>
      <sz val="8"/>
      <name val="Times New Roman"/>
      <family val="1"/>
    </font>
    <font>
      <i/>
      <sz val="7"/>
      <name val="Arial"/>
      <family val="2"/>
    </font>
    <font>
      <b/>
      <sz val="12"/>
      <name val="Times"/>
      <family val="1"/>
    </font>
    <font>
      <b/>
      <sz val="8"/>
      <name val="Times New Roman"/>
      <family val="1"/>
    </font>
    <font>
      <sz val="10"/>
      <name val="Times"/>
      <family val="1"/>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b/>
      <sz val="8"/>
      <name val="Helvetica"/>
      <family val="2"/>
    </font>
    <font>
      <u val="single"/>
      <sz val="8"/>
      <name val="Arial"/>
      <family val="2"/>
    </font>
    <font>
      <sz val="11"/>
      <name val="Arial"/>
      <family val="2"/>
    </font>
    <font>
      <sz val="10"/>
      <color indexed="8"/>
      <name val="Arial"/>
      <family val="2"/>
    </font>
    <font>
      <sz val="10"/>
      <name val="Times New Roman"/>
      <family val="1"/>
    </font>
    <font>
      <b/>
      <i/>
      <sz val="10"/>
      <name val="Arial"/>
      <family val="2"/>
    </font>
    <font>
      <b/>
      <i/>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rgb="FF00B0F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style="thin"/>
    </border>
    <border>
      <left style="thin"/>
      <right/>
      <top/>
      <bottom/>
    </border>
    <border>
      <left/>
      <right style="thin"/>
      <top style="thin"/>
      <bottom/>
    </border>
    <border>
      <left/>
      <right style="thin"/>
      <top/>
      <bottom style="thin"/>
    </border>
    <border>
      <left style="thin"/>
      <right style="thin"/>
      <top/>
      <bottom style="thin"/>
    </border>
    <border>
      <left/>
      <right/>
      <top style="thin"/>
      <bottom/>
    </border>
    <border>
      <left style="thin"/>
      <right style="thin"/>
      <top style="thin"/>
      <bottom/>
    </border>
    <border>
      <left style="thin"/>
      <right style="thin"/>
      <top/>
      <bottom/>
    </border>
    <border>
      <left/>
      <right/>
      <top/>
      <bottom style="thin"/>
    </border>
    <border>
      <left style="thin"/>
      <right/>
      <top/>
      <bottom style="thin"/>
    </border>
    <border>
      <left style="thin"/>
      <right/>
      <top style="thin"/>
      <bottom/>
    </border>
    <border>
      <left style="thin"/>
      <right style="hair"/>
      <top/>
      <bottom/>
    </border>
    <border>
      <left style="thin"/>
      <right style="hair"/>
      <top/>
      <bottom style="thin"/>
    </border>
    <border>
      <left/>
      <right style="hair"/>
      <top/>
      <bottom/>
    </border>
    <border>
      <left style="hair"/>
      <right style="hair"/>
      <top/>
      <bottom/>
    </border>
    <border>
      <left style="thin"/>
      <right style="hair"/>
      <top style="thin"/>
      <bottom/>
    </border>
    <border>
      <left style="hair"/>
      <right style="thin"/>
      <top/>
      <bottom style="thin"/>
    </border>
    <border>
      <left style="hair"/>
      <right style="thin"/>
      <top/>
      <bottom/>
    </border>
    <border>
      <left/>
      <right style="hair"/>
      <top/>
      <bottom style="thin"/>
    </border>
    <border>
      <left/>
      <right/>
      <top style="thin"/>
      <bottom style="hair"/>
    </border>
    <border>
      <left/>
      <right/>
      <top style="hair"/>
      <bottom style="hair"/>
    </border>
    <border>
      <left style="thin"/>
      <right style="thin"/>
      <top style="thin"/>
      <bottom style="hair"/>
    </border>
    <border>
      <left style="hair"/>
      <right style="hair"/>
      <top style="thin"/>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style="thin"/>
      <top style="hair"/>
      <bottom style="hair"/>
    </border>
    <border>
      <left style="thin"/>
      <right style="thin"/>
      <top style="thick"/>
      <bottom/>
    </border>
    <border>
      <left style="thin">
        <color indexed="22"/>
      </left>
      <right style="thin">
        <color indexed="22"/>
      </right>
      <top style="thin">
        <color indexed="22"/>
      </top>
      <bottom style="thin">
        <color indexed="22"/>
      </bottom>
    </border>
    <border>
      <left style="hair"/>
      <right style="hair"/>
      <top/>
      <bottom style="thin"/>
    </border>
    <border>
      <left/>
      <right style="thin"/>
      <top style="thick"/>
      <bottom/>
    </border>
    <border>
      <left style="thin"/>
      <right style="thin"/>
      <top style="thin"/>
      <bottom style="thin"/>
    </border>
    <border>
      <left style="hair"/>
      <right style="thin"/>
      <top style="thin"/>
      <bottom/>
    </border>
    <border>
      <left style="hair"/>
      <right style="hair"/>
      <top style="thick"/>
      <bottom/>
    </border>
    <border>
      <left style="hair"/>
      <right/>
      <top/>
      <bottom style="thin"/>
    </border>
    <border>
      <left style="hair"/>
      <right/>
      <top/>
      <bottom/>
    </border>
    <border>
      <left style="thin"/>
      <right style="hair"/>
      <top style="thick"/>
      <bottom/>
    </border>
    <border>
      <left/>
      <right style="thin">
        <color indexed="22"/>
      </right>
      <top style="thin">
        <color indexed="22"/>
      </top>
      <bottom style="thin">
        <color indexed="22"/>
      </bottom>
    </border>
    <border>
      <left style="thick"/>
      <right/>
      <top/>
      <bottom/>
    </border>
    <border>
      <left/>
      <right style="hair"/>
      <top style="thin"/>
      <bottom/>
    </border>
    <border>
      <left style="hair"/>
      <right/>
      <top style="thick"/>
      <bottom/>
    </border>
    <border>
      <left/>
      <right/>
      <top style="thick"/>
      <bottom/>
    </border>
    <border>
      <left style="thin"/>
      <right/>
      <top style="thin"/>
      <bottom style="thin"/>
    </border>
    <border>
      <left style="thick"/>
      <right style="thin"/>
      <top/>
      <bottom/>
    </border>
    <border>
      <left/>
      <right style="thick"/>
      <top/>
      <bottom/>
    </border>
    <border>
      <left style="thick"/>
      <right/>
      <top/>
      <bottom style="thin"/>
    </border>
    <border>
      <left/>
      <right/>
      <top style="thin"/>
      <bottom style="thin"/>
    </border>
    <border>
      <left/>
      <right style="hair"/>
      <top style="thin"/>
      <bottom style="thin"/>
    </border>
    <border>
      <left style="hair"/>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50" fillId="0" borderId="0">
      <alignment/>
      <protection/>
    </xf>
    <xf numFmtId="0" fontId="0" fillId="0" borderId="0">
      <alignment/>
      <protection/>
    </xf>
    <xf numFmtId="0" fontId="31" fillId="0" borderId="0">
      <alignment/>
      <protection/>
    </xf>
    <xf numFmtId="0" fontId="29" fillId="0" borderId="0">
      <alignment/>
      <protection/>
    </xf>
    <xf numFmtId="0" fontId="3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64" fillId="0" borderId="0" applyNumberFormat="0" applyFill="0" applyBorder="0" applyAlignment="0" applyProtection="0"/>
    <xf numFmtId="0" fontId="13" fillId="33" borderId="0" applyNumberFormat="0" applyBorder="0">
      <alignment/>
      <protection locked="0"/>
    </xf>
    <xf numFmtId="0" fontId="65" fillId="0" borderId="9" applyNumberFormat="0" applyFill="0" applyAlignment="0" applyProtection="0"/>
    <xf numFmtId="0" fontId="14" fillId="34" borderId="0" applyNumberFormat="0" applyBorder="0">
      <alignment/>
      <protection locked="0"/>
    </xf>
    <xf numFmtId="0" fontId="66" fillId="0" borderId="0" applyNumberFormat="0" applyFill="0" applyBorder="0" applyAlignment="0" applyProtection="0"/>
  </cellStyleXfs>
  <cellXfs count="1080">
    <xf numFmtId="0" fontId="0" fillId="0" borderId="0" xfId="0" applyAlignment="1">
      <alignment/>
    </xf>
    <xf numFmtId="0" fontId="0" fillId="0" borderId="0" xfId="0" applyBorder="1" applyAlignment="1">
      <alignment/>
    </xf>
    <xf numFmtId="0" fontId="4" fillId="0" borderId="0" xfId="0" applyFont="1" applyBorder="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horizontal="center"/>
    </xf>
    <xf numFmtId="0" fontId="0" fillId="0" borderId="0" xfId="0" applyAlignment="1">
      <alignment vertical="top"/>
    </xf>
    <xf numFmtId="0" fontId="5" fillId="0" borderId="0" xfId="0" applyFont="1" applyBorder="1" applyAlignment="1" quotePrefix="1">
      <alignment horizontal="right" vertical="top"/>
    </xf>
    <xf numFmtId="0" fontId="5"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0" fillId="0" borderId="0" xfId="0" applyAlignment="1">
      <alignment vertical="center"/>
    </xf>
    <xf numFmtId="0" fontId="5" fillId="0" borderId="0" xfId="0" applyFont="1" applyAlignment="1" quotePrefix="1">
      <alignment horizontal="right" vertical="top"/>
    </xf>
    <xf numFmtId="0" fontId="6" fillId="0" borderId="0" xfId="0" applyFont="1" applyAlignment="1">
      <alignment/>
    </xf>
    <xf numFmtId="0" fontId="4" fillId="0" borderId="0" xfId="0" applyFont="1" applyFill="1" applyBorder="1" applyAlignment="1">
      <alignment horizontal="center"/>
    </xf>
    <xf numFmtId="0" fontId="6" fillId="0" borderId="0" xfId="0" applyFont="1" applyAlignment="1">
      <alignment/>
    </xf>
    <xf numFmtId="0" fontId="3" fillId="0" borderId="0" xfId="0" applyFont="1" applyFill="1" applyAlignment="1">
      <alignment horizontal="center"/>
    </xf>
    <xf numFmtId="0" fontId="4" fillId="0" borderId="0" xfId="0" applyFont="1" applyAlignment="1">
      <alignment/>
    </xf>
    <xf numFmtId="0" fontId="6" fillId="0" borderId="0" xfId="0" applyFont="1" applyBorder="1" applyAlignment="1">
      <alignment horizontal="left" vertical="top"/>
    </xf>
    <xf numFmtId="0" fontId="5" fillId="0" borderId="0" xfId="0" applyFont="1" applyBorder="1" applyAlignment="1" quotePrefix="1">
      <alignment horizontal="left" vertical="top"/>
    </xf>
    <xf numFmtId="0" fontId="0" fillId="0" borderId="0" xfId="0" applyFill="1" applyAlignment="1">
      <alignment vertical="center"/>
    </xf>
    <xf numFmtId="0" fontId="6" fillId="0" borderId="0" xfId="0" applyFont="1" applyAlignment="1">
      <alignment horizontal="center"/>
    </xf>
    <xf numFmtId="0" fontId="7"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6" fillId="0" borderId="0" xfId="0" applyFont="1" applyAlignment="1">
      <alignment vertical="top"/>
    </xf>
    <xf numFmtId="0" fontId="6" fillId="0" borderId="0" xfId="0" applyFont="1" applyAlignment="1">
      <alignment vertical="top" wrapText="1"/>
    </xf>
    <xf numFmtId="0" fontId="5" fillId="0" borderId="0" xfId="0" applyFont="1" applyAlignment="1">
      <alignment horizontal="right" vertical="top"/>
    </xf>
    <xf numFmtId="0" fontId="6" fillId="0" borderId="0" xfId="0" applyFont="1" applyBorder="1" applyAlignment="1">
      <alignment vertical="top"/>
    </xf>
    <xf numFmtId="2" fontId="5" fillId="0" borderId="0" xfId="0" applyNumberFormat="1" applyFont="1" applyBorder="1" applyAlignment="1" quotePrefix="1">
      <alignment horizontal="right" vertical="top"/>
    </xf>
    <xf numFmtId="0" fontId="4" fillId="0" borderId="10" xfId="0" applyFont="1" applyFill="1" applyBorder="1" applyAlignment="1">
      <alignment horizontal="center"/>
    </xf>
    <xf numFmtId="0" fontId="3" fillId="0" borderId="0" xfId="0" applyFont="1" applyFill="1" applyAlignment="1">
      <alignment/>
    </xf>
    <xf numFmtId="0" fontId="3" fillId="0" borderId="11" xfId="0" applyFont="1" applyFill="1" applyBorder="1" applyAlignment="1">
      <alignment/>
    </xf>
    <xf numFmtId="0" fontId="7" fillId="0" borderId="10" xfId="0" applyFont="1" applyFill="1" applyBorder="1" applyAlignment="1">
      <alignment horizontal="center" vertical="top" wrapText="1"/>
    </xf>
    <xf numFmtId="0" fontId="17" fillId="0" borderId="10" xfId="0" applyFont="1" applyFill="1" applyBorder="1" applyAlignment="1">
      <alignment horizontal="right" vertical="center"/>
    </xf>
    <xf numFmtId="0" fontId="3" fillId="0" borderId="0" xfId="0" applyFont="1" applyFill="1" applyAlignment="1">
      <alignment horizontal="center" vertical="center"/>
    </xf>
    <xf numFmtId="0" fontId="4"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4" xfId="0" applyFont="1" applyFill="1" applyBorder="1" applyAlignment="1">
      <alignment horizontal="center" vertical="center"/>
    </xf>
    <xf numFmtId="0" fontId="4" fillId="35" borderId="15" xfId="0" applyFont="1" applyFill="1" applyBorder="1" applyAlignment="1" quotePrefix="1">
      <alignment horizontal="center" vertical="center" wrapText="1"/>
    </xf>
    <xf numFmtId="0" fontId="5" fillId="0" borderId="0" xfId="0" applyFont="1" applyAlignment="1" quotePrefix="1">
      <alignment horizontal="right" vertical="top"/>
    </xf>
    <xf numFmtId="0" fontId="4" fillId="35" borderId="10" xfId="0" applyFont="1" applyFill="1" applyBorder="1" applyAlignment="1">
      <alignment horizontal="center" vertical="center"/>
    </xf>
    <xf numFmtId="0" fontId="4" fillId="35" borderId="14" xfId="0" applyFont="1" applyFill="1" applyBorder="1" applyAlignment="1">
      <alignment horizontal="center" vertical="center"/>
    </xf>
    <xf numFmtId="0" fontId="3" fillId="35" borderId="16" xfId="0" applyFont="1" applyFill="1" applyBorder="1" applyAlignment="1">
      <alignment/>
    </xf>
    <xf numFmtId="0" fontId="3" fillId="35" borderId="13" xfId="0" applyFont="1" applyFill="1" applyBorder="1" applyAlignment="1">
      <alignment horizontal="center"/>
    </xf>
    <xf numFmtId="0" fontId="3" fillId="35" borderId="13" xfId="0" applyFont="1" applyFill="1" applyBorder="1" applyAlignment="1">
      <alignment/>
    </xf>
    <xf numFmtId="0" fontId="15" fillId="35" borderId="17" xfId="0" applyFont="1" applyFill="1" applyBorder="1" applyAlignment="1">
      <alignment horizontal="center" wrapText="1"/>
    </xf>
    <xf numFmtId="0" fontId="4" fillId="35" borderId="0" xfId="0" applyFont="1" applyFill="1" applyBorder="1" applyAlignment="1">
      <alignment/>
    </xf>
    <xf numFmtId="0" fontId="4" fillId="35" borderId="10" xfId="0" applyFont="1" applyFill="1" applyBorder="1" applyAlignment="1">
      <alignment horizontal="center"/>
    </xf>
    <xf numFmtId="0" fontId="4" fillId="35" borderId="0" xfId="0" applyFont="1" applyFill="1" applyBorder="1" applyAlignment="1">
      <alignment horizontal="center"/>
    </xf>
    <xf numFmtId="0" fontId="15" fillId="35" borderId="18" xfId="0" applyFont="1" applyFill="1" applyBorder="1" applyAlignment="1" quotePrefix="1">
      <alignment horizontal="center" wrapText="1"/>
    </xf>
    <xf numFmtId="0" fontId="19" fillId="35" borderId="19" xfId="0" applyFont="1" applyFill="1" applyBorder="1" applyAlignment="1">
      <alignment/>
    </xf>
    <xf numFmtId="0" fontId="19" fillId="35" borderId="14" xfId="0" applyFont="1" applyFill="1" applyBorder="1" applyAlignment="1">
      <alignment horizontal="center"/>
    </xf>
    <xf numFmtId="0" fontId="19" fillId="35" borderId="19" xfId="0" applyFont="1" applyFill="1" applyBorder="1" applyAlignment="1">
      <alignment horizontal="center"/>
    </xf>
    <xf numFmtId="0" fontId="4" fillId="35" borderId="20" xfId="0" applyFont="1" applyFill="1" applyBorder="1" applyAlignment="1">
      <alignment horizontal="center"/>
    </xf>
    <xf numFmtId="0" fontId="15" fillId="35" borderId="17" xfId="0" applyFont="1" applyFill="1" applyBorder="1" applyAlignment="1">
      <alignment horizontal="center"/>
    </xf>
    <xf numFmtId="0" fontId="4" fillId="35" borderId="10" xfId="0" applyFont="1" applyFill="1" applyBorder="1" applyAlignment="1">
      <alignment/>
    </xf>
    <xf numFmtId="0" fontId="15" fillId="35" borderId="18" xfId="0" applyFont="1" applyFill="1" applyBorder="1" applyAlignment="1" quotePrefix="1">
      <alignment horizontal="center"/>
    </xf>
    <xf numFmtId="0" fontId="19" fillId="35" borderId="14" xfId="0" applyFont="1" applyFill="1" applyBorder="1" applyAlignment="1">
      <alignment/>
    </xf>
    <xf numFmtId="0" fontId="7" fillId="35" borderId="21" xfId="0" applyFont="1" applyFill="1" applyBorder="1" applyAlignment="1">
      <alignment horizontal="center"/>
    </xf>
    <xf numFmtId="0" fontId="7" fillId="35" borderId="12" xfId="0" applyFont="1" applyFill="1" applyBorder="1" applyAlignment="1">
      <alignment horizontal="center"/>
    </xf>
    <xf numFmtId="0" fontId="7" fillId="35" borderId="20" xfId="0" applyFont="1" applyFill="1" applyBorder="1" applyAlignment="1">
      <alignment horizontal="center"/>
    </xf>
    <xf numFmtId="0" fontId="4" fillId="35" borderId="18" xfId="0" applyFont="1" applyFill="1" applyBorder="1" applyAlignment="1">
      <alignment horizontal="center"/>
    </xf>
    <xf numFmtId="3" fontId="3" fillId="0" borderId="0" xfId="0" applyNumberFormat="1" applyFont="1" applyAlignment="1">
      <alignment horizontal="right"/>
    </xf>
    <xf numFmtId="0" fontId="4" fillId="0" borderId="0" xfId="0" applyFont="1" applyAlignment="1">
      <alignment horizontal="left"/>
    </xf>
    <xf numFmtId="0" fontId="7" fillId="35" borderId="10" xfId="0" applyFont="1" applyFill="1" applyBorder="1" applyAlignment="1">
      <alignment horizontal="center"/>
    </xf>
    <xf numFmtId="0" fontId="4" fillId="35" borderId="0" xfId="0" applyFont="1" applyFill="1" applyBorder="1" applyAlignment="1">
      <alignment horizontal="center" vertical="center"/>
    </xf>
    <xf numFmtId="0" fontId="4" fillId="35" borderId="16" xfId="0" applyFont="1" applyFill="1" applyBorder="1" applyAlignment="1">
      <alignment horizontal="center"/>
    </xf>
    <xf numFmtId="0" fontId="3" fillId="35" borderId="16" xfId="0" applyFont="1" applyFill="1" applyBorder="1" applyAlignment="1">
      <alignment horizontal="centerContinuous"/>
    </xf>
    <xf numFmtId="0" fontId="15" fillId="35" borderId="17" xfId="0" applyFont="1" applyFill="1" applyBorder="1" applyAlignment="1">
      <alignment horizontal="centerContinuous" vertical="center" wrapText="1"/>
    </xf>
    <xf numFmtId="0" fontId="15" fillId="35" borderId="18" xfId="0" applyFont="1" applyFill="1" applyBorder="1" applyAlignment="1" quotePrefix="1">
      <alignment horizontal="center" vertical="center"/>
    </xf>
    <xf numFmtId="0" fontId="4" fillId="35" borderId="19" xfId="0" applyFont="1" applyFill="1" applyBorder="1" applyAlignment="1">
      <alignment horizontal="center"/>
    </xf>
    <xf numFmtId="0" fontId="4" fillId="35" borderId="14" xfId="0" applyFont="1" applyFill="1" applyBorder="1" applyAlignment="1">
      <alignment horizontal="center"/>
    </xf>
    <xf numFmtId="0" fontId="15" fillId="35" borderId="17" xfId="0" applyFont="1" applyFill="1" applyBorder="1" applyAlignment="1">
      <alignment horizontal="center" vertical="center" wrapText="1"/>
    </xf>
    <xf numFmtId="0" fontId="4" fillId="35" borderId="15" xfId="0" applyFont="1" applyFill="1" applyBorder="1" applyAlignment="1">
      <alignment horizontal="center"/>
    </xf>
    <xf numFmtId="0" fontId="3" fillId="35" borderId="10" xfId="0" applyFont="1" applyFill="1" applyBorder="1" applyAlignment="1">
      <alignment horizontal="center"/>
    </xf>
    <xf numFmtId="0" fontId="7" fillId="35" borderId="15" xfId="0" applyFont="1" applyFill="1" applyBorder="1" applyAlignment="1">
      <alignment horizontal="center" vertical="top"/>
    </xf>
    <xf numFmtId="0" fontId="8" fillId="35" borderId="16"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22" xfId="0" applyFont="1" applyFill="1" applyBorder="1" applyAlignment="1">
      <alignment horizontal="center"/>
    </xf>
    <xf numFmtId="0" fontId="3" fillId="35" borderId="23" xfId="0" applyFont="1" applyFill="1" applyBorder="1" applyAlignment="1">
      <alignment horizontal="center"/>
    </xf>
    <xf numFmtId="0" fontId="3" fillId="35" borderId="21" xfId="0" applyFont="1" applyFill="1" applyBorder="1" applyAlignment="1">
      <alignment/>
    </xf>
    <xf numFmtId="0" fontId="3" fillId="0" borderId="12" xfId="0" applyFont="1" applyFill="1" applyBorder="1" applyAlignment="1">
      <alignment/>
    </xf>
    <xf numFmtId="0" fontId="0" fillId="0" borderId="21" xfId="0" applyFill="1" applyBorder="1" applyAlignment="1">
      <alignment/>
    </xf>
    <xf numFmtId="0" fontId="3" fillId="0" borderId="16" xfId="0" applyFont="1" applyFill="1" applyBorder="1" applyAlignment="1">
      <alignment/>
    </xf>
    <xf numFmtId="0" fontId="17" fillId="0" borderId="13" xfId="0" applyFont="1" applyFill="1" applyBorder="1" applyAlignment="1">
      <alignment horizontal="center"/>
    </xf>
    <xf numFmtId="0" fontId="0" fillId="0" borderId="12" xfId="0" applyFill="1" applyBorder="1" applyAlignment="1">
      <alignment/>
    </xf>
    <xf numFmtId="0" fontId="3" fillId="0" borderId="0" xfId="0" applyFont="1" applyFill="1" applyBorder="1" applyAlignment="1">
      <alignment/>
    </xf>
    <xf numFmtId="0" fontId="17" fillId="0" borderId="10" xfId="0" applyFont="1" applyFill="1" applyBorder="1" applyAlignment="1">
      <alignment horizontal="center"/>
    </xf>
    <xf numFmtId="2" fontId="4" fillId="36" borderId="18" xfId="0" applyNumberFormat="1" applyFont="1" applyFill="1" applyBorder="1" applyAlignment="1">
      <alignment horizontal="center"/>
    </xf>
    <xf numFmtId="2" fontId="4" fillId="0" borderId="18" xfId="0" applyNumberFormat="1" applyFont="1" applyFill="1" applyBorder="1" applyAlignment="1">
      <alignment horizontal="center"/>
    </xf>
    <xf numFmtId="0" fontId="4" fillId="35" borderId="24" xfId="0" applyFont="1" applyFill="1" applyBorder="1" applyAlignment="1">
      <alignment horizontal="center" wrapText="1"/>
    </xf>
    <xf numFmtId="0" fontId="3" fillId="35" borderId="19" xfId="0" applyFont="1" applyFill="1" applyBorder="1" applyAlignment="1">
      <alignment horizontal="center"/>
    </xf>
    <xf numFmtId="9" fontId="3" fillId="0" borderId="22" xfId="0" applyNumberFormat="1" applyFont="1" applyFill="1" applyBorder="1" applyAlignment="1">
      <alignment horizontal="center" vertical="center"/>
    </xf>
    <xf numFmtId="9" fontId="3" fillId="0" borderId="25"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168" fontId="3" fillId="0" borderId="22" xfId="0" applyNumberFormat="1" applyFont="1" applyFill="1" applyBorder="1" applyAlignment="1">
      <alignment horizontal="center" vertical="center"/>
    </xf>
    <xf numFmtId="0" fontId="4" fillId="35" borderId="15"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36" borderId="17" xfId="0" applyFont="1" applyFill="1" applyBorder="1" applyAlignment="1">
      <alignment horizontal="center" vertical="center"/>
    </xf>
    <xf numFmtId="168" fontId="4" fillId="0" borderId="10" xfId="0" applyNumberFormat="1" applyFont="1" applyFill="1" applyBorder="1" applyAlignment="1">
      <alignment horizontal="center" vertical="center"/>
    </xf>
    <xf numFmtId="0" fontId="3" fillId="35" borderId="22" xfId="0" applyFont="1" applyFill="1" applyBorder="1" applyAlignment="1">
      <alignment horizontal="right" vertical="center" wrapText="1"/>
    </xf>
    <xf numFmtId="0" fontId="3" fillId="35" borderId="10" xfId="0" applyFont="1" applyFill="1" applyBorder="1" applyAlignment="1" quotePrefix="1">
      <alignment horizontal="center" vertical="top" wrapText="1"/>
    </xf>
    <xf numFmtId="0" fontId="3" fillId="0" borderId="0" xfId="0" applyFont="1" applyBorder="1" applyAlignment="1">
      <alignment horizontal="center" vertical="center"/>
    </xf>
    <xf numFmtId="0" fontId="7" fillId="0" borderId="0" xfId="0" applyFont="1" applyFill="1" applyBorder="1" applyAlignment="1">
      <alignment horizontal="center"/>
    </xf>
    <xf numFmtId="0" fontId="7" fillId="0" borderId="21" xfId="0" applyFont="1" applyBorder="1" applyAlignment="1">
      <alignment horizontal="left"/>
    </xf>
    <xf numFmtId="0" fontId="7" fillId="0" borderId="21" xfId="0" applyFont="1" applyBorder="1" applyAlignment="1">
      <alignment vertical="center"/>
    </xf>
    <xf numFmtId="0" fontId="0" fillId="0" borderId="16" xfId="0" applyBorder="1" applyAlignment="1">
      <alignment/>
    </xf>
    <xf numFmtId="0" fontId="8" fillId="35" borderId="12" xfId="0" applyFont="1" applyFill="1" applyBorder="1" applyAlignment="1">
      <alignment horizontal="centerContinuous" vertical="center"/>
    </xf>
    <xf numFmtId="0" fontId="9" fillId="35" borderId="10" xfId="0" applyFont="1" applyFill="1" applyBorder="1" applyAlignment="1">
      <alignment horizontal="centerContinuous" vertical="center"/>
    </xf>
    <xf numFmtId="0" fontId="8" fillId="35" borderId="10"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8" xfId="0" applyFont="1" applyFill="1" applyBorder="1" applyAlignment="1">
      <alignment horizontal="center" vertical="center"/>
    </xf>
    <xf numFmtId="0" fontId="4" fillId="0" borderId="0" xfId="0" applyFont="1" applyBorder="1" applyAlignment="1">
      <alignment wrapText="1"/>
    </xf>
    <xf numFmtId="0" fontId="9" fillId="0" borderId="0" xfId="0" applyFont="1" applyBorder="1" applyAlignment="1">
      <alignment horizontal="center" vertical="center" wrapText="1"/>
    </xf>
    <xf numFmtId="167" fontId="3" fillId="0" borderId="26" xfId="0"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0" fontId="7" fillId="35" borderId="14" xfId="0" applyFont="1" applyFill="1" applyBorder="1" applyAlignment="1">
      <alignment horizontal="center"/>
    </xf>
    <xf numFmtId="0" fontId="3" fillId="0" borderId="0" xfId="0" applyFont="1" applyAlignment="1">
      <alignment vertical="center"/>
    </xf>
    <xf numFmtId="0" fontId="9" fillId="0" borderId="0" xfId="0" applyFont="1" applyBorder="1" applyAlignment="1">
      <alignment horizontal="center" vertical="center"/>
    </xf>
    <xf numFmtId="0" fontId="4" fillId="35" borderId="22" xfId="0" applyFont="1" applyFill="1" applyBorder="1" applyAlignment="1">
      <alignment horizontal="center" vertical="top" wrapText="1"/>
    </xf>
    <xf numFmtId="0" fontId="16" fillId="35" borderId="12" xfId="0" applyFont="1" applyFill="1" applyBorder="1" applyAlignment="1">
      <alignment horizontal="center"/>
    </xf>
    <xf numFmtId="0" fontId="16" fillId="35" borderId="20" xfId="0" applyFont="1" applyFill="1" applyBorder="1" applyAlignment="1">
      <alignment horizontal="center"/>
    </xf>
    <xf numFmtId="0" fontId="4" fillId="35" borderId="19" xfId="0" applyFont="1" applyFill="1" applyBorder="1" applyAlignment="1">
      <alignment horizontal="center" vertical="center"/>
    </xf>
    <xf numFmtId="0" fontId="15" fillId="35" borderId="18" xfId="0" applyFont="1" applyFill="1" applyBorder="1" applyAlignment="1" quotePrefix="1">
      <alignment horizontal="center" vertical="center" wrapText="1"/>
    </xf>
    <xf numFmtId="0" fontId="15" fillId="35" borderId="15" xfId="0" applyFont="1" applyFill="1" applyBorder="1" applyAlignment="1">
      <alignment horizontal="center" wrapText="1"/>
    </xf>
    <xf numFmtId="0" fontId="3" fillId="35" borderId="27" xfId="0" applyFont="1" applyFill="1" applyBorder="1" applyAlignment="1">
      <alignment horizontal="center" vertical="center" wrapText="1"/>
    </xf>
    <xf numFmtId="0" fontId="4" fillId="35" borderId="28" xfId="0" applyFont="1" applyFill="1" applyBorder="1" applyAlignment="1">
      <alignment horizontal="center" vertical="top" wrapText="1"/>
    </xf>
    <xf numFmtId="0" fontId="4" fillId="35" borderId="24" xfId="0" applyFont="1" applyFill="1" applyBorder="1" applyAlignment="1">
      <alignment horizontal="center" vertical="top" wrapText="1"/>
    </xf>
    <xf numFmtId="0" fontId="4" fillId="35" borderId="25" xfId="0" applyFont="1" applyFill="1" applyBorder="1" applyAlignment="1">
      <alignment horizontal="center" wrapText="1"/>
    </xf>
    <xf numFmtId="0" fontId="19" fillId="35" borderId="15" xfId="0" applyFont="1" applyFill="1" applyBorder="1" applyAlignment="1">
      <alignment horizontal="center"/>
    </xf>
    <xf numFmtId="0" fontId="3" fillId="0" borderId="10" xfId="0" applyFont="1" applyFill="1" applyBorder="1" applyAlignment="1">
      <alignment/>
    </xf>
    <xf numFmtId="0" fontId="3" fillId="0" borderId="14" xfId="0" applyFont="1" applyFill="1" applyBorder="1" applyAlignment="1">
      <alignment/>
    </xf>
    <xf numFmtId="0" fontId="3" fillId="0" borderId="20" xfId="0" applyFont="1" applyFill="1" applyBorder="1" applyAlignment="1">
      <alignment/>
    </xf>
    <xf numFmtId="0" fontId="4" fillId="35" borderId="29" xfId="0" applyFont="1" applyFill="1" applyBorder="1" applyAlignment="1">
      <alignment horizontal="center"/>
    </xf>
    <xf numFmtId="172" fontId="3" fillId="0" borderId="13"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172" fontId="3" fillId="0" borderId="10" xfId="0" applyNumberFormat="1" applyFont="1" applyFill="1" applyBorder="1" applyAlignment="1">
      <alignment horizontal="right" vertical="center"/>
    </xf>
    <xf numFmtId="172" fontId="12" fillId="0" borderId="10"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4" fillId="0" borderId="0" xfId="0" applyFont="1" applyAlignment="1">
      <alignment/>
    </xf>
    <xf numFmtId="0" fontId="5" fillId="0" borderId="0" xfId="0" applyFont="1" applyBorder="1" applyAlignment="1">
      <alignment horizontal="center" vertical="top"/>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35" borderId="12" xfId="0" applyFont="1" applyFill="1" applyBorder="1" applyAlignment="1">
      <alignment horizontal="center" vertical="top" wrapText="1"/>
    </xf>
    <xf numFmtId="0" fontId="4" fillId="35" borderId="0" xfId="0" applyFont="1" applyFill="1" applyBorder="1" applyAlignment="1">
      <alignment horizontal="center" vertical="top" wrapText="1"/>
    </xf>
    <xf numFmtId="3" fontId="3" fillId="0" borderId="0"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35" borderId="18" xfId="0" applyFont="1" applyFill="1" applyBorder="1" applyAlignment="1">
      <alignment horizontal="center" wrapText="1"/>
    </xf>
    <xf numFmtId="0" fontId="4" fillId="36" borderId="18" xfId="0" applyFont="1" applyFill="1" applyBorder="1" applyAlignment="1">
      <alignment horizontal="center" vertical="center" wrapText="1"/>
    </xf>
    <xf numFmtId="0" fontId="0" fillId="0" borderId="0" xfId="0" applyFont="1" applyAlignment="1">
      <alignment/>
    </xf>
    <xf numFmtId="168" fontId="4" fillId="0" borderId="13" xfId="0" applyNumberFormat="1" applyFont="1" applyFill="1" applyBorder="1" applyAlignment="1">
      <alignment horizontal="center" vertical="center"/>
    </xf>
    <xf numFmtId="0" fontId="4" fillId="35" borderId="16" xfId="0" applyFont="1" applyFill="1" applyBorder="1" applyAlignment="1">
      <alignment horizontal="center" vertical="center"/>
    </xf>
    <xf numFmtId="2" fontId="4" fillId="36" borderId="15" xfId="0" applyNumberFormat="1" applyFont="1" applyFill="1" applyBorder="1" applyAlignment="1">
      <alignment horizontal="center"/>
    </xf>
    <xf numFmtId="0" fontId="0" fillId="0" borderId="0" xfId="0" applyFont="1" applyBorder="1" applyAlignment="1">
      <alignment horizontal="center" vertical="top"/>
    </xf>
    <xf numFmtId="0" fontId="3" fillId="0" borderId="0" xfId="0" applyFont="1" applyFill="1" applyBorder="1" applyAlignment="1">
      <alignment/>
    </xf>
    <xf numFmtId="3" fontId="0" fillId="0" borderId="0" xfId="0" applyNumberFormat="1" applyAlignment="1">
      <alignment/>
    </xf>
    <xf numFmtId="0" fontId="3" fillId="35" borderId="18" xfId="0" applyFont="1" applyFill="1" applyBorder="1" applyAlignment="1">
      <alignment vertical="center"/>
    </xf>
    <xf numFmtId="0" fontId="3" fillId="35" borderId="15" xfId="0" applyFont="1" applyFill="1" applyBorder="1" applyAlignment="1">
      <alignment vertical="center"/>
    </xf>
    <xf numFmtId="0" fontId="3" fillId="35" borderId="20" xfId="0" applyFont="1" applyFill="1" applyBorder="1" applyAlignment="1">
      <alignment horizontal="center" vertical="top" wrapText="1"/>
    </xf>
    <xf numFmtId="0" fontId="3" fillId="35" borderId="19" xfId="0" applyFont="1" applyFill="1" applyBorder="1" applyAlignment="1">
      <alignment horizontal="center" vertical="top" wrapText="1"/>
    </xf>
    <xf numFmtId="0" fontId="3" fillId="35" borderId="14" xfId="0" applyFont="1" applyFill="1" applyBorder="1" applyAlignment="1">
      <alignment horizontal="center" vertical="top" wrapText="1"/>
    </xf>
    <xf numFmtId="0" fontId="3" fillId="35" borderId="17" xfId="0" applyFont="1" applyFill="1" applyBorder="1" applyAlignment="1">
      <alignment horizontal="right" vertical="center"/>
    </xf>
    <xf numFmtId="0" fontId="3" fillId="35" borderId="18" xfId="0" applyFont="1" applyFill="1" applyBorder="1" applyAlignment="1">
      <alignment horizontal="right" vertical="center"/>
    </xf>
    <xf numFmtId="0" fontId="3" fillId="35" borderId="15" xfId="0" applyFont="1" applyFill="1" applyBorder="1" applyAlignment="1">
      <alignment horizontal="right" vertical="center"/>
    </xf>
    <xf numFmtId="0" fontId="3" fillId="0" borderId="0" xfId="0" applyFont="1" applyAlignment="1">
      <alignment wrapText="1"/>
    </xf>
    <xf numFmtId="0" fontId="0" fillId="0" borderId="0" xfId="0" applyAlignment="1">
      <alignment horizontal="left"/>
    </xf>
    <xf numFmtId="0" fontId="5" fillId="0" borderId="0" xfId="0" applyFont="1" applyAlignment="1">
      <alignment horizontal="left" vertical="top" wrapText="1"/>
    </xf>
    <xf numFmtId="0" fontId="3" fillId="0" borderId="12" xfId="0" applyFont="1" applyFill="1" applyBorder="1" applyAlignment="1">
      <alignment horizontal="center"/>
    </xf>
    <xf numFmtId="0" fontId="3" fillId="0" borderId="0" xfId="0" applyFont="1" applyFill="1" applyBorder="1" applyAlignment="1">
      <alignment horizontal="center"/>
    </xf>
    <xf numFmtId="165" fontId="4" fillId="0" borderId="15" xfId="0" applyNumberFormat="1" applyFont="1" applyFill="1" applyBorder="1" applyAlignment="1">
      <alignment horizontal="center" vertical="center"/>
    </xf>
    <xf numFmtId="165" fontId="3" fillId="0" borderId="30"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0" fontId="7"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vertical="top"/>
    </xf>
    <xf numFmtId="0" fontId="3" fillId="0" borderId="0" xfId="0" applyFont="1" applyBorder="1" applyAlignment="1">
      <alignment vertical="top"/>
    </xf>
    <xf numFmtId="0" fontId="3" fillId="0" borderId="0" xfId="0" applyFont="1" applyAlignment="1" quotePrefix="1">
      <alignment vertical="top"/>
    </xf>
    <xf numFmtId="0" fontId="4" fillId="36" borderId="32" xfId="0" applyFont="1" applyFill="1" applyBorder="1" applyAlignment="1">
      <alignment horizontal="center" vertical="center"/>
    </xf>
    <xf numFmtId="0" fontId="7" fillId="0" borderId="0" xfId="0" applyFont="1" applyAlignment="1">
      <alignment horizontal="center" vertical="center" wrapText="1"/>
    </xf>
    <xf numFmtId="0" fontId="20" fillId="0" borderId="0" xfId="0" applyFont="1" applyAlignment="1">
      <alignment/>
    </xf>
    <xf numFmtId="0" fontId="0" fillId="0" borderId="0" xfId="0" applyFont="1" applyBorder="1" applyAlignment="1">
      <alignment horizontal="center" vertical="center"/>
    </xf>
    <xf numFmtId="0" fontId="21" fillId="0" borderId="0" xfId="0" applyFont="1" applyAlignment="1">
      <alignment horizontal="center"/>
    </xf>
    <xf numFmtId="0" fontId="22" fillId="0" borderId="0" xfId="0" applyFont="1" applyAlignment="1">
      <alignment/>
    </xf>
    <xf numFmtId="17" fontId="2" fillId="0" borderId="0" xfId="0" applyNumberFormat="1" applyFont="1" applyBorder="1" applyAlignment="1" quotePrefix="1">
      <alignment horizontal="center" vertical="center" wrapText="1"/>
    </xf>
    <xf numFmtId="0" fontId="22" fillId="0" borderId="0" xfId="0" applyFont="1" applyAlignment="1">
      <alignment horizontal="center"/>
    </xf>
    <xf numFmtId="0" fontId="2" fillId="0" borderId="0" xfId="0" applyFont="1" applyAlignment="1">
      <alignment horizontal="center" vertical="center" wrapText="1"/>
    </xf>
    <xf numFmtId="49" fontId="0" fillId="0" borderId="0" xfId="0" applyNumberFormat="1" applyFont="1" applyAlignment="1">
      <alignment horizontal="left" vertical="center"/>
    </xf>
    <xf numFmtId="0" fontId="21" fillId="0" borderId="0" xfId="0" applyFont="1" applyAlignment="1">
      <alignment horizontal="left" vertical="center"/>
    </xf>
    <xf numFmtId="0" fontId="0" fillId="0" borderId="0" xfId="0" applyFont="1" applyAlignment="1">
      <alignment horizontal="left" vertical="center" wrapText="1"/>
    </xf>
    <xf numFmtId="0" fontId="21" fillId="0" borderId="0" xfId="0" applyFont="1" applyAlignment="1">
      <alignment horizontal="center"/>
    </xf>
    <xf numFmtId="0" fontId="20" fillId="0" borderId="0" xfId="0" applyFont="1" applyAlignment="1">
      <alignment horizontal="left" vertical="center"/>
    </xf>
    <xf numFmtId="171" fontId="0" fillId="0" borderId="0" xfId="0" applyNumberFormat="1" applyFont="1" applyAlignment="1" quotePrefix="1">
      <alignment horizontal="left" vertical="center"/>
    </xf>
    <xf numFmtId="0" fontId="24" fillId="0" borderId="0" xfId="0" applyFont="1" applyAlignment="1">
      <alignment horizontal="left"/>
    </xf>
    <xf numFmtId="0" fontId="25" fillId="0" borderId="0" xfId="0" applyFont="1" applyAlignment="1">
      <alignment horizontal="left" vertical="center"/>
    </xf>
    <xf numFmtId="0" fontId="26" fillId="0" borderId="0" xfId="0" applyFont="1" applyAlignment="1">
      <alignment/>
    </xf>
    <xf numFmtId="0" fontId="3" fillId="35" borderId="18" xfId="0" applyFont="1" applyFill="1" applyBorder="1" applyAlignment="1">
      <alignment horizontal="center" vertical="top" wrapText="1"/>
    </xf>
    <xf numFmtId="0" fontId="3" fillId="35" borderId="15" xfId="0" applyFont="1" applyFill="1" applyBorder="1" applyAlignment="1">
      <alignment horizontal="center" vertical="top" wrapText="1"/>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xf>
    <xf numFmtId="0" fontId="27" fillId="0"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6" fillId="0" borderId="0" xfId="0" applyFont="1" applyFill="1" applyBorder="1" applyAlignment="1">
      <alignment vertical="top"/>
    </xf>
    <xf numFmtId="0" fontId="6" fillId="0" borderId="0" xfId="0" applyFont="1" applyFill="1" applyAlignment="1">
      <alignment/>
    </xf>
    <xf numFmtId="165" fontId="4" fillId="0" borderId="17" xfId="0" applyNumberFormat="1" applyFont="1" applyFill="1" applyBorder="1" applyAlignment="1">
      <alignment horizontal="center" vertical="center"/>
    </xf>
    <xf numFmtId="0" fontId="3" fillId="35" borderId="28" xfId="0" applyFont="1" applyFill="1" applyBorder="1" applyAlignment="1">
      <alignment horizontal="center" vertical="center" wrapText="1"/>
    </xf>
    <xf numFmtId="0" fontId="3" fillId="35" borderId="28" xfId="0" applyFont="1" applyFill="1" applyBorder="1" applyAlignment="1">
      <alignment horizontal="center" vertical="center"/>
    </xf>
    <xf numFmtId="0" fontId="3" fillId="35" borderId="12"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0" xfId="0" applyFont="1" applyAlignment="1">
      <alignment horizontal="left" wrapText="1"/>
    </xf>
    <xf numFmtId="0" fontId="3" fillId="0" borderId="10" xfId="0" applyFont="1" applyFill="1" applyBorder="1" applyAlignment="1">
      <alignment/>
    </xf>
    <xf numFmtId="0" fontId="0" fillId="0" borderId="0" xfId="0" applyFill="1" applyBorder="1" applyAlignment="1">
      <alignment/>
    </xf>
    <xf numFmtId="0" fontId="4" fillId="0" borderId="12" xfId="0" applyFont="1" applyFill="1" applyBorder="1" applyAlignment="1">
      <alignment horizontal="left" vertical="center"/>
    </xf>
    <xf numFmtId="173" fontId="6" fillId="0" borderId="0" xfId="0" applyNumberFormat="1" applyFont="1" applyAlignment="1">
      <alignment/>
    </xf>
    <xf numFmtId="167" fontId="0" fillId="0" borderId="0" xfId="0" applyNumberFormat="1" applyAlignment="1">
      <alignment/>
    </xf>
    <xf numFmtId="0" fontId="11" fillId="0" borderId="0" xfId="52" applyAlignment="1" applyProtection="1">
      <alignment horizontal="left" indent="4"/>
      <protection/>
    </xf>
    <xf numFmtId="0" fontId="0" fillId="35" borderId="10" xfId="0" applyFill="1" applyBorder="1" applyAlignment="1">
      <alignment/>
    </xf>
    <xf numFmtId="0" fontId="3" fillId="35" borderId="27" xfId="0" applyFont="1" applyFill="1" applyBorder="1" applyAlignment="1">
      <alignment horizontal="center"/>
    </xf>
    <xf numFmtId="166" fontId="3" fillId="0" borderId="33" xfId="0" applyNumberFormat="1" applyFont="1" applyFill="1" applyBorder="1" applyAlignment="1">
      <alignment horizontal="right" vertical="center"/>
    </xf>
    <xf numFmtId="166" fontId="3" fillId="0" borderId="25" xfId="0" applyNumberFormat="1" applyFont="1" applyFill="1" applyBorder="1" applyAlignment="1">
      <alignment horizontal="right" vertical="center"/>
    </xf>
    <xf numFmtId="0" fontId="4" fillId="35" borderId="12" xfId="0" applyFont="1" applyFill="1" applyBorder="1" applyAlignment="1">
      <alignment horizontal="center" vertical="center"/>
    </xf>
    <xf numFmtId="0" fontId="7" fillId="35" borderId="10" xfId="0" applyFont="1" applyFill="1" applyBorder="1" applyAlignment="1">
      <alignment vertical="center"/>
    </xf>
    <xf numFmtId="0" fontId="4" fillId="35" borderId="21" xfId="0" applyFont="1" applyFill="1" applyBorder="1" applyAlignment="1">
      <alignment horizontal="center"/>
    </xf>
    <xf numFmtId="168" fontId="4" fillId="0" borderId="18" xfId="0" applyNumberFormat="1" applyFont="1" applyFill="1" applyBorder="1" applyAlignment="1">
      <alignment horizontal="center" vertical="center"/>
    </xf>
    <xf numFmtId="0" fontId="3" fillId="0" borderId="12" xfId="0" applyFont="1" applyFill="1" applyBorder="1" applyAlignment="1">
      <alignment/>
    </xf>
    <xf numFmtId="3" fontId="6" fillId="0" borderId="0" xfId="0" applyNumberFormat="1" applyFont="1" applyAlignment="1">
      <alignment/>
    </xf>
    <xf numFmtId="168" fontId="3" fillId="0" borderId="26" xfId="0" applyNumberFormat="1" applyFont="1" applyFill="1" applyBorder="1" applyAlignment="1">
      <alignment horizontal="center" vertical="center"/>
    </xf>
    <xf numFmtId="9" fontId="3" fillId="0" borderId="26" xfId="0" applyNumberFormat="1" applyFont="1" applyFill="1" applyBorder="1" applyAlignment="1">
      <alignment horizontal="center" vertical="center"/>
    </xf>
    <xf numFmtId="9" fontId="3" fillId="0" borderId="33" xfId="0" applyNumberFormat="1" applyFont="1" applyFill="1" applyBorder="1" applyAlignment="1">
      <alignment horizontal="center" vertical="center"/>
    </xf>
    <xf numFmtId="9" fontId="3" fillId="0" borderId="13" xfId="0" applyNumberFormat="1" applyFont="1" applyFill="1" applyBorder="1" applyAlignment="1">
      <alignment horizontal="center" vertical="center"/>
    </xf>
    <xf numFmtId="172" fontId="3" fillId="0" borderId="17" xfId="0" applyNumberFormat="1" applyFont="1" applyFill="1" applyBorder="1" applyAlignment="1">
      <alignment horizontal="right" vertical="center"/>
    </xf>
    <xf numFmtId="168" fontId="4" fillId="0" borderId="17" xfId="0" applyNumberFormat="1" applyFont="1" applyFill="1" applyBorder="1" applyAlignment="1">
      <alignment horizontal="center" vertical="center"/>
    </xf>
    <xf numFmtId="172" fontId="3" fillId="0" borderId="18" xfId="0" applyNumberFormat="1" applyFont="1" applyFill="1" applyBorder="1" applyAlignment="1">
      <alignment horizontal="right" vertical="center"/>
    </xf>
    <xf numFmtId="172" fontId="3" fillId="0" borderId="15" xfId="0" applyNumberFormat="1" applyFont="1" applyFill="1" applyBorder="1" applyAlignment="1">
      <alignment horizontal="right" vertical="center"/>
    </xf>
    <xf numFmtId="0" fontId="3" fillId="0" borderId="14" xfId="0" applyFont="1" applyBorder="1" applyAlignment="1">
      <alignment vertical="center"/>
    </xf>
    <xf numFmtId="165" fontId="3" fillId="0" borderId="34" xfId="0" applyNumberFormat="1" applyFont="1" applyFill="1" applyBorder="1" applyAlignment="1">
      <alignment horizontal="right" vertical="center"/>
    </xf>
    <xf numFmtId="165" fontId="3" fillId="0" borderId="35" xfId="0" applyNumberFormat="1" applyFont="1" applyFill="1" applyBorder="1" applyAlignment="1">
      <alignment horizontal="right" vertical="center"/>
    </xf>
    <xf numFmtId="165" fontId="4" fillId="0" borderId="32" xfId="0" applyNumberFormat="1" applyFont="1" applyFill="1" applyBorder="1" applyAlignment="1">
      <alignment horizontal="center" vertical="center"/>
    </xf>
    <xf numFmtId="165" fontId="3" fillId="0" borderId="36" xfId="0" applyNumberFormat="1" applyFont="1" applyFill="1" applyBorder="1" applyAlignment="1">
      <alignment horizontal="right" vertical="center"/>
    </xf>
    <xf numFmtId="165" fontId="3" fillId="0" borderId="37" xfId="0" applyNumberFormat="1" applyFont="1" applyFill="1" applyBorder="1" applyAlignment="1">
      <alignment horizontal="right" vertical="center"/>
    </xf>
    <xf numFmtId="165" fontId="4" fillId="0" borderId="38" xfId="0" applyNumberFormat="1" applyFont="1" applyFill="1" applyBorder="1" applyAlignment="1">
      <alignment horizontal="center" vertical="center"/>
    </xf>
    <xf numFmtId="165" fontId="3" fillId="0" borderId="14" xfId="0" applyNumberFormat="1" applyFont="1" applyFill="1" applyBorder="1" applyAlignment="1">
      <alignment horizontal="right" vertical="center"/>
    </xf>
    <xf numFmtId="0" fontId="3" fillId="0" borderId="0" xfId="0" applyFont="1" applyFill="1" applyBorder="1" applyAlignment="1">
      <alignment vertical="center"/>
    </xf>
    <xf numFmtId="168" fontId="3" fillId="36" borderId="18" xfId="0" applyNumberFormat="1" applyFont="1" applyFill="1" applyBorder="1" applyAlignment="1">
      <alignment horizontal="right" vertical="center"/>
    </xf>
    <xf numFmtId="168" fontId="3" fillId="0" borderId="18" xfId="0" applyNumberFormat="1" applyFont="1" applyFill="1" applyBorder="1" applyAlignment="1">
      <alignment horizontal="right" vertical="center"/>
    </xf>
    <xf numFmtId="0" fontId="0" fillId="0" borderId="0" xfId="0" applyNumberFormat="1" applyFont="1" applyFill="1" applyBorder="1" applyAlignment="1">
      <alignment/>
    </xf>
    <xf numFmtId="174" fontId="0" fillId="0" borderId="0" xfId="0" applyNumberFormat="1" applyFont="1" applyFill="1" applyBorder="1" applyAlignment="1">
      <alignment/>
    </xf>
    <xf numFmtId="0" fontId="3" fillId="37" borderId="12" xfId="0" applyFont="1" applyFill="1" applyBorder="1" applyAlignment="1">
      <alignment horizontal="center"/>
    </xf>
    <xf numFmtId="0" fontId="3" fillId="37" borderId="12" xfId="0" applyFont="1" applyFill="1" applyBorder="1" applyAlignment="1">
      <alignment/>
    </xf>
    <xf numFmtId="0" fontId="3" fillId="37" borderId="10" xfId="0" applyFont="1" applyFill="1" applyBorder="1" applyAlignment="1">
      <alignment/>
    </xf>
    <xf numFmtId="0" fontId="3" fillId="37" borderId="0" xfId="0" applyFont="1" applyFill="1" applyBorder="1" applyAlignment="1">
      <alignment/>
    </xf>
    <xf numFmtId="0" fontId="3" fillId="37" borderId="0" xfId="0" applyFont="1" applyFill="1" applyBorder="1" applyAlignment="1">
      <alignment/>
    </xf>
    <xf numFmtId="0" fontId="0" fillId="37" borderId="12" xfId="0" applyFill="1" applyBorder="1" applyAlignment="1">
      <alignment/>
    </xf>
    <xf numFmtId="0" fontId="17" fillId="37" borderId="10" xfId="0" applyFont="1" applyFill="1" applyBorder="1" applyAlignment="1">
      <alignment horizontal="center"/>
    </xf>
    <xf numFmtId="0" fontId="4" fillId="36" borderId="15" xfId="0" applyFont="1" applyFill="1" applyBorder="1" applyAlignment="1" quotePrefix="1">
      <alignment horizontal="center" vertical="center"/>
    </xf>
    <xf numFmtId="0" fontId="4" fillId="36" borderId="15" xfId="0" applyFont="1" applyFill="1" applyBorder="1" applyAlignment="1">
      <alignment horizontal="center" vertical="center"/>
    </xf>
    <xf numFmtId="0" fontId="4" fillId="0" borderId="0" xfId="0" applyNumberFormat="1" applyFont="1" applyBorder="1" applyAlignment="1">
      <alignment horizontal="right"/>
    </xf>
    <xf numFmtId="169" fontId="0" fillId="0" borderId="0" xfId="0" applyNumberFormat="1" applyAlignment="1">
      <alignment/>
    </xf>
    <xf numFmtId="0" fontId="7" fillId="0" borderId="0" xfId="0" applyFont="1" applyAlignment="1">
      <alignment/>
    </xf>
    <xf numFmtId="0" fontId="4" fillId="37" borderId="12" xfId="0" applyFont="1" applyFill="1" applyBorder="1" applyAlignment="1">
      <alignment horizontal="left" vertical="center"/>
    </xf>
    <xf numFmtId="0" fontId="17" fillId="37" borderId="10" xfId="0" applyFont="1" applyFill="1" applyBorder="1" applyAlignment="1">
      <alignment horizontal="right" vertical="center"/>
    </xf>
    <xf numFmtId="169" fontId="3" fillId="37" borderId="0" xfId="0" applyNumberFormat="1" applyFont="1" applyFill="1" applyBorder="1" applyAlignment="1">
      <alignment horizontal="right" vertical="center"/>
    </xf>
    <xf numFmtId="0" fontId="0" fillId="37" borderId="0" xfId="0" applyFill="1" applyAlignment="1">
      <alignment/>
    </xf>
    <xf numFmtId="168" fontId="3" fillId="0" borderId="18" xfId="0" applyNumberFormat="1" applyFont="1" applyFill="1" applyBorder="1" applyAlignment="1">
      <alignment horizontal="right" vertical="center"/>
    </xf>
    <xf numFmtId="168" fontId="3" fillId="37" borderId="18" xfId="0" applyNumberFormat="1" applyFont="1" applyFill="1" applyBorder="1" applyAlignment="1">
      <alignment horizontal="right" vertical="center"/>
    </xf>
    <xf numFmtId="0" fontId="3" fillId="0" borderId="24" xfId="0" applyFont="1" applyFill="1" applyBorder="1" applyAlignment="1">
      <alignment horizontal="left"/>
    </xf>
    <xf numFmtId="0" fontId="3" fillId="0" borderId="29" xfId="0" applyFont="1" applyFill="1" applyBorder="1" applyAlignment="1">
      <alignment horizontal="left"/>
    </xf>
    <xf numFmtId="0" fontId="3" fillId="37" borderId="24" xfId="0" applyFont="1" applyFill="1" applyBorder="1" applyAlignment="1">
      <alignment horizontal="left"/>
    </xf>
    <xf numFmtId="0" fontId="0" fillId="0" borderId="13" xfId="0" applyBorder="1" applyAlignment="1">
      <alignment/>
    </xf>
    <xf numFmtId="168" fontId="4" fillId="0" borderId="39" xfId="0" applyNumberFormat="1" applyFont="1" applyFill="1" applyBorder="1" applyAlignment="1">
      <alignment horizontal="center" vertical="center"/>
    </xf>
    <xf numFmtId="0" fontId="3" fillId="35" borderId="18" xfId="0" applyFont="1" applyFill="1" applyBorder="1" applyAlignment="1">
      <alignment vertical="center"/>
    </xf>
    <xf numFmtId="0" fontId="3" fillId="35" borderId="18" xfId="0" applyFont="1" applyFill="1" applyBorder="1" applyAlignment="1">
      <alignment horizontal="right" vertical="center"/>
    </xf>
    <xf numFmtId="2" fontId="4" fillId="0" borderId="18" xfId="0" applyNumberFormat="1" applyFont="1" applyFill="1" applyBorder="1" applyAlignment="1">
      <alignment horizontal="center"/>
    </xf>
    <xf numFmtId="2" fontId="4" fillId="37" borderId="18" xfId="0" applyNumberFormat="1" applyFont="1" applyFill="1" applyBorder="1" applyAlignment="1">
      <alignment horizontal="center"/>
    </xf>
    <xf numFmtId="2" fontId="4" fillId="37" borderId="15" xfId="0" applyNumberFormat="1" applyFont="1" applyFill="1" applyBorder="1" applyAlignment="1">
      <alignment horizontal="center"/>
    </xf>
    <xf numFmtId="0" fontId="3" fillId="37" borderId="0" xfId="0" applyFont="1" applyFill="1" applyBorder="1" applyAlignment="1">
      <alignment vertical="center"/>
    </xf>
    <xf numFmtId="167" fontId="3" fillId="0" borderId="12" xfId="0" applyNumberFormat="1" applyFont="1" applyFill="1" applyBorder="1" applyAlignment="1">
      <alignment/>
    </xf>
    <xf numFmtId="0" fontId="4" fillId="37" borderId="18" xfId="0" applyFont="1" applyFill="1" applyBorder="1" applyAlignment="1">
      <alignment horizontal="center"/>
    </xf>
    <xf numFmtId="167" fontId="3" fillId="37" borderId="12" xfId="0" applyNumberFormat="1" applyFont="1" applyFill="1" applyBorder="1" applyAlignment="1">
      <alignment/>
    </xf>
    <xf numFmtId="167" fontId="3" fillId="37" borderId="0" xfId="0" applyNumberFormat="1" applyFont="1" applyFill="1" applyBorder="1" applyAlignment="1">
      <alignment/>
    </xf>
    <xf numFmtId="170" fontId="3" fillId="37" borderId="10" xfId="0" applyNumberFormat="1" applyFont="1" applyFill="1" applyBorder="1" applyAlignment="1">
      <alignment/>
    </xf>
    <xf numFmtId="0" fontId="4" fillId="37" borderId="18" xfId="0" applyFont="1" applyFill="1" applyBorder="1" applyAlignment="1">
      <alignment horizontal="center"/>
    </xf>
    <xf numFmtId="0" fontId="4" fillId="0" borderId="17" xfId="0" applyFont="1" applyFill="1" applyBorder="1" applyAlignment="1">
      <alignment horizontal="center"/>
    </xf>
    <xf numFmtId="167" fontId="3" fillId="0" borderId="21" xfId="0" applyNumberFormat="1" applyFont="1" applyFill="1" applyBorder="1" applyAlignment="1">
      <alignment/>
    </xf>
    <xf numFmtId="167" fontId="3" fillId="0" borderId="16" xfId="0" applyNumberFormat="1" applyFont="1" applyFill="1" applyBorder="1" applyAlignment="1">
      <alignment/>
    </xf>
    <xf numFmtId="170" fontId="3" fillId="0" borderId="13" xfId="0" applyNumberFormat="1" applyFont="1" applyFill="1" applyBorder="1" applyAlignment="1">
      <alignment/>
    </xf>
    <xf numFmtId="0" fontId="4" fillId="0" borderId="18" xfId="0" applyFont="1" applyFill="1" applyBorder="1" applyAlignment="1">
      <alignment horizontal="center"/>
    </xf>
    <xf numFmtId="167" fontId="3" fillId="0" borderId="0" xfId="0" applyNumberFormat="1" applyFont="1" applyFill="1" applyBorder="1" applyAlignment="1">
      <alignment/>
    </xf>
    <xf numFmtId="170" fontId="3" fillId="0" borderId="10" xfId="0" applyNumberFormat="1" applyFont="1" applyFill="1" applyBorder="1" applyAlignment="1">
      <alignment/>
    </xf>
    <xf numFmtId="0" fontId="4" fillId="0" borderId="15" xfId="0" applyFont="1" applyFill="1" applyBorder="1" applyAlignment="1">
      <alignment horizontal="center"/>
    </xf>
    <xf numFmtId="167" fontId="3" fillId="0" borderId="20" xfId="0" applyNumberFormat="1" applyFont="1" applyFill="1" applyBorder="1" applyAlignment="1">
      <alignment/>
    </xf>
    <xf numFmtId="167" fontId="3" fillId="0" borderId="19" xfId="0" applyNumberFormat="1" applyFont="1" applyFill="1" applyBorder="1" applyAlignment="1">
      <alignment/>
    </xf>
    <xf numFmtId="170" fontId="3" fillId="0" borderId="14" xfId="0" applyNumberFormat="1" applyFont="1" applyFill="1" applyBorder="1" applyAlignment="1">
      <alignment/>
    </xf>
    <xf numFmtId="0" fontId="3" fillId="35" borderId="18"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36" borderId="38" xfId="0" applyFont="1" applyFill="1" applyBorder="1" applyAlignment="1">
      <alignment horizontal="center" vertical="center"/>
    </xf>
    <xf numFmtId="172" fontId="3" fillId="0" borderId="10" xfId="0" applyNumberFormat="1" applyFont="1" applyFill="1" applyBorder="1" applyAlignment="1">
      <alignment horizontal="right" vertical="center"/>
    </xf>
    <xf numFmtId="172" fontId="3" fillId="0" borderId="15" xfId="0" applyNumberFormat="1" applyFont="1" applyFill="1" applyBorder="1" applyAlignment="1">
      <alignment horizontal="right" vertical="center"/>
    </xf>
    <xf numFmtId="3" fontId="1" fillId="0" borderId="40" xfId="63" applyNumberFormat="1" applyFont="1" applyFill="1" applyBorder="1" applyAlignment="1">
      <alignment horizontal="right" wrapText="1"/>
      <protection/>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41" xfId="0" applyFont="1" applyFill="1" applyBorder="1" applyAlignment="1">
      <alignment horizontal="center" vertical="center" wrapText="1"/>
    </xf>
    <xf numFmtId="0" fontId="3" fillId="37" borderId="10" xfId="0" applyFont="1" applyFill="1" applyBorder="1" applyAlignment="1">
      <alignment/>
    </xf>
    <xf numFmtId="0" fontId="4" fillId="0" borderId="18" xfId="0" applyFont="1" applyFill="1" applyBorder="1" applyAlignment="1">
      <alignment horizontal="center"/>
    </xf>
    <xf numFmtId="0" fontId="3" fillId="35" borderId="13" xfId="0" applyFont="1" applyFill="1" applyBorder="1" applyAlignment="1">
      <alignment horizontal="centerContinuous"/>
    </xf>
    <xf numFmtId="0" fontId="3" fillId="35" borderId="21" xfId="0" applyFont="1" applyFill="1" applyBorder="1" applyAlignment="1">
      <alignment horizontal="centerContinuous"/>
    </xf>
    <xf numFmtId="0" fontId="4" fillId="0" borderId="17" xfId="0" applyFont="1" applyFill="1" applyBorder="1" applyAlignment="1">
      <alignment horizontal="center"/>
    </xf>
    <xf numFmtId="10" fontId="3" fillId="37" borderId="18" xfId="0" applyNumberFormat="1" applyFont="1" applyFill="1" applyBorder="1" applyAlignment="1">
      <alignment horizontal="center"/>
    </xf>
    <xf numFmtId="10" fontId="3" fillId="0" borderId="17" xfId="0" applyNumberFormat="1" applyFont="1" applyBorder="1" applyAlignment="1">
      <alignment horizontal="center"/>
    </xf>
    <xf numFmtId="175" fontId="3" fillId="38" borderId="0" xfId="0" applyNumberFormat="1" applyFont="1" applyFill="1" applyAlignment="1">
      <alignment horizontal="right" vertical="center"/>
    </xf>
    <xf numFmtId="175" fontId="3" fillId="0" borderId="0" xfId="0" applyNumberFormat="1" applyFont="1" applyAlignment="1">
      <alignment horizontal="right" vertical="center"/>
    </xf>
    <xf numFmtId="175" fontId="3" fillId="36" borderId="0" xfId="0" applyNumberFormat="1" applyFont="1" applyFill="1" applyAlignment="1">
      <alignment horizontal="right" vertical="center"/>
    </xf>
    <xf numFmtId="175" fontId="3" fillId="0" borderId="12" xfId="0" applyNumberFormat="1" applyFont="1" applyFill="1" applyBorder="1" applyAlignment="1">
      <alignment horizontal="right" vertical="center"/>
    </xf>
    <xf numFmtId="175" fontId="3" fillId="0" borderId="0" xfId="0" applyNumberFormat="1" applyFont="1" applyFill="1" applyBorder="1" applyAlignment="1">
      <alignment horizontal="right" vertical="center"/>
    </xf>
    <xf numFmtId="175" fontId="3" fillId="0" borderId="10" xfId="0" applyNumberFormat="1" applyFont="1" applyFill="1" applyBorder="1" applyAlignment="1">
      <alignment horizontal="right" vertical="center"/>
    </xf>
    <xf numFmtId="175" fontId="3" fillId="37" borderId="0" xfId="0" applyNumberFormat="1" applyFont="1" applyFill="1" applyBorder="1" applyAlignment="1">
      <alignment horizontal="right" vertical="center"/>
    </xf>
    <xf numFmtId="175" fontId="3" fillId="39" borderId="0" xfId="0" applyNumberFormat="1" applyFont="1" applyFill="1" applyBorder="1" applyAlignment="1">
      <alignment horizontal="right" vertical="center"/>
    </xf>
    <xf numFmtId="175" fontId="3" fillId="0" borderId="0" xfId="0" applyNumberFormat="1" applyFont="1" applyFill="1" applyAlignment="1">
      <alignment horizontal="right" vertical="center"/>
    </xf>
    <xf numFmtId="175" fontId="3" fillId="39" borderId="0" xfId="0" applyNumberFormat="1" applyFont="1" applyFill="1" applyAlignment="1">
      <alignment horizontal="right" vertical="center"/>
    </xf>
    <xf numFmtId="175" fontId="3" fillId="37" borderId="0" xfId="0" applyNumberFormat="1" applyFont="1" applyFill="1" applyAlignment="1">
      <alignment horizontal="right" vertical="center"/>
    </xf>
    <xf numFmtId="175" fontId="3" fillId="37" borderId="20" xfId="0" applyNumberFormat="1" applyFont="1" applyFill="1" applyBorder="1" applyAlignment="1">
      <alignment horizontal="right" vertical="center"/>
    </xf>
    <xf numFmtId="175" fontId="3" fillId="37" borderId="19" xfId="0" applyNumberFormat="1" applyFont="1" applyFill="1" applyBorder="1" applyAlignment="1">
      <alignment horizontal="right" vertical="center"/>
    </xf>
    <xf numFmtId="175" fontId="3" fillId="39" borderId="19" xfId="0" applyNumberFormat="1" applyFont="1" applyFill="1" applyBorder="1" applyAlignment="1">
      <alignment horizontal="right" vertical="center"/>
    </xf>
    <xf numFmtId="175" fontId="3" fillId="0" borderId="16" xfId="0" applyNumberFormat="1" applyFont="1" applyFill="1" applyBorder="1" applyAlignment="1">
      <alignment/>
    </xf>
    <xf numFmtId="175" fontId="3" fillId="37" borderId="0" xfId="0" applyNumberFormat="1" applyFont="1" applyFill="1" applyBorder="1" applyAlignment="1">
      <alignment/>
    </xf>
    <xf numFmtId="175" fontId="3" fillId="0" borderId="0" xfId="0" applyNumberFormat="1" applyFont="1" applyFill="1" applyBorder="1" applyAlignment="1">
      <alignment/>
    </xf>
    <xf numFmtId="175" fontId="3" fillId="0" borderId="0" xfId="0" applyNumberFormat="1" applyFont="1" applyFill="1" applyBorder="1" applyAlignment="1">
      <alignment/>
    </xf>
    <xf numFmtId="175" fontId="3" fillId="37" borderId="12" xfId="0" applyNumberFormat="1" applyFont="1" applyFill="1" applyBorder="1" applyAlignment="1">
      <alignment/>
    </xf>
    <xf numFmtId="175" fontId="3" fillId="37" borderId="0" xfId="0" applyNumberFormat="1" applyFont="1" applyFill="1" applyBorder="1" applyAlignment="1">
      <alignment/>
    </xf>
    <xf numFmtId="175" fontId="3" fillId="37" borderId="0" xfId="0" applyNumberFormat="1" applyFont="1" applyFill="1" applyBorder="1" applyAlignment="1">
      <alignment vertical="center"/>
    </xf>
    <xf numFmtId="175" fontId="12" fillId="0" borderId="12" xfId="0" applyNumberFormat="1" applyFont="1" applyFill="1" applyBorder="1" applyAlignment="1">
      <alignment vertical="center"/>
    </xf>
    <xf numFmtId="175" fontId="3" fillId="0" borderId="0" xfId="0" applyNumberFormat="1" applyFont="1" applyFill="1" applyBorder="1" applyAlignment="1">
      <alignment vertical="center"/>
    </xf>
    <xf numFmtId="175" fontId="3" fillId="0" borderId="12" xfId="0" applyNumberFormat="1" applyFont="1" applyFill="1" applyBorder="1" applyAlignment="1">
      <alignment/>
    </xf>
    <xf numFmtId="175" fontId="12" fillId="0" borderId="12" xfId="0" applyNumberFormat="1" applyFont="1" applyFill="1" applyBorder="1" applyAlignment="1">
      <alignment vertical="center"/>
    </xf>
    <xf numFmtId="175" fontId="12" fillId="0" borderId="0" xfId="0" applyNumberFormat="1" applyFont="1" applyFill="1" applyBorder="1" applyAlignment="1">
      <alignment vertical="center"/>
    </xf>
    <xf numFmtId="175" fontId="12" fillId="37" borderId="0" xfId="0" applyNumberFormat="1" applyFont="1" applyFill="1" applyBorder="1" applyAlignment="1">
      <alignment vertical="center"/>
    </xf>
    <xf numFmtId="175" fontId="12" fillId="0" borderId="0" xfId="0" applyNumberFormat="1" applyFont="1" applyFill="1" applyBorder="1" applyAlignment="1">
      <alignment vertical="center"/>
    </xf>
    <xf numFmtId="175" fontId="12" fillId="37" borderId="12" xfId="0" applyNumberFormat="1" applyFont="1" applyFill="1" applyBorder="1" applyAlignment="1">
      <alignment vertical="center"/>
    </xf>
    <xf numFmtId="175" fontId="12" fillId="37" borderId="0" xfId="0" applyNumberFormat="1" applyFont="1" applyFill="1" applyBorder="1" applyAlignment="1">
      <alignment vertical="center"/>
    </xf>
    <xf numFmtId="176" fontId="3" fillId="0" borderId="12" xfId="0" applyNumberFormat="1" applyFont="1" applyBorder="1" applyAlignment="1">
      <alignment horizontal="right"/>
    </xf>
    <xf numFmtId="176" fontId="3" fillId="0" borderId="0" xfId="0" applyNumberFormat="1" applyFont="1" applyBorder="1" applyAlignment="1">
      <alignment horizontal="right"/>
    </xf>
    <xf numFmtId="176" fontId="3" fillId="0" borderId="24" xfId="0" applyNumberFormat="1" applyFont="1" applyBorder="1" applyAlignment="1">
      <alignment horizontal="right"/>
    </xf>
    <xf numFmtId="176" fontId="3" fillId="0" borderId="12" xfId="0" applyNumberFormat="1" applyFont="1" applyBorder="1" applyAlignment="1">
      <alignment/>
    </xf>
    <xf numFmtId="176" fontId="3" fillId="0" borderId="0" xfId="0" applyNumberFormat="1" applyFont="1" applyBorder="1" applyAlignment="1">
      <alignment/>
    </xf>
    <xf numFmtId="176" fontId="3" fillId="0" borderId="10" xfId="0" applyNumberFormat="1" applyFont="1" applyBorder="1" applyAlignment="1">
      <alignment/>
    </xf>
    <xf numFmtId="176" fontId="3" fillId="36" borderId="12" xfId="0" applyNumberFormat="1" applyFont="1" applyFill="1" applyBorder="1" applyAlignment="1">
      <alignment horizontal="right"/>
    </xf>
    <xf numFmtId="176" fontId="3" fillId="36" borderId="0" xfId="0" applyNumberFormat="1" applyFont="1" applyFill="1" applyBorder="1" applyAlignment="1">
      <alignment horizontal="right"/>
    </xf>
    <xf numFmtId="176" fontId="3" fillId="36" borderId="24" xfId="0" applyNumberFormat="1" applyFont="1" applyFill="1" applyBorder="1" applyAlignment="1">
      <alignment horizontal="right"/>
    </xf>
    <xf numFmtId="176" fontId="3" fillId="36" borderId="12" xfId="0" applyNumberFormat="1" applyFont="1" applyFill="1" applyBorder="1" applyAlignment="1">
      <alignment/>
    </xf>
    <xf numFmtId="176" fontId="3" fillId="36" borderId="0" xfId="0" applyNumberFormat="1" applyFont="1" applyFill="1" applyBorder="1" applyAlignment="1">
      <alignment/>
    </xf>
    <xf numFmtId="176" fontId="3" fillId="36" borderId="10" xfId="0" applyNumberFormat="1" applyFont="1" applyFill="1" applyBorder="1" applyAlignment="1">
      <alignment/>
    </xf>
    <xf numFmtId="176" fontId="3" fillId="36"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2"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24"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37" borderId="12" xfId="0" applyNumberFormat="1" applyFont="1" applyFill="1" applyBorder="1" applyAlignment="1">
      <alignment horizontal="right"/>
    </xf>
    <xf numFmtId="176" fontId="3" fillId="37" borderId="0" xfId="0" applyNumberFormat="1" applyFont="1" applyFill="1" applyBorder="1" applyAlignment="1">
      <alignment horizontal="right"/>
    </xf>
    <xf numFmtId="176" fontId="3" fillId="37" borderId="24" xfId="0" applyNumberFormat="1" applyFont="1" applyFill="1" applyBorder="1" applyAlignment="1">
      <alignment horizontal="right"/>
    </xf>
    <xf numFmtId="176" fontId="3" fillId="37" borderId="10" xfId="0" applyNumberFormat="1" applyFont="1" applyFill="1" applyBorder="1" applyAlignment="1">
      <alignment horizontal="right"/>
    </xf>
    <xf numFmtId="176" fontId="3" fillId="37" borderId="12" xfId="0" applyNumberFormat="1" applyFont="1" applyFill="1" applyBorder="1" applyAlignment="1">
      <alignment/>
    </xf>
    <xf numFmtId="176" fontId="3" fillId="37" borderId="0" xfId="0" applyNumberFormat="1" applyFont="1" applyFill="1" applyBorder="1" applyAlignment="1">
      <alignment/>
    </xf>
    <xf numFmtId="176" fontId="3" fillId="37" borderId="10" xfId="0" applyNumberFormat="1" applyFont="1" applyFill="1" applyBorder="1" applyAlignment="1">
      <alignment/>
    </xf>
    <xf numFmtId="176" fontId="3" fillId="0" borderId="12" xfId="0" applyNumberFormat="1" applyFont="1" applyFill="1" applyBorder="1" applyAlignment="1">
      <alignment/>
    </xf>
    <xf numFmtId="176" fontId="3" fillId="0" borderId="0" xfId="0" applyNumberFormat="1" applyFont="1" applyFill="1" applyBorder="1" applyAlignment="1">
      <alignment/>
    </xf>
    <xf numFmtId="176" fontId="3" fillId="0" borderId="10" xfId="0" applyNumberFormat="1" applyFont="1" applyFill="1" applyBorder="1" applyAlignment="1">
      <alignment/>
    </xf>
    <xf numFmtId="176" fontId="3" fillId="37" borderId="20" xfId="0" applyNumberFormat="1" applyFont="1" applyFill="1" applyBorder="1" applyAlignment="1">
      <alignment horizontal="right"/>
    </xf>
    <xf numFmtId="176" fontId="3" fillId="37" borderId="19" xfId="0" applyNumberFormat="1" applyFont="1" applyFill="1" applyBorder="1" applyAlignment="1">
      <alignment horizontal="right"/>
    </xf>
    <xf numFmtId="176" fontId="3" fillId="37" borderId="29" xfId="0" applyNumberFormat="1" applyFont="1" applyFill="1" applyBorder="1" applyAlignment="1">
      <alignment horizontal="right"/>
    </xf>
    <xf numFmtId="176" fontId="3" fillId="37" borderId="20" xfId="0" applyNumberFormat="1" applyFont="1" applyFill="1" applyBorder="1" applyAlignment="1">
      <alignment/>
    </xf>
    <xf numFmtId="176" fontId="3" fillId="37" borderId="19" xfId="0" applyNumberFormat="1" applyFont="1" applyFill="1" applyBorder="1" applyAlignment="1">
      <alignment/>
    </xf>
    <xf numFmtId="176" fontId="3" fillId="37" borderId="14" xfId="0" applyNumberFormat="1" applyFont="1" applyFill="1" applyBorder="1" applyAlignment="1">
      <alignment/>
    </xf>
    <xf numFmtId="176" fontId="3" fillId="36" borderId="14" xfId="0" applyNumberFormat="1" applyFont="1" applyFill="1" applyBorder="1" applyAlignment="1">
      <alignment horizontal="right"/>
    </xf>
    <xf numFmtId="175" fontId="3" fillId="37" borderId="10" xfId="0" applyNumberFormat="1" applyFont="1" applyFill="1" applyBorder="1" applyAlignment="1">
      <alignment/>
    </xf>
    <xf numFmtId="176" fontId="4" fillId="0" borderId="13"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3" fillId="0" borderId="10" xfId="0" applyNumberFormat="1" applyFont="1" applyFill="1" applyBorder="1" applyAlignment="1">
      <alignment horizontal="right" vertical="center"/>
    </xf>
    <xf numFmtId="176" fontId="3" fillId="0" borderId="21"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2" fillId="0" borderId="10" xfId="0" applyNumberFormat="1" applyFont="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16"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2"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10" xfId="0" applyNumberFormat="1" applyFont="1" applyFill="1" applyBorder="1" applyAlignment="1">
      <alignment horizontal="center" vertical="center"/>
    </xf>
    <xf numFmtId="172" fontId="3" fillId="0" borderId="42"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2" fontId="12" fillId="0" borderId="10" xfId="0" applyNumberFormat="1" applyFont="1" applyFill="1" applyBorder="1" applyAlignment="1">
      <alignment horizontal="center" vertical="center"/>
    </xf>
    <xf numFmtId="172" fontId="3" fillId="0" borderId="20" xfId="0" applyNumberFormat="1" applyFont="1" applyFill="1" applyBorder="1" applyAlignment="1">
      <alignment horizontal="center" vertical="center"/>
    </xf>
    <xf numFmtId="172" fontId="3" fillId="0" borderId="19"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0" fontId="3" fillId="0" borderId="18" xfId="0" applyNumberFormat="1" applyFont="1" applyFill="1" applyBorder="1" applyAlignment="1">
      <alignment horizontal="center"/>
    </xf>
    <xf numFmtId="0" fontId="4" fillId="0" borderId="43" xfId="0" applyFont="1" applyFill="1" applyBorder="1" applyAlignment="1">
      <alignment horizontal="center"/>
    </xf>
    <xf numFmtId="10" fontId="3" fillId="0" borderId="43" xfId="0" applyNumberFormat="1" applyFont="1" applyFill="1" applyBorder="1" applyAlignment="1">
      <alignment horizontal="center"/>
    </xf>
    <xf numFmtId="176" fontId="3" fillId="0" borderId="26"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6" fontId="3" fillId="0" borderId="44"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76" fontId="3" fillId="0" borderId="12" xfId="0" applyNumberFormat="1" applyFont="1" applyBorder="1" applyAlignment="1">
      <alignment horizontal="center"/>
    </xf>
    <xf numFmtId="176" fontId="3" fillId="0" borderId="0" xfId="0" applyNumberFormat="1" applyFont="1" applyBorder="1" applyAlignment="1">
      <alignment horizontal="center"/>
    </xf>
    <xf numFmtId="176" fontId="3" fillId="0" borderId="12" xfId="0" applyNumberFormat="1" applyFont="1" applyBorder="1" applyAlignment="1">
      <alignment horizontal="center"/>
    </xf>
    <xf numFmtId="176" fontId="3" fillId="37" borderId="12" xfId="0" applyNumberFormat="1" applyFont="1" applyFill="1" applyBorder="1" applyAlignment="1">
      <alignment horizontal="center"/>
    </xf>
    <xf numFmtId="176" fontId="3" fillId="37" borderId="0" xfId="0" applyNumberFormat="1" applyFont="1" applyFill="1" applyBorder="1" applyAlignment="1">
      <alignment horizontal="center"/>
    </xf>
    <xf numFmtId="176" fontId="3" fillId="0" borderId="12" xfId="0" applyNumberFormat="1" applyFont="1" applyFill="1" applyBorder="1" applyAlignment="1">
      <alignment horizontal="center"/>
    </xf>
    <xf numFmtId="176" fontId="3" fillId="0" borderId="0" xfId="0" applyNumberFormat="1" applyFont="1" applyFill="1" applyBorder="1" applyAlignment="1">
      <alignment horizontal="center"/>
    </xf>
    <xf numFmtId="3" fontId="1" fillId="0" borderId="0" xfId="63" applyNumberFormat="1" applyFont="1" applyFill="1" applyBorder="1" applyAlignment="1">
      <alignment horizontal="right" wrapText="1"/>
      <protection/>
    </xf>
    <xf numFmtId="177" fontId="3" fillId="0" borderId="18" xfId="0" applyNumberFormat="1" applyFont="1" applyFill="1" applyBorder="1" applyAlignment="1" applyProtection="1">
      <alignment horizontal="right" vertical="center"/>
      <protection/>
    </xf>
    <xf numFmtId="177" fontId="3" fillId="37" borderId="18" xfId="0" applyNumberFormat="1" applyFont="1" applyFill="1" applyBorder="1" applyAlignment="1" applyProtection="1">
      <alignment horizontal="right" vertical="center"/>
      <protection/>
    </xf>
    <xf numFmtId="177" fontId="3" fillId="0" borderId="15" xfId="0" applyNumberFormat="1" applyFont="1" applyFill="1" applyBorder="1" applyAlignment="1" applyProtection="1">
      <alignment horizontal="right" vertical="center"/>
      <protection/>
    </xf>
    <xf numFmtId="176" fontId="3" fillId="0" borderId="24" xfId="0" applyNumberFormat="1" applyFont="1" applyBorder="1" applyAlignment="1">
      <alignment horizontal="center"/>
    </xf>
    <xf numFmtId="176" fontId="3" fillId="37" borderId="24" xfId="0" applyNumberFormat="1" applyFont="1" applyFill="1" applyBorder="1" applyAlignment="1">
      <alignment horizontal="center"/>
    </xf>
    <xf numFmtId="176" fontId="3" fillId="0" borderId="24" xfId="0" applyNumberFormat="1" applyFont="1" applyFill="1" applyBorder="1" applyAlignment="1">
      <alignment horizontal="center"/>
    </xf>
    <xf numFmtId="176" fontId="0" fillId="0" borderId="0" xfId="0" applyNumberFormat="1" applyAlignment="1">
      <alignment/>
    </xf>
    <xf numFmtId="176" fontId="3" fillId="0" borderId="0" xfId="0" applyNumberFormat="1" applyFont="1" applyBorder="1" applyAlignment="1">
      <alignment horizontal="center"/>
    </xf>
    <xf numFmtId="176" fontId="3" fillId="37" borderId="0" xfId="0" applyNumberFormat="1" applyFont="1" applyFill="1" applyBorder="1" applyAlignment="1">
      <alignment horizontal="center"/>
    </xf>
    <xf numFmtId="176" fontId="3" fillId="0" borderId="0" xfId="0" applyNumberFormat="1" applyFont="1" applyFill="1" applyBorder="1" applyAlignment="1">
      <alignment horizontal="center"/>
    </xf>
    <xf numFmtId="176" fontId="3" fillId="37" borderId="14" xfId="0" applyNumberFormat="1" applyFont="1" applyFill="1" applyBorder="1" applyAlignment="1">
      <alignment horizontal="right"/>
    </xf>
    <xf numFmtId="176" fontId="3" fillId="0" borderId="10" xfId="0" applyNumberFormat="1" applyFont="1" applyBorder="1" applyAlignment="1">
      <alignment horizontal="center"/>
    </xf>
    <xf numFmtId="176" fontId="3" fillId="37" borderId="10" xfId="0" applyNumberFormat="1" applyFont="1" applyFill="1" applyBorder="1" applyAlignment="1">
      <alignment horizontal="center"/>
    </xf>
    <xf numFmtId="176" fontId="3" fillId="0" borderId="10" xfId="0" applyNumberFormat="1" applyFont="1" applyFill="1" applyBorder="1" applyAlignment="1">
      <alignment horizontal="center"/>
    </xf>
    <xf numFmtId="0" fontId="3"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17" fillId="37" borderId="0" xfId="0" applyFont="1" applyFill="1" applyBorder="1" applyAlignment="1">
      <alignment horizontal="center"/>
    </xf>
    <xf numFmtId="0" fontId="17" fillId="0" borderId="0" xfId="0" applyFont="1" applyFill="1" applyBorder="1" applyAlignment="1">
      <alignment horizontal="center"/>
    </xf>
    <xf numFmtId="0" fontId="0" fillId="0" borderId="0" xfId="60">
      <alignment/>
      <protection/>
    </xf>
    <xf numFmtId="0" fontId="4" fillId="35" borderId="44" xfId="0" applyFont="1" applyFill="1" applyBorder="1" applyAlignment="1">
      <alignment horizontal="center" vertical="top" wrapText="1"/>
    </xf>
    <xf numFmtId="0" fontId="4" fillId="35" borderId="20" xfId="0" applyFont="1" applyFill="1" applyBorder="1" applyAlignment="1">
      <alignment horizontal="center" vertical="top" wrapText="1"/>
    </xf>
    <xf numFmtId="0" fontId="4" fillId="35" borderId="29" xfId="0" applyFont="1" applyFill="1" applyBorder="1" applyAlignment="1">
      <alignment horizontal="center" vertical="top" wrapText="1"/>
    </xf>
    <xf numFmtId="0" fontId="4" fillId="35" borderId="19" xfId="0" applyFont="1" applyFill="1" applyBorder="1" applyAlignment="1">
      <alignment horizontal="center" vertical="top" wrapText="1"/>
    </xf>
    <xf numFmtId="0" fontId="4" fillId="35" borderId="14" xfId="0" applyFont="1" applyFill="1" applyBorder="1" applyAlignment="1">
      <alignment horizontal="center" vertical="top" wrapText="1"/>
    </xf>
    <xf numFmtId="0" fontId="3" fillId="0" borderId="12" xfId="0" applyFont="1" applyFill="1" applyBorder="1" applyAlignment="1">
      <alignment horizontal="center"/>
    </xf>
    <xf numFmtId="0" fontId="3" fillId="0" borderId="0" xfId="0" applyFont="1" applyFill="1" applyBorder="1" applyAlignment="1">
      <alignment horizontal="center"/>
    </xf>
    <xf numFmtId="169" fontId="3" fillId="0" borderId="10" xfId="0" applyNumberFormat="1" applyFont="1" applyFill="1" applyBorder="1" applyAlignment="1">
      <alignment horizontal="center"/>
    </xf>
    <xf numFmtId="0" fontId="3" fillId="36" borderId="12" xfId="0" applyFont="1" applyFill="1" applyBorder="1" applyAlignment="1">
      <alignment horizontal="center"/>
    </xf>
    <xf numFmtId="0" fontId="3" fillId="36" borderId="0" xfId="0" applyFont="1" applyFill="1" applyBorder="1" applyAlignment="1">
      <alignment horizontal="center"/>
    </xf>
    <xf numFmtId="169" fontId="3" fillId="36" borderId="10" xfId="0" applyNumberFormat="1" applyFont="1" applyFill="1" applyBorder="1" applyAlignment="1">
      <alignment horizontal="center"/>
    </xf>
    <xf numFmtId="0" fontId="3" fillId="37" borderId="12" xfId="0" applyFont="1" applyFill="1" applyBorder="1" applyAlignment="1">
      <alignment horizontal="center"/>
    </xf>
    <xf numFmtId="0" fontId="3" fillId="37" borderId="0" xfId="0" applyFont="1" applyFill="1" applyBorder="1" applyAlignment="1">
      <alignment horizontal="center"/>
    </xf>
    <xf numFmtId="169" fontId="3" fillId="37" borderId="10" xfId="0" applyNumberFormat="1"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alignment horizontal="center"/>
    </xf>
    <xf numFmtId="169" fontId="3" fillId="0" borderId="14" xfId="0" applyNumberFormat="1" applyFont="1" applyFill="1" applyBorder="1" applyAlignment="1">
      <alignment horizontal="center"/>
    </xf>
    <xf numFmtId="0" fontId="3" fillId="0" borderId="0" xfId="0" applyFont="1" applyFill="1" applyBorder="1" applyAlignment="1">
      <alignment horizontal="left"/>
    </xf>
    <xf numFmtId="169" fontId="3" fillId="0" borderId="0"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68" fontId="3" fillId="0" borderId="0" xfId="0" applyNumberFormat="1" applyFont="1" applyFill="1" applyBorder="1" applyAlignment="1">
      <alignment horizontal="center"/>
    </xf>
    <xf numFmtId="9" fontId="3" fillId="0" borderId="0" xfId="0" applyNumberFormat="1" applyFont="1" applyFill="1" applyBorder="1" applyAlignment="1">
      <alignment horizontal="center" vertical="center"/>
    </xf>
    <xf numFmtId="9" fontId="3" fillId="0" borderId="45" xfId="0" applyNumberFormat="1" applyFont="1" applyFill="1" applyBorder="1" applyAlignment="1">
      <alignment horizontal="center" vertical="center"/>
    </xf>
    <xf numFmtId="168" fontId="3" fillId="0" borderId="20" xfId="0" applyNumberFormat="1" applyFont="1" applyFill="1" applyBorder="1" applyAlignment="1">
      <alignment horizontal="center" vertical="center"/>
    </xf>
    <xf numFmtId="9" fontId="3" fillId="0" borderId="19"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3" fillId="35" borderId="46" xfId="0" applyFont="1" applyFill="1" applyBorder="1" applyAlignment="1">
      <alignment horizontal="center" vertical="center" wrapText="1"/>
    </xf>
    <xf numFmtId="0" fontId="3" fillId="35" borderId="19" xfId="0" applyFont="1" applyFill="1" applyBorder="1" applyAlignment="1">
      <alignment horizontal="center" vertical="center" wrapText="1"/>
    </xf>
    <xf numFmtId="9" fontId="3" fillId="0" borderId="16" xfId="0" applyNumberFormat="1" applyFont="1" applyFill="1" applyBorder="1" applyAlignment="1">
      <alignment horizontal="center" vertical="center"/>
    </xf>
    <xf numFmtId="168" fontId="3" fillId="0" borderId="12" xfId="0" applyNumberFormat="1" applyFont="1" applyFill="1" applyBorder="1" applyAlignment="1">
      <alignment horizontal="center" vertical="center"/>
    </xf>
    <xf numFmtId="9" fontId="3" fillId="0" borderId="47" xfId="0" applyNumberFormat="1" applyFont="1" applyFill="1" applyBorder="1" applyAlignment="1">
      <alignment horizontal="center" vertical="center"/>
    </xf>
    <xf numFmtId="0" fontId="3" fillId="35" borderId="12" xfId="0" applyFont="1" applyFill="1" applyBorder="1" applyAlignment="1">
      <alignment vertical="top" wrapText="1"/>
    </xf>
    <xf numFmtId="0" fontId="4" fillId="35" borderId="0" xfId="0" applyFont="1" applyFill="1" applyBorder="1" applyAlignment="1">
      <alignment vertical="top" wrapText="1"/>
    </xf>
    <xf numFmtId="168" fontId="3" fillId="0" borderId="48" xfId="0" applyNumberFormat="1" applyFont="1" applyFill="1" applyBorder="1" applyAlignment="1">
      <alignment horizontal="center" vertical="center"/>
    </xf>
    <xf numFmtId="175" fontId="3" fillId="0" borderId="19" xfId="0" applyNumberFormat="1" applyFont="1" applyFill="1" applyBorder="1" applyAlignment="1">
      <alignment/>
    </xf>
    <xf numFmtId="10" fontId="3" fillId="0" borderId="18" xfId="0" applyNumberFormat="1" applyFont="1" applyBorder="1" applyAlignment="1">
      <alignment horizontal="center"/>
    </xf>
    <xf numFmtId="10" fontId="3" fillId="0" borderId="12" xfId="0" applyNumberFormat="1" applyFont="1" applyFill="1" applyBorder="1" applyAlignment="1">
      <alignment horizontal="center"/>
    </xf>
    <xf numFmtId="10" fontId="12" fillId="0" borderId="18" xfId="0" applyNumberFormat="1" applyFont="1" applyFill="1" applyBorder="1" applyAlignment="1">
      <alignment horizontal="center"/>
    </xf>
    <xf numFmtId="172" fontId="3" fillId="0" borderId="18" xfId="0"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3" fillId="0" borderId="19" xfId="0" applyNumberFormat="1" applyFont="1" applyFill="1" applyBorder="1" applyAlignment="1">
      <alignment horizontal="right" vertical="center"/>
    </xf>
    <xf numFmtId="0" fontId="4" fillId="0" borderId="10" xfId="0" applyFont="1" applyFill="1" applyBorder="1" applyAlignment="1">
      <alignment horizontal="center" vertical="top" wrapText="1"/>
    </xf>
    <xf numFmtId="0" fontId="4" fillId="35" borderId="22" xfId="0" applyFont="1" applyFill="1" applyBorder="1" applyAlignment="1">
      <alignment horizontal="center" vertical="top"/>
    </xf>
    <xf numFmtId="0" fontId="4" fillId="35" borderId="25" xfId="0" applyFont="1" applyFill="1" applyBorder="1" applyAlignment="1">
      <alignment horizontal="center" vertical="top"/>
    </xf>
    <xf numFmtId="0" fontId="4" fillId="35" borderId="18" xfId="0" applyFont="1" applyFill="1" applyBorder="1" applyAlignment="1">
      <alignment horizontal="center" vertical="top"/>
    </xf>
    <xf numFmtId="0" fontId="4" fillId="0" borderId="10" xfId="0" applyFont="1" applyFill="1" applyBorder="1" applyAlignment="1">
      <alignment horizontal="center"/>
    </xf>
    <xf numFmtId="0" fontId="4" fillId="35" borderId="15" xfId="0" applyFont="1" applyFill="1" applyBorder="1" applyAlignment="1">
      <alignment horizontal="center" vertical="top" wrapText="1"/>
    </xf>
    <xf numFmtId="1" fontId="4" fillId="36" borderId="17"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 fontId="4" fillId="36" borderId="18"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 fontId="4" fillId="36" borderId="15"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0" fontId="4" fillId="35" borderId="22" xfId="0" applyFont="1" applyFill="1" applyBorder="1" applyAlignment="1">
      <alignment horizontal="center" vertical="top" wrapText="1"/>
    </xf>
    <xf numFmtId="0" fontId="4" fillId="35" borderId="25" xfId="0" applyFont="1" applyFill="1" applyBorder="1" applyAlignment="1">
      <alignment horizontal="center"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60" applyFont="1">
      <alignment/>
      <protection/>
    </xf>
    <xf numFmtId="0" fontId="5" fillId="0" borderId="0" xfId="60" applyFont="1" applyBorder="1" applyAlignment="1" quotePrefix="1">
      <alignment horizontal="left" vertical="top"/>
      <protection/>
    </xf>
    <xf numFmtId="0" fontId="18" fillId="0" borderId="0" xfId="60" applyFont="1" applyFill="1" applyBorder="1" applyAlignment="1">
      <alignment horizontal="center" vertical="center"/>
      <protection/>
    </xf>
    <xf numFmtId="0" fontId="6" fillId="0" borderId="0" xfId="60" applyFont="1" applyBorder="1">
      <alignment/>
      <protection/>
    </xf>
    <xf numFmtId="0" fontId="6" fillId="0" borderId="0" xfId="60" applyFont="1">
      <alignment/>
      <protection/>
    </xf>
    <xf numFmtId="0" fontId="5" fillId="0" borderId="0" xfId="60" applyFont="1" applyBorder="1" applyAlignment="1" quotePrefix="1">
      <alignment horizontal="right" vertical="top"/>
      <protection/>
    </xf>
    <xf numFmtId="0" fontId="3" fillId="0" borderId="19" xfId="60" applyFont="1" applyBorder="1" applyAlignment="1">
      <alignment horizontal="right" vertical="center"/>
      <protection/>
    </xf>
    <xf numFmtId="0" fontId="7" fillId="0" borderId="0" xfId="60" applyFont="1" applyAlignment="1">
      <alignment horizontal="center"/>
      <protection/>
    </xf>
    <xf numFmtId="0" fontId="4" fillId="40" borderId="21" xfId="60" applyFont="1" applyFill="1" applyBorder="1" applyAlignment="1">
      <alignment horizontal="center"/>
      <protection/>
    </xf>
    <xf numFmtId="0" fontId="3" fillId="40" borderId="16" xfId="60" applyFont="1" applyFill="1" applyBorder="1">
      <alignment/>
      <protection/>
    </xf>
    <xf numFmtId="0" fontId="3" fillId="40" borderId="13" xfId="60" applyFont="1" applyFill="1" applyBorder="1">
      <alignment/>
      <protection/>
    </xf>
    <xf numFmtId="0" fontId="4" fillId="40" borderId="16" xfId="60" applyFont="1" applyFill="1" applyBorder="1" applyAlignment="1">
      <alignment horizontal="center"/>
      <protection/>
    </xf>
    <xf numFmtId="0" fontId="15" fillId="40" borderId="17" xfId="60" applyFont="1" applyFill="1" applyBorder="1" applyAlignment="1">
      <alignment horizontal="center"/>
      <protection/>
    </xf>
    <xf numFmtId="0" fontId="4" fillId="40" borderId="12" xfId="60" applyFont="1" applyFill="1" applyBorder="1" applyAlignment="1">
      <alignment horizontal="center"/>
      <protection/>
    </xf>
    <xf numFmtId="0" fontId="4" fillId="40" borderId="0" xfId="60" applyFont="1" applyFill="1" applyBorder="1">
      <alignment/>
      <protection/>
    </xf>
    <xf numFmtId="0" fontId="4" fillId="40" borderId="10" xfId="60" applyFont="1" applyFill="1" applyBorder="1" applyAlignment="1">
      <alignment horizontal="right"/>
      <protection/>
    </xf>
    <xf numFmtId="0" fontId="4" fillId="40" borderId="0" xfId="60" applyFont="1" applyFill="1" applyBorder="1" applyAlignment="1">
      <alignment horizontal="center"/>
      <protection/>
    </xf>
    <xf numFmtId="0" fontId="15" fillId="40" borderId="18" xfId="60" applyFont="1" applyFill="1" applyBorder="1" applyAlignment="1" quotePrefix="1">
      <alignment horizontal="center"/>
      <protection/>
    </xf>
    <xf numFmtId="0" fontId="16" fillId="40" borderId="20" xfId="60" applyFont="1" applyFill="1" applyBorder="1" applyAlignment="1">
      <alignment horizontal="center"/>
      <protection/>
    </xf>
    <xf numFmtId="0" fontId="19" fillId="40" borderId="19" xfId="60" applyFont="1" applyFill="1" applyBorder="1">
      <alignment/>
      <protection/>
    </xf>
    <xf numFmtId="0" fontId="19" fillId="40" borderId="14" xfId="60" applyFont="1" applyFill="1" applyBorder="1">
      <alignment/>
      <protection/>
    </xf>
    <xf numFmtId="0" fontId="4" fillId="40" borderId="20" xfId="60" applyFont="1" applyFill="1" applyBorder="1" applyAlignment="1">
      <alignment horizontal="right"/>
      <protection/>
    </xf>
    <xf numFmtId="0" fontId="4" fillId="40" borderId="19" xfId="60" applyFont="1" applyFill="1" applyBorder="1" applyAlignment="1">
      <alignment horizontal="right"/>
      <protection/>
    </xf>
    <xf numFmtId="0" fontId="4" fillId="40" borderId="15" xfId="60" applyFont="1" applyFill="1" applyBorder="1" applyAlignment="1">
      <alignment horizontal="center"/>
      <protection/>
    </xf>
    <xf numFmtId="0" fontId="3" fillId="0" borderId="0" xfId="60" applyFont="1" applyFill="1" applyAlignment="1">
      <alignment horizontal="center" vertical="center"/>
      <protection/>
    </xf>
    <xf numFmtId="0" fontId="4" fillId="0" borderId="0" xfId="60" applyFont="1" applyFill="1" applyAlignment="1">
      <alignment horizontal="center" vertical="center"/>
      <protection/>
    </xf>
    <xf numFmtId="0" fontId="3" fillId="0" borderId="0" xfId="60" applyFont="1" applyFill="1" applyAlignment="1">
      <alignment horizontal="center"/>
      <protection/>
    </xf>
    <xf numFmtId="2" fontId="3" fillId="0" borderId="12" xfId="60" applyNumberFormat="1" applyFont="1" applyFill="1" applyBorder="1">
      <alignment/>
      <protection/>
    </xf>
    <xf numFmtId="2" fontId="3" fillId="0" borderId="18" xfId="60" applyNumberFormat="1" applyFont="1" applyFill="1" applyBorder="1">
      <alignment/>
      <protection/>
    </xf>
    <xf numFmtId="2" fontId="12" fillId="0" borderId="0" xfId="60" applyNumberFormat="1" applyFont="1" applyFill="1" applyBorder="1" applyAlignment="1">
      <alignment horizontal="right"/>
      <protection/>
    </xf>
    <xf numFmtId="2" fontId="3" fillId="0" borderId="0" xfId="60" applyNumberFormat="1" applyFont="1" applyFill="1" applyBorder="1" applyAlignment="1">
      <alignment horizontal="right"/>
      <protection/>
    </xf>
    <xf numFmtId="2" fontId="3" fillId="0" borderId="18" xfId="60" applyNumberFormat="1" applyFont="1" applyFill="1" applyBorder="1" applyAlignment="1">
      <alignment horizontal="right"/>
      <protection/>
    </xf>
    <xf numFmtId="2" fontId="3" fillId="37" borderId="12" xfId="60" applyNumberFormat="1" applyFont="1" applyFill="1" applyBorder="1">
      <alignment/>
      <protection/>
    </xf>
    <xf numFmtId="2" fontId="3" fillId="37" borderId="18" xfId="60" applyNumberFormat="1" applyFont="1" applyFill="1" applyBorder="1">
      <alignment/>
      <protection/>
    </xf>
    <xf numFmtId="2" fontId="3" fillId="37" borderId="0" xfId="60" applyNumberFormat="1" applyFont="1" applyFill="1" applyBorder="1" applyAlignment="1">
      <alignment horizontal="right"/>
      <protection/>
    </xf>
    <xf numFmtId="2" fontId="3" fillId="37" borderId="18" xfId="60" applyNumberFormat="1" applyFont="1" applyFill="1" applyBorder="1" applyAlignment="1">
      <alignment horizontal="right"/>
      <protection/>
    </xf>
    <xf numFmtId="2" fontId="12" fillId="37" borderId="0" xfId="60" applyNumberFormat="1" applyFont="1" applyFill="1" applyBorder="1" applyAlignment="1">
      <alignment horizontal="right"/>
      <protection/>
    </xf>
    <xf numFmtId="0" fontId="0" fillId="0" borderId="0" xfId="60" applyFill="1">
      <alignment/>
      <protection/>
    </xf>
    <xf numFmtId="2" fontId="3" fillId="37" borderId="15" xfId="60" applyNumberFormat="1" applyFont="1" applyFill="1" applyBorder="1">
      <alignment/>
      <protection/>
    </xf>
    <xf numFmtId="2" fontId="3" fillId="37" borderId="15" xfId="60" applyNumberFormat="1" applyFont="1" applyFill="1" applyBorder="1" applyAlignment="1">
      <alignment horizontal="right"/>
      <protection/>
    </xf>
    <xf numFmtId="2" fontId="3" fillId="0" borderId="0" xfId="60" applyNumberFormat="1" applyFont="1" applyFill="1" applyBorder="1">
      <alignment/>
      <protection/>
    </xf>
    <xf numFmtId="0" fontId="3" fillId="0" borderId="0" xfId="60" applyNumberFormat="1" applyFont="1" applyFill="1" applyBorder="1" applyAlignment="1">
      <alignment/>
      <protection/>
    </xf>
    <xf numFmtId="2" fontId="3" fillId="37" borderId="19" xfId="60" applyNumberFormat="1" applyFont="1" applyFill="1" applyBorder="1" applyAlignment="1">
      <alignment horizontal="right"/>
      <protection/>
    </xf>
    <xf numFmtId="0" fontId="3" fillId="0" borderId="0" xfId="60" applyFont="1" applyFill="1" applyBorder="1">
      <alignment/>
      <protection/>
    </xf>
    <xf numFmtId="0" fontId="4" fillId="0" borderId="0" xfId="60" applyFont="1" applyBorder="1" applyAlignment="1">
      <alignment wrapText="1"/>
      <protection/>
    </xf>
    <xf numFmtId="0" fontId="4" fillId="0" borderId="0" xfId="60" applyFont="1" applyBorder="1" applyAlignment="1">
      <alignment horizontal="left" wrapText="1"/>
      <protection/>
    </xf>
    <xf numFmtId="177" fontId="3" fillId="37" borderId="0"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right" vertical="center"/>
      <protection/>
    </xf>
    <xf numFmtId="177" fontId="3" fillId="0" borderId="10" xfId="0" applyNumberFormat="1" applyFont="1" applyFill="1" applyBorder="1" applyAlignment="1" applyProtection="1">
      <alignment horizontal="right" vertical="center"/>
      <protection/>
    </xf>
    <xf numFmtId="177" fontId="3" fillId="37" borderId="10" xfId="0" applyNumberFormat="1" applyFont="1" applyFill="1" applyBorder="1" applyAlignment="1" applyProtection="1">
      <alignment horizontal="right" vertical="center"/>
      <protection/>
    </xf>
    <xf numFmtId="177" fontId="3" fillId="0" borderId="14" xfId="0" applyNumberFormat="1" applyFont="1" applyFill="1" applyBorder="1" applyAlignment="1" applyProtection="1">
      <alignment horizontal="right" vertical="center"/>
      <protection/>
    </xf>
    <xf numFmtId="177" fontId="3" fillId="0" borderId="19"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left" vertical="center"/>
      <protection/>
    </xf>
    <xf numFmtId="177" fontId="3" fillId="37" borderId="0" xfId="0" applyNumberFormat="1" applyFont="1" applyFill="1" applyBorder="1" applyAlignment="1" applyProtection="1">
      <alignment horizontal="left" vertical="center"/>
      <protection/>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3" fillId="0" borderId="0" xfId="0" applyFont="1" applyAlignment="1" quotePrefix="1">
      <alignment vertical="top" wrapText="1"/>
    </xf>
    <xf numFmtId="0" fontId="3" fillId="37" borderId="12" xfId="0" applyFont="1" applyFill="1" applyBorder="1" applyAlignment="1">
      <alignment/>
    </xf>
    <xf numFmtId="175" fontId="3" fillId="37" borderId="0" xfId="0" applyNumberFormat="1" applyFont="1" applyFill="1" applyBorder="1" applyAlignment="1">
      <alignment vertical="center"/>
    </xf>
    <xf numFmtId="175" fontId="3" fillId="0" borderId="0" xfId="0" applyNumberFormat="1" applyFont="1" applyFill="1" applyBorder="1" applyAlignment="1">
      <alignment vertical="center"/>
    </xf>
    <xf numFmtId="175" fontId="3" fillId="37" borderId="1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49" xfId="63" applyFont="1" applyFill="1" applyBorder="1" applyAlignment="1">
      <alignment wrapText="1"/>
      <protection/>
    </xf>
    <xf numFmtId="16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5" fillId="0" borderId="0" xfId="0" applyFont="1" applyFill="1" applyBorder="1" applyAlignment="1">
      <alignment horizontal="center" vertical="center" wrapText="1"/>
    </xf>
    <xf numFmtId="0" fontId="15" fillId="0" borderId="0" xfId="0" applyFont="1" applyFill="1" applyBorder="1" applyAlignment="1" quotePrefix="1">
      <alignment horizontal="center" vertical="center" wrapText="1"/>
    </xf>
    <xf numFmtId="167" fontId="0" fillId="0" borderId="0" xfId="0" applyNumberFormat="1" applyFill="1" applyAlignment="1">
      <alignment/>
    </xf>
    <xf numFmtId="169" fontId="0" fillId="0" borderId="0" xfId="0" applyNumberFormat="1" applyFill="1" applyAlignment="1">
      <alignment/>
    </xf>
    <xf numFmtId="0" fontId="3" fillId="0" borderId="19"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37" borderId="13" xfId="0" applyFont="1" applyFill="1" applyBorder="1" applyAlignment="1">
      <alignment vertical="center"/>
    </xf>
    <xf numFmtId="0" fontId="3" fillId="37" borderId="10" xfId="0" applyFont="1" applyFill="1" applyBorder="1" applyAlignment="1">
      <alignment vertical="center"/>
    </xf>
    <xf numFmtId="0" fontId="3" fillId="37" borderId="21" xfId="0" applyFont="1" applyFill="1" applyBorder="1" applyAlignment="1">
      <alignment vertical="center"/>
    </xf>
    <xf numFmtId="0" fontId="3" fillId="37" borderId="12" xfId="0" applyFont="1" applyFill="1" applyBorder="1" applyAlignment="1">
      <alignment vertical="center"/>
    </xf>
    <xf numFmtId="168" fontId="3" fillId="0" borderId="15" xfId="0" applyNumberFormat="1" applyFont="1" applyFill="1" applyBorder="1" applyAlignment="1">
      <alignment horizontal="right" vertical="center"/>
    </xf>
    <xf numFmtId="168" fontId="3" fillId="0" borderId="18" xfId="0" applyNumberFormat="1" applyFont="1" applyFill="1" applyBorder="1" applyAlignment="1">
      <alignment/>
    </xf>
    <xf numFmtId="168" fontId="3" fillId="37" borderId="18" xfId="0" applyNumberFormat="1" applyFont="1" applyFill="1" applyBorder="1" applyAlignment="1">
      <alignment/>
    </xf>
    <xf numFmtId="168" fontId="3" fillId="0" borderId="17" xfId="0" applyNumberFormat="1" applyFont="1" applyFill="1" applyBorder="1" applyAlignment="1">
      <alignment/>
    </xf>
    <xf numFmtId="168" fontId="3" fillId="37" borderId="18" xfId="0" applyNumberFormat="1" applyFont="1" applyFill="1" applyBorder="1" applyAlignment="1">
      <alignment/>
    </xf>
    <xf numFmtId="168" fontId="3" fillId="0" borderId="18" xfId="0" applyNumberFormat="1" applyFont="1" applyFill="1" applyBorder="1" applyAlignment="1">
      <alignment/>
    </xf>
    <xf numFmtId="177" fontId="3" fillId="0" borderId="12" xfId="0" applyNumberFormat="1" applyFont="1" applyFill="1" applyBorder="1" applyAlignment="1" applyProtection="1">
      <alignment horizontal="left" vertical="center"/>
      <protection/>
    </xf>
    <xf numFmtId="177" fontId="3" fillId="37" borderId="12" xfId="0" applyNumberFormat="1" applyFont="1" applyFill="1" applyBorder="1" applyAlignment="1" applyProtection="1">
      <alignment horizontal="left" vertical="center"/>
      <protection/>
    </xf>
    <xf numFmtId="177" fontId="3" fillId="0" borderId="20" xfId="0" applyNumberFormat="1" applyFont="1" applyFill="1" applyBorder="1" applyAlignment="1" applyProtection="1">
      <alignment horizontal="left" vertical="center"/>
      <protection/>
    </xf>
    <xf numFmtId="169" fontId="3" fillId="36" borderId="10" xfId="0" applyNumberFormat="1" applyFont="1" applyFill="1" applyBorder="1" applyAlignment="1">
      <alignment horizontal="right" vertical="center"/>
    </xf>
    <xf numFmtId="169" fontId="3" fillId="0" borderId="10" xfId="0" applyNumberFormat="1" applyFont="1" applyFill="1" applyBorder="1" applyAlignment="1">
      <alignment horizontal="right" vertical="center"/>
    </xf>
    <xf numFmtId="169" fontId="3" fillId="37" borderId="0" xfId="0" applyNumberFormat="1" applyFont="1" applyFill="1" applyBorder="1" applyAlignment="1">
      <alignment vertical="center"/>
    </xf>
    <xf numFmtId="169" fontId="3" fillId="0" borderId="0" xfId="0" applyNumberFormat="1" applyFont="1" applyFill="1" applyBorder="1" applyAlignment="1">
      <alignment vertical="center"/>
    </xf>
    <xf numFmtId="2" fontId="3" fillId="37" borderId="20" xfId="60" applyNumberFormat="1" applyFont="1" applyFill="1" applyBorder="1">
      <alignment/>
      <protection/>
    </xf>
    <xf numFmtId="175" fontId="3" fillId="0" borderId="10" xfId="0" applyNumberFormat="1" applyFont="1" applyFill="1" applyBorder="1" applyAlignment="1">
      <alignment vertical="center"/>
    </xf>
    <xf numFmtId="175" fontId="3" fillId="0" borderId="50" xfId="0" applyNumberFormat="1" applyFont="1" applyFill="1" applyBorder="1" applyAlignment="1">
      <alignment vertical="center"/>
    </xf>
    <xf numFmtId="175" fontId="3" fillId="37" borderId="50" xfId="0" applyNumberFormat="1" applyFont="1" applyFill="1" applyBorder="1" applyAlignment="1">
      <alignment vertical="center"/>
    </xf>
    <xf numFmtId="2" fontId="4" fillId="0" borderId="17" xfId="0" applyNumberFormat="1" applyFont="1" applyFill="1" applyBorder="1" applyAlignment="1">
      <alignment horizontal="center"/>
    </xf>
    <xf numFmtId="176" fontId="3" fillId="0" borderId="16" xfId="0" applyNumberFormat="1" applyFont="1" applyFill="1" applyBorder="1" applyAlignment="1">
      <alignment horizontal="right"/>
    </xf>
    <xf numFmtId="176" fontId="3" fillId="0" borderId="21" xfId="0" applyNumberFormat="1" applyFont="1" applyFill="1" applyBorder="1" applyAlignment="1">
      <alignment horizontal="right"/>
    </xf>
    <xf numFmtId="176" fontId="3" fillId="0" borderId="51" xfId="0" applyNumberFormat="1" applyFont="1" applyFill="1" applyBorder="1" applyAlignment="1">
      <alignment horizontal="right"/>
    </xf>
    <xf numFmtId="176" fontId="3" fillId="0" borderId="13" xfId="0" applyNumberFormat="1" applyFont="1" applyFill="1" applyBorder="1" applyAlignment="1">
      <alignment horizontal="right"/>
    </xf>
    <xf numFmtId="0" fontId="3" fillId="0" borderId="20" xfId="0" applyFont="1" applyFill="1" applyBorder="1" applyAlignment="1">
      <alignment vertical="center"/>
    </xf>
    <xf numFmtId="0" fontId="3" fillId="37" borderId="16" xfId="0" applyFont="1" applyFill="1" applyBorder="1" applyAlignment="1">
      <alignment vertical="center"/>
    </xf>
    <xf numFmtId="169" fontId="3" fillId="37" borderId="16" xfId="0" applyNumberFormat="1" applyFont="1" applyFill="1" applyBorder="1" applyAlignment="1">
      <alignment vertical="center"/>
    </xf>
    <xf numFmtId="169" fontId="3" fillId="0" borderId="19" xfId="0" applyNumberFormat="1" applyFont="1" applyFill="1" applyBorder="1" applyAlignment="1">
      <alignment vertical="center"/>
    </xf>
    <xf numFmtId="9" fontId="3" fillId="0" borderId="12" xfId="0" applyNumberFormat="1" applyFont="1" applyFill="1" applyBorder="1" applyAlignment="1">
      <alignment horizontal="center" vertical="center"/>
    </xf>
    <xf numFmtId="0" fontId="4" fillId="36" borderId="39" xfId="0" applyFont="1" applyFill="1" applyBorder="1" applyAlignment="1">
      <alignment horizontal="center" vertical="center" wrapText="1"/>
    </xf>
    <xf numFmtId="9" fontId="3" fillId="0" borderId="52" xfId="0" applyNumberFormat="1" applyFont="1" applyFill="1" applyBorder="1" applyAlignment="1">
      <alignment horizontal="center" vertical="center"/>
    </xf>
    <xf numFmtId="9" fontId="3" fillId="0" borderId="53" xfId="0" applyNumberFormat="1" applyFont="1" applyFill="1" applyBorder="1" applyAlignment="1">
      <alignment horizontal="center" vertical="center"/>
    </xf>
    <xf numFmtId="9" fontId="3" fillId="0" borderId="48" xfId="0" applyNumberFormat="1" applyFont="1" applyFill="1" applyBorder="1" applyAlignment="1">
      <alignment horizontal="center" vertical="center"/>
    </xf>
    <xf numFmtId="9" fontId="3" fillId="0" borderId="42" xfId="0" applyNumberFormat="1" applyFont="1" applyFill="1" applyBorder="1" applyAlignment="1">
      <alignment horizontal="center" vertical="center"/>
    </xf>
    <xf numFmtId="0" fontId="4" fillId="36" borderId="20" xfId="0" applyFont="1" applyFill="1" applyBorder="1" applyAlignment="1">
      <alignment horizontal="center" vertical="center"/>
    </xf>
    <xf numFmtId="176" fontId="4" fillId="0" borderId="18" xfId="0" applyNumberFormat="1" applyFont="1" applyFill="1" applyBorder="1" applyAlignment="1">
      <alignment horizontal="center" vertical="center"/>
    </xf>
    <xf numFmtId="10" fontId="3" fillId="0" borderId="21" xfId="0" applyNumberFormat="1" applyFont="1" applyBorder="1" applyAlignment="1">
      <alignment horizontal="center"/>
    </xf>
    <xf numFmtId="10" fontId="3" fillId="37" borderId="12" xfId="0" applyNumberFormat="1" applyFont="1" applyFill="1" applyBorder="1" applyAlignment="1">
      <alignment horizontal="center"/>
    </xf>
    <xf numFmtId="10" fontId="3" fillId="0" borderId="54" xfId="0" applyNumberFormat="1" applyFont="1" applyFill="1" applyBorder="1" applyAlignment="1">
      <alignment horizontal="center"/>
    </xf>
    <xf numFmtId="10" fontId="3" fillId="37" borderId="55" xfId="0" applyNumberFormat="1" applyFont="1" applyFill="1" applyBorder="1" applyAlignment="1">
      <alignment horizontal="center"/>
    </xf>
    <xf numFmtId="167" fontId="3" fillId="0" borderId="0" xfId="0" applyNumberFormat="1" applyFont="1" applyFill="1" applyBorder="1" applyAlignment="1">
      <alignment horizontal="right" vertical="center"/>
    </xf>
    <xf numFmtId="0" fontId="4" fillId="37" borderId="17"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20" xfId="0" applyFont="1" applyFill="1" applyBorder="1" applyAlignment="1">
      <alignment horizontal="center" vertical="center"/>
    </xf>
    <xf numFmtId="2" fontId="3" fillId="37" borderId="0" xfId="60" applyNumberFormat="1" applyFont="1" applyFill="1" applyBorder="1">
      <alignment/>
      <protection/>
    </xf>
    <xf numFmtId="175" fontId="3" fillId="0" borderId="10" xfId="0" applyNumberFormat="1" applyFont="1" applyFill="1" applyBorder="1" applyAlignment="1">
      <alignment/>
    </xf>
    <xf numFmtId="175" fontId="3" fillId="37" borderId="10" xfId="0" applyNumberFormat="1" applyFont="1" applyFill="1" applyBorder="1" applyAlignment="1">
      <alignment/>
    </xf>
    <xf numFmtId="175" fontId="3" fillId="0" borderId="10" xfId="0" applyNumberFormat="1" applyFont="1" applyFill="1" applyBorder="1" applyAlignment="1">
      <alignment/>
    </xf>
    <xf numFmtId="175" fontId="3" fillId="0" borderId="12" xfId="0" applyNumberFormat="1" applyFont="1" applyFill="1" applyBorder="1" applyAlignment="1">
      <alignment vertical="center"/>
    </xf>
    <xf numFmtId="175" fontId="3" fillId="0" borderId="56" xfId="0" applyNumberFormat="1" applyFont="1" applyFill="1" applyBorder="1" applyAlignment="1">
      <alignment vertical="center"/>
    </xf>
    <xf numFmtId="175" fontId="3" fillId="37" borderId="50" xfId="0" applyNumberFormat="1" applyFont="1" applyFill="1" applyBorder="1" applyAlignment="1">
      <alignment/>
    </xf>
    <xf numFmtId="175" fontId="12" fillId="37" borderId="12" xfId="0" applyNumberFormat="1" applyFont="1" applyFill="1" applyBorder="1" applyAlignment="1">
      <alignment vertical="center"/>
    </xf>
    <xf numFmtId="169" fontId="3" fillId="36" borderId="0"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9" fontId="3" fillId="37" borderId="10" xfId="0" applyNumberFormat="1" applyFont="1" applyFill="1" applyBorder="1" applyAlignment="1">
      <alignment vertical="center"/>
    </xf>
    <xf numFmtId="169" fontId="3" fillId="0" borderId="10" xfId="0" applyNumberFormat="1" applyFont="1" applyFill="1" applyBorder="1" applyAlignment="1">
      <alignment vertical="center"/>
    </xf>
    <xf numFmtId="168" fontId="3" fillId="37" borderId="18" xfId="0" applyNumberFormat="1" applyFont="1" applyFill="1" applyBorder="1" applyAlignment="1">
      <alignment horizontal="right" vertical="center"/>
    </xf>
    <xf numFmtId="168" fontId="3" fillId="37" borderId="17" xfId="0" applyNumberFormat="1" applyFont="1" applyFill="1" applyBorder="1" applyAlignment="1">
      <alignment horizontal="right" vertical="center"/>
    </xf>
    <xf numFmtId="168" fontId="0" fillId="0" borderId="0" xfId="0" applyNumberFormat="1" applyAlignment="1">
      <alignment/>
    </xf>
    <xf numFmtId="0" fontId="3" fillId="0" borderId="19" xfId="0" applyFont="1" applyFill="1" applyBorder="1" applyAlignment="1">
      <alignment/>
    </xf>
    <xf numFmtId="0" fontId="17" fillId="0" borderId="14" xfId="0" applyFont="1" applyFill="1" applyBorder="1" applyAlignment="1">
      <alignment horizontal="center"/>
    </xf>
    <xf numFmtId="168" fontId="3" fillId="0" borderId="15" xfId="0" applyNumberFormat="1" applyFont="1" applyFill="1" applyBorder="1" applyAlignment="1">
      <alignment/>
    </xf>
    <xf numFmtId="165" fontId="4" fillId="0" borderId="1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2" fontId="3" fillId="0" borderId="10" xfId="42" applyNumberFormat="1" applyFont="1" applyFill="1" applyBorder="1" applyAlignment="1" applyProtection="1">
      <alignment vertical="center"/>
      <protection/>
    </xf>
    <xf numFmtId="2" fontId="3" fillId="37" borderId="10" xfId="42" applyNumberFormat="1" applyFont="1" applyFill="1" applyBorder="1" applyAlignment="1" applyProtection="1">
      <alignment vertical="center"/>
      <protection/>
    </xf>
    <xf numFmtId="2" fontId="3" fillId="37" borderId="10" xfId="42" applyNumberFormat="1" applyFont="1" applyFill="1" applyBorder="1" applyAlignment="1" applyProtection="1">
      <alignment horizontal="right" vertical="center"/>
      <protection/>
    </xf>
    <xf numFmtId="2" fontId="12" fillId="0" borderId="10" xfId="60" applyNumberFormat="1" applyFont="1" applyFill="1" applyBorder="1" applyAlignment="1">
      <alignment horizontal="left"/>
      <protection/>
    </xf>
    <xf numFmtId="2" fontId="12" fillId="37" borderId="10" xfId="60" applyNumberFormat="1" applyFont="1" applyFill="1" applyBorder="1" applyAlignment="1">
      <alignment horizontal="left"/>
      <protection/>
    </xf>
    <xf numFmtId="2" fontId="12" fillId="37" borderId="14" xfId="60" applyNumberFormat="1" applyFont="1" applyFill="1" applyBorder="1" applyAlignment="1">
      <alignment horizontal="left"/>
      <protection/>
    </xf>
    <xf numFmtId="0" fontId="4" fillId="0" borderId="0" xfId="0" applyFont="1" applyFill="1" applyBorder="1" applyAlignment="1">
      <alignment wrapText="1"/>
    </xf>
    <xf numFmtId="0" fontId="3" fillId="0" borderId="0" xfId="0" applyFont="1" applyFill="1" applyBorder="1" applyAlignment="1" quotePrefix="1">
      <alignment horizontal="center" vertical="center" wrapText="1"/>
    </xf>
    <xf numFmtId="168" fontId="3" fillId="0" borderId="0" xfId="0" applyNumberFormat="1" applyFont="1" applyFill="1" applyBorder="1" applyAlignment="1">
      <alignment horizontal="right" vertical="center"/>
    </xf>
    <xf numFmtId="0" fontId="4" fillId="37" borderId="12" xfId="0" applyFont="1" applyFill="1" applyBorder="1" applyAlignment="1">
      <alignment horizontal="left" vertical="center"/>
    </xf>
    <xf numFmtId="0" fontId="4" fillId="35" borderId="0" xfId="0" applyFont="1" applyFill="1" applyBorder="1" applyAlignment="1">
      <alignment horizontal="center"/>
    </xf>
    <xf numFmtId="0" fontId="3" fillId="37" borderId="14" xfId="0" applyFont="1" applyFill="1" applyBorder="1" applyAlignment="1">
      <alignment/>
    </xf>
    <xf numFmtId="10" fontId="12" fillId="0" borderId="12" xfId="0" applyNumberFormat="1" applyFont="1" applyFill="1" applyBorder="1" applyAlignment="1">
      <alignment horizontal="center"/>
    </xf>
    <xf numFmtId="10" fontId="3" fillId="37" borderId="50" xfId="0" applyNumberFormat="1" applyFont="1" applyFill="1" applyBorder="1" applyAlignment="1">
      <alignment horizontal="center"/>
    </xf>
    <xf numFmtId="10" fontId="3" fillId="37" borderId="20" xfId="0" applyNumberFormat="1" applyFont="1" applyFill="1" applyBorder="1" applyAlignment="1">
      <alignment horizontal="center"/>
    </xf>
    <xf numFmtId="10" fontId="3" fillId="0" borderId="20" xfId="0" applyNumberFormat="1" applyFont="1" applyFill="1" applyBorder="1" applyAlignment="1">
      <alignment horizontal="center"/>
    </xf>
    <xf numFmtId="0" fontId="0" fillId="0" borderId="0" xfId="0" applyAlignment="1">
      <alignment wrapText="1"/>
    </xf>
    <xf numFmtId="0" fontId="0" fillId="0" borderId="0" xfId="0" applyBorder="1" applyAlignment="1">
      <alignment wrapText="1"/>
    </xf>
    <xf numFmtId="10" fontId="3" fillId="0" borderId="55" xfId="0" applyNumberFormat="1" applyFont="1" applyFill="1" applyBorder="1" applyAlignment="1">
      <alignment horizontal="center"/>
    </xf>
    <xf numFmtId="10" fontId="12" fillId="37" borderId="18" xfId="0" applyNumberFormat="1" applyFont="1" applyFill="1" applyBorder="1" applyAlignment="1">
      <alignment horizontal="center"/>
    </xf>
    <xf numFmtId="10" fontId="12" fillId="0" borderId="17" xfId="0" applyNumberFormat="1" applyFont="1" applyBorder="1" applyAlignment="1">
      <alignment horizontal="center"/>
    </xf>
    <xf numFmtId="0" fontId="4" fillId="0" borderId="0" xfId="0" applyFont="1" applyBorder="1" applyAlignment="1">
      <alignment horizontal="left" wrapText="1"/>
    </xf>
    <xf numFmtId="0" fontId="4" fillId="35" borderId="10" xfId="0" applyFont="1" applyFill="1" applyBorder="1" applyAlignment="1">
      <alignment horizontal="center"/>
    </xf>
    <xf numFmtId="0" fontId="4" fillId="35" borderId="13" xfId="0" applyFont="1" applyFill="1" applyBorder="1" applyAlignment="1">
      <alignment horizontal="center" wrapText="1"/>
    </xf>
    <xf numFmtId="0" fontId="3" fillId="35" borderId="10"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5" borderId="13" xfId="0" applyFont="1" applyFill="1" applyBorder="1" applyAlignment="1">
      <alignment horizontal="center" vertical="center"/>
    </xf>
    <xf numFmtId="0" fontId="4" fillId="36" borderId="20" xfId="0" applyFont="1" applyFill="1" applyBorder="1" applyAlignment="1">
      <alignment horizontal="center" vertical="center" wrapText="1"/>
    </xf>
    <xf numFmtId="9" fontId="3" fillId="0" borderId="19" xfId="0" applyNumberFormat="1" applyFont="1" applyFill="1" applyBorder="1" applyAlignment="1">
      <alignment horizontal="center" vertical="center"/>
    </xf>
    <xf numFmtId="0" fontId="5" fillId="0" borderId="0" xfId="0" applyFont="1" applyAlignment="1">
      <alignment horizontal="center" vertical="top" wrapText="1"/>
    </xf>
    <xf numFmtId="169" fontId="3" fillId="37" borderId="10" xfId="0" applyNumberFormat="1" applyFont="1" applyFill="1" applyBorder="1" applyAlignment="1">
      <alignment horizontal="right" vertical="center"/>
    </xf>
    <xf numFmtId="169" fontId="3" fillId="0" borderId="10" xfId="0" applyNumberFormat="1" applyFont="1" applyFill="1" applyBorder="1" applyAlignment="1">
      <alignment horizontal="right" vertical="center"/>
    </xf>
    <xf numFmtId="0" fontId="4" fillId="37" borderId="20" xfId="0" applyFont="1" applyFill="1" applyBorder="1" applyAlignment="1">
      <alignment horizontal="left" vertical="center"/>
    </xf>
    <xf numFmtId="0" fontId="17" fillId="37" borderId="14" xfId="0" applyFont="1" applyFill="1" applyBorder="1" applyAlignment="1">
      <alignment horizontal="right" vertical="center"/>
    </xf>
    <xf numFmtId="169" fontId="3" fillId="37" borderId="19" xfId="0" applyNumberFormat="1" applyFont="1" applyFill="1" applyBorder="1" applyAlignment="1">
      <alignment horizontal="right" vertical="center"/>
    </xf>
    <xf numFmtId="169" fontId="3" fillId="37" borderId="14" xfId="0" applyNumberFormat="1" applyFont="1" applyFill="1" applyBorder="1" applyAlignment="1">
      <alignment horizontal="right" vertical="center"/>
    </xf>
    <xf numFmtId="168" fontId="3" fillId="0" borderId="18" xfId="0" applyNumberFormat="1" applyFont="1" applyFill="1" applyBorder="1" applyAlignment="1">
      <alignment wrapText="1"/>
    </xf>
    <xf numFmtId="168" fontId="3" fillId="37" borderId="15" xfId="0" applyNumberFormat="1" applyFont="1" applyFill="1" applyBorder="1" applyAlignment="1">
      <alignment horizontal="right" vertical="center"/>
    </xf>
    <xf numFmtId="0" fontId="4" fillId="0" borderId="21" xfId="0" applyFont="1" applyFill="1" applyBorder="1" applyAlignment="1">
      <alignment horizontal="left" vertical="center"/>
    </xf>
    <xf numFmtId="0" fontId="17" fillId="0" borderId="13" xfId="0" applyFont="1" applyFill="1" applyBorder="1" applyAlignment="1">
      <alignment horizontal="right" vertical="center"/>
    </xf>
    <xf numFmtId="168" fontId="3" fillId="0" borderId="17" xfId="0" applyNumberFormat="1" applyFont="1" applyFill="1" applyBorder="1" applyAlignment="1">
      <alignment horizontal="right" vertical="center"/>
    </xf>
    <xf numFmtId="0" fontId="4" fillId="0" borderId="12" xfId="0" applyFont="1" applyFill="1" applyBorder="1" applyAlignment="1">
      <alignment horizontal="left" vertical="center"/>
    </xf>
    <xf numFmtId="169" fontId="3" fillId="0" borderId="56" xfId="0" applyNumberFormat="1" applyFont="1" applyFill="1" applyBorder="1" applyAlignment="1">
      <alignment horizontal="right" vertical="center"/>
    </xf>
    <xf numFmtId="2" fontId="3" fillId="37" borderId="12" xfId="60" applyNumberFormat="1" applyFont="1" applyFill="1" applyBorder="1" applyAlignment="1">
      <alignment horizontal="right"/>
      <protection/>
    </xf>
    <xf numFmtId="2" fontId="3" fillId="37" borderId="10" xfId="60" applyNumberFormat="1" applyFont="1" applyFill="1" applyBorder="1" applyAlignment="1">
      <alignment horizontal="right"/>
      <protection/>
    </xf>
    <xf numFmtId="2" fontId="3" fillId="0" borderId="21" xfId="60" applyNumberFormat="1" applyFont="1" applyFill="1" applyBorder="1">
      <alignment/>
      <protection/>
    </xf>
    <xf numFmtId="2" fontId="12" fillId="0" borderId="13" xfId="60" applyNumberFormat="1" applyFont="1" applyFill="1" applyBorder="1" applyAlignment="1">
      <alignment horizontal="left"/>
      <protection/>
    </xf>
    <xf numFmtId="2" fontId="3" fillId="0" borderId="17" xfId="60" applyNumberFormat="1" applyFont="1" applyFill="1" applyBorder="1">
      <alignment/>
      <protection/>
    </xf>
    <xf numFmtId="2" fontId="3" fillId="0" borderId="16" xfId="60" applyNumberFormat="1" applyFont="1" applyFill="1" applyBorder="1" applyAlignment="1">
      <alignment horizontal="right"/>
      <protection/>
    </xf>
    <xf numFmtId="2" fontId="3" fillId="0" borderId="17" xfId="60" applyNumberFormat="1" applyFont="1" applyFill="1" applyBorder="1" applyAlignment="1">
      <alignment horizontal="right"/>
      <protection/>
    </xf>
    <xf numFmtId="0" fontId="3" fillId="0" borderId="21" xfId="0" applyFont="1" applyFill="1" applyBorder="1" applyAlignment="1">
      <alignment horizontal="center"/>
    </xf>
    <xf numFmtId="0" fontId="3" fillId="0" borderId="13" xfId="0" applyFont="1" applyFill="1" applyBorder="1" applyAlignment="1">
      <alignment/>
    </xf>
    <xf numFmtId="175" fontId="3" fillId="0" borderId="16" xfId="0" applyNumberFormat="1" applyFont="1" applyFill="1" applyBorder="1" applyAlignment="1">
      <alignment/>
    </xf>
    <xf numFmtId="175" fontId="3" fillId="0" borderId="13" xfId="0" applyNumberFormat="1" applyFont="1" applyFill="1" applyBorder="1" applyAlignment="1">
      <alignment/>
    </xf>
    <xf numFmtId="2" fontId="3" fillId="0" borderId="13" xfId="42" applyNumberFormat="1" applyFont="1" applyFill="1" applyBorder="1" applyAlignment="1" applyProtection="1">
      <alignment vertical="center"/>
      <protection/>
    </xf>
    <xf numFmtId="175" fontId="3" fillId="0" borderId="12" xfId="0" applyNumberFormat="1" applyFont="1" applyFill="1" applyBorder="1" applyAlignment="1">
      <alignment/>
    </xf>
    <xf numFmtId="175" fontId="12" fillId="0" borderId="0" xfId="0" applyNumberFormat="1" applyFont="1" applyFill="1" applyBorder="1" applyAlignment="1">
      <alignment/>
    </xf>
    <xf numFmtId="0" fontId="3" fillId="0" borderId="18" xfId="0" applyFont="1" applyFill="1" applyBorder="1" applyAlignment="1">
      <alignment horizontal="center"/>
    </xf>
    <xf numFmtId="175" fontId="12" fillId="37" borderId="0" xfId="0" applyNumberFormat="1" applyFont="1" applyFill="1" applyBorder="1" applyAlignment="1">
      <alignment horizontal="right"/>
    </xf>
    <xf numFmtId="175" fontId="3" fillId="37" borderId="56" xfId="0" applyNumberFormat="1" applyFont="1" applyFill="1" applyBorder="1" applyAlignment="1">
      <alignment/>
    </xf>
    <xf numFmtId="175" fontId="12" fillId="37" borderId="12" xfId="0" applyNumberFormat="1" applyFont="1" applyFill="1" applyBorder="1" applyAlignment="1">
      <alignment/>
    </xf>
    <xf numFmtId="0" fontId="3" fillId="37" borderId="20" xfId="0" applyFont="1" applyFill="1" applyBorder="1" applyAlignment="1">
      <alignment horizontal="center"/>
    </xf>
    <xf numFmtId="0" fontId="3" fillId="37" borderId="20" xfId="0" applyFont="1" applyFill="1" applyBorder="1" applyAlignment="1">
      <alignment/>
    </xf>
    <xf numFmtId="175" fontId="12" fillId="37" borderId="19" xfId="0" applyNumberFormat="1" applyFont="1" applyFill="1" applyBorder="1" applyAlignment="1">
      <alignment vertical="center"/>
    </xf>
    <xf numFmtId="175" fontId="3" fillId="37" borderId="19" xfId="0" applyNumberFormat="1" applyFont="1" applyFill="1" applyBorder="1" applyAlignment="1">
      <alignment vertical="center"/>
    </xf>
    <xf numFmtId="175" fontId="3" fillId="37" borderId="57" xfId="0" applyNumberFormat="1" applyFont="1" applyFill="1" applyBorder="1" applyAlignment="1">
      <alignment vertical="center"/>
    </xf>
    <xf numFmtId="175" fontId="3" fillId="37" borderId="14" xfId="0" applyNumberFormat="1" applyFont="1" applyFill="1" applyBorder="1" applyAlignment="1">
      <alignment vertical="center"/>
    </xf>
    <xf numFmtId="2" fontId="3" fillId="37" borderId="14" xfId="42" applyNumberFormat="1" applyFont="1" applyFill="1" applyBorder="1" applyAlignment="1" applyProtection="1">
      <alignment vertical="center"/>
      <protection/>
    </xf>
    <xf numFmtId="0" fontId="3" fillId="37" borderId="14" xfId="0" applyFont="1" applyFill="1" applyBorder="1" applyAlignment="1">
      <alignment/>
    </xf>
    <xf numFmtId="175" fontId="3" fillId="37" borderId="19" xfId="0" applyNumberFormat="1" applyFont="1" applyFill="1" applyBorder="1" applyAlignment="1">
      <alignment/>
    </xf>
    <xf numFmtId="175" fontId="3" fillId="37" borderId="14" xfId="0" applyNumberFormat="1" applyFont="1" applyFill="1" applyBorder="1" applyAlignment="1">
      <alignment/>
    </xf>
    <xf numFmtId="177" fontId="3" fillId="0" borderId="21" xfId="0" applyNumberFormat="1" applyFont="1" applyFill="1" applyBorder="1" applyAlignment="1" applyProtection="1">
      <alignment horizontal="left" vertical="center"/>
      <protection/>
    </xf>
    <xf numFmtId="177" fontId="3" fillId="0" borderId="16" xfId="0" applyNumberFormat="1" applyFont="1" applyFill="1" applyBorder="1" applyAlignment="1" applyProtection="1">
      <alignment horizontal="left" vertical="center"/>
      <protection/>
    </xf>
    <xf numFmtId="177" fontId="3" fillId="0" borderId="13" xfId="0" applyNumberFormat="1" applyFont="1" applyFill="1" applyBorder="1" applyAlignment="1" applyProtection="1">
      <alignment horizontal="right" vertical="center"/>
      <protection/>
    </xf>
    <xf numFmtId="177" fontId="3" fillId="0" borderId="16" xfId="0" applyNumberFormat="1" applyFont="1" applyFill="1" applyBorder="1" applyAlignment="1" applyProtection="1">
      <alignment horizontal="right" vertical="center"/>
      <protection/>
    </xf>
    <xf numFmtId="177" fontId="3" fillId="0" borderId="17" xfId="0" applyNumberFormat="1" applyFont="1" applyFill="1" applyBorder="1" applyAlignment="1" applyProtection="1">
      <alignment horizontal="right" vertical="center"/>
      <protection/>
    </xf>
    <xf numFmtId="177" fontId="3" fillId="0" borderId="19" xfId="0" applyNumberFormat="1" applyFont="1" applyFill="1" applyBorder="1" applyAlignment="1" applyProtection="1">
      <alignment horizontal="left" vertical="center"/>
      <protection/>
    </xf>
    <xf numFmtId="177" fontId="3" fillId="0" borderId="14" xfId="0" applyNumberFormat="1" applyFont="1" applyFill="1" applyBorder="1" applyAlignment="1" applyProtection="1">
      <alignment horizontal="right" vertical="center"/>
      <protection/>
    </xf>
    <xf numFmtId="177" fontId="3" fillId="37" borderId="20" xfId="0" applyNumberFormat="1" applyFont="1" applyFill="1" applyBorder="1" applyAlignment="1" applyProtection="1">
      <alignment horizontal="left" vertical="center"/>
      <protection/>
    </xf>
    <xf numFmtId="177" fontId="3" fillId="37" borderId="19" xfId="0" applyNumberFormat="1" applyFont="1" applyFill="1" applyBorder="1" applyAlignment="1" applyProtection="1">
      <alignment horizontal="left" vertical="center"/>
      <protection/>
    </xf>
    <xf numFmtId="177" fontId="3" fillId="37" borderId="14" xfId="0" applyNumberFormat="1" applyFont="1" applyFill="1" applyBorder="1" applyAlignment="1" applyProtection="1">
      <alignment horizontal="right" vertical="center"/>
      <protection/>
    </xf>
    <xf numFmtId="177" fontId="3" fillId="37" borderId="19" xfId="0" applyNumberFormat="1" applyFont="1" applyFill="1" applyBorder="1" applyAlignment="1" applyProtection="1">
      <alignment horizontal="right" vertical="center"/>
      <protection/>
    </xf>
    <xf numFmtId="177" fontId="3" fillId="37" borderId="15" xfId="0" applyNumberFormat="1" applyFont="1" applyFill="1" applyBorder="1" applyAlignment="1" applyProtection="1">
      <alignment horizontal="right" vertical="center"/>
      <protection/>
    </xf>
    <xf numFmtId="0" fontId="4" fillId="0" borderId="10" xfId="0" applyFont="1" applyBorder="1" applyAlignment="1">
      <alignment horizontal="center"/>
    </xf>
    <xf numFmtId="2" fontId="4" fillId="36" borderId="43" xfId="0" applyNumberFormat="1" applyFont="1" applyFill="1" applyBorder="1" applyAlignment="1">
      <alignment horizontal="center" vertical="center"/>
    </xf>
    <xf numFmtId="176" fontId="4" fillId="36" borderId="54" xfId="0" applyNumberFormat="1" applyFont="1" applyFill="1" applyBorder="1" applyAlignment="1">
      <alignment horizontal="right"/>
    </xf>
    <xf numFmtId="176" fontId="4" fillId="36" borderId="58" xfId="0" applyNumberFormat="1" applyFont="1" applyFill="1" applyBorder="1" applyAlignment="1">
      <alignment horizontal="right"/>
    </xf>
    <xf numFmtId="176" fontId="4" fillId="36" borderId="59" xfId="0" applyNumberFormat="1" applyFont="1" applyFill="1" applyBorder="1" applyAlignment="1">
      <alignment horizontal="right"/>
    </xf>
    <xf numFmtId="176" fontId="4" fillId="36" borderId="11" xfId="0" applyNumberFormat="1" applyFont="1" applyFill="1" applyBorder="1" applyAlignment="1">
      <alignment horizontal="right"/>
    </xf>
    <xf numFmtId="176" fontId="4" fillId="36" borderId="54" xfId="0" applyNumberFormat="1" applyFont="1" applyFill="1" applyBorder="1" applyAlignment="1">
      <alignment/>
    </xf>
    <xf numFmtId="176" fontId="4" fillId="36" borderId="58" xfId="0" applyNumberFormat="1" applyFont="1" applyFill="1" applyBorder="1" applyAlignment="1">
      <alignment/>
    </xf>
    <xf numFmtId="176" fontId="4" fillId="36" borderId="11" xfId="0" applyNumberFormat="1" applyFont="1" applyFill="1" applyBorder="1" applyAlignment="1">
      <alignment/>
    </xf>
    <xf numFmtId="0" fontId="17" fillId="0" borderId="16" xfId="0" applyFont="1" applyFill="1" applyBorder="1" applyAlignment="1">
      <alignment horizontal="center"/>
    </xf>
    <xf numFmtId="168" fontId="3" fillId="0" borderId="17" xfId="0" applyNumberFormat="1" applyFont="1" applyFill="1" applyBorder="1" applyAlignment="1">
      <alignment/>
    </xf>
    <xf numFmtId="0" fontId="3" fillId="0" borderId="16" xfId="0" applyFont="1" applyFill="1" applyBorder="1" applyAlignment="1">
      <alignment/>
    </xf>
    <xf numFmtId="0" fontId="3" fillId="37" borderId="19" xfId="0" applyFont="1" applyFill="1" applyBorder="1" applyAlignment="1">
      <alignment/>
    </xf>
    <xf numFmtId="0" fontId="17" fillId="37" borderId="19" xfId="0" applyFont="1" applyFill="1" applyBorder="1" applyAlignment="1">
      <alignment horizontal="center"/>
    </xf>
    <xf numFmtId="168" fontId="3" fillId="37" borderId="15" xfId="0" applyNumberFormat="1" applyFont="1" applyFill="1" applyBorder="1" applyAlignment="1">
      <alignment/>
    </xf>
    <xf numFmtId="0" fontId="0" fillId="37" borderId="20" xfId="0" applyFill="1" applyBorder="1" applyAlignment="1">
      <alignment/>
    </xf>
    <xf numFmtId="169" fontId="3" fillId="37" borderId="13" xfId="0" applyNumberFormat="1" applyFont="1" applyFill="1" applyBorder="1" applyAlignment="1">
      <alignment vertical="center"/>
    </xf>
    <xf numFmtId="169" fontId="3" fillId="0" borderId="14" xfId="0" applyNumberFormat="1" applyFont="1" applyFill="1" applyBorder="1" applyAlignment="1">
      <alignment vertical="center"/>
    </xf>
    <xf numFmtId="0" fontId="0" fillId="0" borderId="20" xfId="0" applyBorder="1" applyAlignment="1">
      <alignment/>
    </xf>
    <xf numFmtId="0" fontId="4" fillId="36" borderId="12" xfId="0" applyFont="1" applyFill="1" applyBorder="1" applyAlignment="1">
      <alignment horizontal="center" vertical="center" wrapText="1"/>
    </xf>
    <xf numFmtId="0" fontId="4" fillId="36" borderId="15" xfId="0" applyFont="1" applyFill="1" applyBorder="1" applyAlignment="1">
      <alignment horizontal="center" vertical="center"/>
    </xf>
    <xf numFmtId="0" fontId="4" fillId="41" borderId="18" xfId="0" applyFont="1" applyFill="1" applyBorder="1" applyAlignment="1">
      <alignment horizontal="center" vertical="center"/>
    </xf>
    <xf numFmtId="0" fontId="0" fillId="41" borderId="15" xfId="0" applyFill="1" applyBorder="1" applyAlignment="1">
      <alignment/>
    </xf>
    <xf numFmtId="9" fontId="3" fillId="41" borderId="18" xfId="66" applyFont="1" applyFill="1" applyBorder="1" applyAlignment="1">
      <alignment horizontal="center"/>
    </xf>
    <xf numFmtId="9" fontId="3" fillId="41" borderId="43" xfId="66" applyFont="1" applyFill="1" applyBorder="1" applyAlignment="1">
      <alignment horizontal="center"/>
    </xf>
    <xf numFmtId="0" fontId="32" fillId="41" borderId="17" xfId="0" applyFont="1" applyFill="1" applyBorder="1" applyAlignment="1">
      <alignment horizontal="center" wrapText="1"/>
    </xf>
    <xf numFmtId="10" fontId="3" fillId="37" borderId="15" xfId="0" applyNumberFormat="1" applyFont="1" applyFill="1" applyBorder="1" applyAlignment="1">
      <alignment horizontal="center"/>
    </xf>
    <xf numFmtId="168" fontId="4" fillId="0" borderId="15" xfId="0" applyNumberFormat="1" applyFont="1" applyFill="1" applyBorder="1" applyAlignment="1">
      <alignment horizontal="center" vertical="center"/>
    </xf>
    <xf numFmtId="176" fontId="3" fillId="0" borderId="14"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66" fontId="3" fillId="0" borderId="46" xfId="0" applyNumberFormat="1" applyFont="1" applyFill="1" applyBorder="1" applyAlignment="1">
      <alignment horizontal="right" vertical="center"/>
    </xf>
    <xf numFmtId="0" fontId="0" fillId="0" borderId="10" xfId="57" applyFill="1" applyBorder="1">
      <alignment/>
      <protection/>
    </xf>
    <xf numFmtId="1" fontId="4" fillId="35" borderId="16" xfId="57" applyNumberFormat="1" applyFont="1" applyFill="1" applyBorder="1" applyAlignment="1">
      <alignment horizontal="center"/>
      <protection/>
    </xf>
    <xf numFmtId="0" fontId="15" fillId="35" borderId="17" xfId="57" applyFont="1" applyFill="1" applyBorder="1" applyAlignment="1">
      <alignment horizontal="center" wrapText="1"/>
      <protection/>
    </xf>
    <xf numFmtId="1" fontId="4" fillId="35" borderId="0" xfId="57" applyNumberFormat="1" applyFont="1" applyFill="1" applyBorder="1" applyAlignment="1">
      <alignment horizontal="center" vertical="center"/>
      <protection/>
    </xf>
    <xf numFmtId="0" fontId="4" fillId="35" borderId="18" xfId="57" applyFont="1" applyFill="1" applyBorder="1" applyAlignment="1">
      <alignment horizontal="center" vertical="top"/>
      <protection/>
    </xf>
    <xf numFmtId="0" fontId="4" fillId="36" borderId="43" xfId="57" applyFont="1" applyFill="1" applyBorder="1" applyAlignment="1">
      <alignment horizontal="center" vertical="center"/>
      <protection/>
    </xf>
    <xf numFmtId="168" fontId="33" fillId="36" borderId="58" xfId="57" applyNumberFormat="1" applyFont="1" applyFill="1" applyBorder="1" applyAlignment="1">
      <alignment horizontal="right"/>
      <protection/>
    </xf>
    <xf numFmtId="168" fontId="33" fillId="36" borderId="43" xfId="57" applyNumberFormat="1" applyFont="1" applyFill="1" applyBorder="1" applyAlignment="1">
      <alignment horizontal="right" vertical="center"/>
      <protection/>
    </xf>
    <xf numFmtId="0" fontId="4" fillId="0" borderId="18" xfId="57" applyFont="1" applyFill="1" applyBorder="1" applyAlignment="1">
      <alignment horizontal="center" vertical="center"/>
      <protection/>
    </xf>
    <xf numFmtId="168" fontId="12" fillId="0" borderId="18" xfId="57" applyNumberFormat="1" applyFont="1" applyBorder="1" applyAlignment="1">
      <alignment horizontal="right" vertical="center"/>
      <protection/>
    </xf>
    <xf numFmtId="0" fontId="4" fillId="36" borderId="18" xfId="57" applyFont="1" applyFill="1" applyBorder="1" applyAlignment="1">
      <alignment horizontal="center" vertical="center"/>
      <protection/>
    </xf>
    <xf numFmtId="168" fontId="3" fillId="36" borderId="18" xfId="57" applyNumberFormat="1" applyFont="1" applyFill="1" applyBorder="1" applyAlignment="1">
      <alignment horizontal="right" vertical="center"/>
      <protection/>
    </xf>
    <xf numFmtId="168" fontId="3" fillId="0" borderId="18" xfId="57" applyNumberFormat="1" applyFont="1" applyFill="1" applyBorder="1" applyAlignment="1">
      <alignment horizontal="right" vertical="center"/>
      <protection/>
    </xf>
    <xf numFmtId="168" fontId="3" fillId="0" borderId="18" xfId="57" applyNumberFormat="1" applyFont="1" applyBorder="1" applyAlignment="1">
      <alignment horizontal="right" vertical="center"/>
      <protection/>
    </xf>
    <xf numFmtId="168" fontId="3" fillId="0" borderId="0" xfId="57" applyNumberFormat="1" applyFont="1" applyFill="1" applyBorder="1" applyAlignment="1">
      <alignment horizontal="right" vertical="center"/>
      <protection/>
    </xf>
    <xf numFmtId="0" fontId="4" fillId="37" borderId="18" xfId="57" applyFont="1" applyFill="1" applyBorder="1" applyAlignment="1">
      <alignment horizontal="center" vertical="center"/>
      <protection/>
    </xf>
    <xf numFmtId="168" fontId="3" fillId="37" borderId="0" xfId="57" applyNumberFormat="1" applyFont="1" applyFill="1" applyBorder="1" applyAlignment="1">
      <alignment horizontal="right" vertical="center"/>
      <protection/>
    </xf>
    <xf numFmtId="168" fontId="3" fillId="37" borderId="18" xfId="57" applyNumberFormat="1" applyFont="1" applyFill="1" applyBorder="1" applyAlignment="1">
      <alignment horizontal="right" vertical="center"/>
      <protection/>
    </xf>
    <xf numFmtId="168" fontId="3" fillId="0" borderId="0" xfId="57" applyNumberFormat="1" applyFont="1" applyFill="1" applyBorder="1" applyAlignment="1">
      <alignment horizontal="center" vertical="center"/>
      <protection/>
    </xf>
    <xf numFmtId="168" fontId="3" fillId="0" borderId="18" xfId="57" applyNumberFormat="1" applyFont="1" applyFill="1" applyBorder="1" applyAlignment="1">
      <alignment horizontal="center" vertical="center"/>
      <protection/>
    </xf>
    <xf numFmtId="168" fontId="12" fillId="37" borderId="0" xfId="57" applyNumberFormat="1" applyFont="1" applyFill="1" applyBorder="1" applyAlignment="1">
      <alignment horizontal="right" vertical="center"/>
      <protection/>
    </xf>
    <xf numFmtId="168" fontId="12" fillId="37" borderId="18" xfId="57" applyNumberFormat="1" applyFont="1" applyFill="1" applyBorder="1" applyAlignment="1">
      <alignment horizontal="right" vertical="center"/>
      <protection/>
    </xf>
    <xf numFmtId="168" fontId="3" fillId="37" borderId="0" xfId="57" applyNumberFormat="1" applyFont="1" applyFill="1" applyBorder="1" applyAlignment="1">
      <alignment horizontal="center" vertical="center"/>
      <protection/>
    </xf>
    <xf numFmtId="168" fontId="3" fillId="37" borderId="18" xfId="57" applyNumberFormat="1" applyFont="1" applyFill="1" applyBorder="1" applyAlignment="1">
      <alignment horizontal="center" vertical="center"/>
      <protection/>
    </xf>
    <xf numFmtId="168" fontId="12" fillId="0" borderId="18" xfId="57" applyNumberFormat="1" applyFont="1" applyFill="1" applyBorder="1" applyAlignment="1">
      <alignment horizontal="right" vertical="center"/>
      <protection/>
    </xf>
    <xf numFmtId="0" fontId="4" fillId="0" borderId="17" xfId="57" applyFont="1" applyFill="1" applyBorder="1" applyAlignment="1">
      <alignment horizontal="center" vertical="center"/>
      <protection/>
    </xf>
    <xf numFmtId="168" fontId="3" fillId="0" borderId="16" xfId="57" applyNumberFormat="1" applyFont="1" applyFill="1" applyBorder="1" applyAlignment="1">
      <alignment horizontal="center" vertical="center"/>
      <protection/>
    </xf>
    <xf numFmtId="168" fontId="3" fillId="0" borderId="17" xfId="57" applyNumberFormat="1" applyFont="1" applyFill="1" applyBorder="1" applyAlignment="1">
      <alignment horizontal="center" vertical="center"/>
      <protection/>
    </xf>
    <xf numFmtId="168" fontId="12" fillId="37" borderId="0" xfId="57" applyNumberFormat="1" applyFont="1" applyFill="1" applyBorder="1" applyAlignment="1">
      <alignment horizontal="center" vertical="center"/>
      <protection/>
    </xf>
    <xf numFmtId="0" fontId="4" fillId="0" borderId="15" xfId="57" applyFont="1" applyFill="1" applyBorder="1" applyAlignment="1">
      <alignment horizontal="center" vertical="center"/>
      <protection/>
    </xf>
    <xf numFmtId="168" fontId="3" fillId="37" borderId="16" xfId="57" applyNumberFormat="1" applyFont="1" applyFill="1" applyBorder="1" applyAlignment="1">
      <alignment horizontal="center" vertical="center"/>
      <protection/>
    </xf>
    <xf numFmtId="168" fontId="3" fillId="37" borderId="17" xfId="57" applyNumberFormat="1" applyFont="1" applyFill="1" applyBorder="1" applyAlignment="1">
      <alignment horizontal="center" vertical="center"/>
      <protection/>
    </xf>
    <xf numFmtId="168" fontId="3" fillId="0" borderId="10" xfId="57" applyNumberFormat="1" applyFont="1" applyFill="1" applyBorder="1" applyAlignment="1">
      <alignment horizontal="right" vertical="center"/>
      <protection/>
    </xf>
    <xf numFmtId="0" fontId="4" fillId="37" borderId="15" xfId="57" applyFont="1" applyFill="1" applyBorder="1" applyAlignment="1">
      <alignment horizontal="center" vertical="center"/>
      <protection/>
    </xf>
    <xf numFmtId="168" fontId="3" fillId="37" borderId="19" xfId="57" applyNumberFormat="1" applyFont="1" applyFill="1" applyBorder="1" applyAlignment="1">
      <alignment horizontal="right" vertical="center"/>
      <protection/>
    </xf>
    <xf numFmtId="168" fontId="3" fillId="0" borderId="0" xfId="57" applyNumberFormat="1" applyFont="1" applyBorder="1" applyAlignment="1">
      <alignment vertical="center"/>
      <protection/>
    </xf>
    <xf numFmtId="168" fontId="3" fillId="36" borderId="0" xfId="57" applyNumberFormat="1" applyFont="1" applyFill="1" applyBorder="1" applyAlignment="1">
      <alignment vertical="center"/>
      <protection/>
    </xf>
    <xf numFmtId="168" fontId="3" fillId="0" borderId="0" xfId="57" applyNumberFormat="1" applyFont="1" applyFill="1" applyBorder="1" applyAlignment="1">
      <alignment vertical="center"/>
      <protection/>
    </xf>
    <xf numFmtId="168" fontId="3" fillId="37" borderId="0" xfId="57" applyNumberFormat="1" applyFont="1" applyFill="1" applyBorder="1" applyAlignment="1">
      <alignment vertical="center"/>
      <protection/>
    </xf>
    <xf numFmtId="168" fontId="3" fillId="0" borderId="10" xfId="57" applyNumberFormat="1" applyFont="1" applyFill="1" applyBorder="1" applyAlignment="1">
      <alignment vertical="center"/>
      <protection/>
    </xf>
    <xf numFmtId="168" fontId="3" fillId="37" borderId="10" xfId="57" applyNumberFormat="1" applyFont="1" applyFill="1" applyBorder="1" applyAlignment="1">
      <alignment vertical="center"/>
      <protection/>
    </xf>
    <xf numFmtId="168" fontId="3" fillId="37" borderId="0" xfId="57" applyNumberFormat="1" applyFont="1" applyFill="1" applyBorder="1" applyAlignment="1">
      <alignment vertical="center" wrapText="1"/>
      <protection/>
    </xf>
    <xf numFmtId="168" fontId="12" fillId="0" borderId="0" xfId="57" applyNumberFormat="1" applyFont="1" applyBorder="1" applyAlignment="1">
      <alignment vertical="center"/>
      <protection/>
    </xf>
    <xf numFmtId="168" fontId="12" fillId="36" borderId="0" xfId="57" applyNumberFormat="1" applyFont="1" applyFill="1" applyBorder="1" applyAlignment="1">
      <alignment vertical="center"/>
      <protection/>
    </xf>
    <xf numFmtId="168" fontId="12" fillId="0" borderId="0" xfId="57" applyNumberFormat="1" applyFont="1" applyFill="1" applyBorder="1" applyAlignment="1">
      <alignment vertical="center"/>
      <protection/>
    </xf>
    <xf numFmtId="168" fontId="12" fillId="37" borderId="0" xfId="57" applyNumberFormat="1" applyFont="1" applyFill="1" applyBorder="1" applyAlignment="1">
      <alignment vertical="center"/>
      <protection/>
    </xf>
    <xf numFmtId="168" fontId="3" fillId="0" borderId="15" xfId="57" applyNumberFormat="1" applyFont="1" applyFill="1" applyBorder="1" applyAlignment="1">
      <alignment horizontal="right" vertical="center"/>
      <protection/>
    </xf>
    <xf numFmtId="168" fontId="3" fillId="0" borderId="18" xfId="57" applyNumberFormat="1" applyFont="1" applyBorder="1" applyAlignment="1">
      <alignment horizontal="right"/>
      <protection/>
    </xf>
    <xf numFmtId="1" fontId="4" fillId="41" borderId="16" xfId="57" applyNumberFormat="1" applyFont="1" applyFill="1" applyBorder="1" applyAlignment="1">
      <alignment horizontal="center"/>
      <protection/>
    </xf>
    <xf numFmtId="168" fontId="3" fillId="41" borderId="16" xfId="57" applyNumberFormat="1" applyFont="1" applyFill="1" applyBorder="1" applyAlignment="1">
      <alignment horizontal="center" vertical="center"/>
      <protection/>
    </xf>
    <xf numFmtId="1" fontId="4" fillId="41" borderId="13" xfId="57" applyNumberFormat="1" applyFont="1" applyFill="1" applyBorder="1" applyAlignment="1">
      <alignment horizontal="center"/>
      <protection/>
    </xf>
    <xf numFmtId="168" fontId="3" fillId="41" borderId="13" xfId="57" applyNumberFormat="1" applyFont="1" applyFill="1" applyBorder="1" applyAlignment="1">
      <alignment horizontal="center" vertical="center"/>
      <protection/>
    </xf>
    <xf numFmtId="1" fontId="4" fillId="41" borderId="21" xfId="57" applyNumberFormat="1" applyFont="1" applyFill="1" applyBorder="1" applyAlignment="1">
      <alignment horizontal="center"/>
      <protection/>
    </xf>
    <xf numFmtId="168" fontId="3" fillId="41" borderId="21" xfId="57" applyNumberFormat="1" applyFont="1" applyFill="1" applyBorder="1" applyAlignment="1">
      <alignment horizontal="center" vertical="center"/>
      <protection/>
    </xf>
    <xf numFmtId="0" fontId="0" fillId="0" borderId="0" xfId="57">
      <alignment/>
      <protection/>
    </xf>
    <xf numFmtId="0" fontId="0" fillId="0" borderId="0" xfId="57" applyFont="1">
      <alignment/>
      <protection/>
    </xf>
    <xf numFmtId="0" fontId="4" fillId="0" borderId="0" xfId="57" applyFont="1">
      <alignment/>
      <protection/>
    </xf>
    <xf numFmtId="170" fontId="3" fillId="0" borderId="15" xfId="57" applyNumberFormat="1" applyFont="1" applyBorder="1">
      <alignment/>
      <protection/>
    </xf>
    <xf numFmtId="0" fontId="0" fillId="0" borderId="14" xfId="57" applyNumberFormat="1" applyFont="1" applyFill="1" applyBorder="1" applyAlignment="1">
      <alignment/>
      <protection/>
    </xf>
    <xf numFmtId="175" fontId="3" fillId="0" borderId="19" xfId="57" applyNumberFormat="1" applyFont="1" applyFill="1" applyBorder="1" applyAlignment="1">
      <alignment horizontal="right"/>
      <protection/>
    </xf>
    <xf numFmtId="175" fontId="3" fillId="0" borderId="19" xfId="57" applyNumberFormat="1" applyFont="1" applyFill="1" applyBorder="1">
      <alignment/>
      <protection/>
    </xf>
    <xf numFmtId="0" fontId="3" fillId="0" borderId="14" xfId="57" applyFont="1" applyFill="1" applyBorder="1">
      <alignment/>
      <protection/>
    </xf>
    <xf numFmtId="0" fontId="3" fillId="0" borderId="20" xfId="57" applyFont="1" applyFill="1" applyBorder="1">
      <alignment/>
      <protection/>
    </xf>
    <xf numFmtId="0" fontId="4" fillId="0" borderId="10" xfId="57" applyFont="1" applyFill="1" applyBorder="1" applyAlignment="1">
      <alignment horizontal="center"/>
      <protection/>
    </xf>
    <xf numFmtId="170" fontId="3" fillId="37" borderId="18" xfId="57" applyNumberFormat="1" applyFont="1" applyFill="1" applyBorder="1">
      <alignment/>
      <protection/>
    </xf>
    <xf numFmtId="0" fontId="0" fillId="37" borderId="10" xfId="57" applyNumberFormat="1" applyFont="1" applyFill="1" applyBorder="1" applyAlignment="1">
      <alignment/>
      <protection/>
    </xf>
    <xf numFmtId="175" fontId="3" fillId="37" borderId="0" xfId="57" applyNumberFormat="1" applyFont="1" applyFill="1" applyBorder="1" applyAlignment="1">
      <alignment horizontal="right"/>
      <protection/>
    </xf>
    <xf numFmtId="0" fontId="3" fillId="37" borderId="10" xfId="57" applyFont="1" applyFill="1" applyBorder="1">
      <alignment/>
      <protection/>
    </xf>
    <xf numFmtId="0" fontId="3" fillId="36" borderId="12" xfId="57" applyFont="1" applyFill="1" applyBorder="1">
      <alignment/>
      <protection/>
    </xf>
    <xf numFmtId="0" fontId="4" fillId="0" borderId="0" xfId="57" applyFont="1" applyFill="1" applyAlignment="1">
      <alignment horizontal="center"/>
      <protection/>
    </xf>
    <xf numFmtId="170" fontId="3" fillId="0" borderId="18" xfId="57" applyNumberFormat="1" applyFont="1" applyBorder="1">
      <alignment/>
      <protection/>
    </xf>
    <xf numFmtId="0" fontId="0" fillId="0" borderId="10" xfId="57" applyNumberFormat="1" applyFont="1" applyFill="1" applyBorder="1" applyAlignment="1">
      <alignment/>
      <protection/>
    </xf>
    <xf numFmtId="175" fontId="3" fillId="0" borderId="0" xfId="57" applyNumberFormat="1" applyFont="1" applyFill="1" applyBorder="1" applyAlignment="1">
      <alignment horizontal="right"/>
      <protection/>
    </xf>
    <xf numFmtId="175" fontId="3" fillId="0" borderId="0" xfId="57" applyNumberFormat="1" applyFont="1" applyFill="1" applyBorder="1">
      <alignment/>
      <protection/>
    </xf>
    <xf numFmtId="0" fontId="3" fillId="0" borderId="10" xfId="57" applyFont="1" applyFill="1" applyBorder="1">
      <alignment/>
      <protection/>
    </xf>
    <xf numFmtId="0" fontId="3" fillId="0" borderId="12" xfId="57" applyFont="1" applyFill="1" applyBorder="1">
      <alignment/>
      <protection/>
    </xf>
    <xf numFmtId="175" fontId="3" fillId="37" borderId="0" xfId="57" applyNumberFormat="1" applyFont="1" applyFill="1" applyBorder="1">
      <alignment/>
      <protection/>
    </xf>
    <xf numFmtId="0" fontId="4" fillId="0" borderId="0" xfId="57" applyFont="1" applyFill="1" applyBorder="1" applyAlignment="1">
      <alignment horizontal="center"/>
      <protection/>
    </xf>
    <xf numFmtId="170" fontId="3" fillId="37" borderId="17" xfId="57" applyNumberFormat="1" applyFont="1" applyFill="1" applyBorder="1">
      <alignment/>
      <protection/>
    </xf>
    <xf numFmtId="175" fontId="3" fillId="37" borderId="16" xfId="57" applyNumberFormat="1" applyFont="1" applyFill="1" applyBorder="1" applyAlignment="1">
      <alignment horizontal="right"/>
      <protection/>
    </xf>
    <xf numFmtId="175" fontId="3" fillId="37" borderId="16" xfId="57" applyNumberFormat="1" applyFont="1" applyFill="1" applyBorder="1">
      <alignment/>
      <protection/>
    </xf>
    <xf numFmtId="0" fontId="3" fillId="37" borderId="13" xfId="57" applyFont="1" applyFill="1" applyBorder="1">
      <alignment/>
      <protection/>
    </xf>
    <xf numFmtId="0" fontId="4" fillId="35" borderId="43" xfId="57" applyFont="1" applyFill="1" applyBorder="1" applyAlignment="1">
      <alignment horizontal="center" vertical="center" wrapText="1"/>
      <protection/>
    </xf>
    <xf numFmtId="0" fontId="4" fillId="35" borderId="11" xfId="57" applyFont="1" applyFill="1" applyBorder="1" applyAlignment="1">
      <alignment horizontal="center" vertical="center"/>
      <protection/>
    </xf>
    <xf numFmtId="0" fontId="4" fillId="35" borderId="58" xfId="57" applyFont="1" applyFill="1" applyBorder="1" applyAlignment="1">
      <alignment horizontal="center" vertical="center"/>
      <protection/>
    </xf>
    <xf numFmtId="0" fontId="4" fillId="35" borderId="54" xfId="57" applyFont="1" applyFill="1" applyBorder="1" applyAlignment="1">
      <alignment horizontal="center" vertical="center"/>
      <protection/>
    </xf>
    <xf numFmtId="0" fontId="0" fillId="0" borderId="0" xfId="57" applyNumberFormat="1" applyFont="1" applyFill="1" applyBorder="1" applyAlignment="1">
      <alignment/>
      <protection/>
    </xf>
    <xf numFmtId="0" fontId="5" fillId="0" borderId="0" xfId="57" applyFont="1" applyAlignment="1">
      <alignment horizontal="center" vertical="top" wrapText="1"/>
      <protection/>
    </xf>
    <xf numFmtId="0" fontId="3" fillId="0" borderId="0" xfId="57" applyFont="1">
      <alignment/>
      <protection/>
    </xf>
    <xf numFmtId="0" fontId="5" fillId="0" borderId="0" xfId="57" applyFont="1" applyAlignment="1" quotePrefix="1">
      <alignment horizontal="right" vertical="top"/>
      <protection/>
    </xf>
    <xf numFmtId="0" fontId="4" fillId="0" borderId="0" xfId="57" applyFont="1" applyAlignment="1">
      <alignment horizontal="center"/>
      <protection/>
    </xf>
    <xf numFmtId="170" fontId="3" fillId="37" borderId="15" xfId="57" applyNumberFormat="1" applyFont="1" applyFill="1" applyBorder="1">
      <alignment/>
      <protection/>
    </xf>
    <xf numFmtId="0" fontId="0" fillId="37" borderId="14" xfId="57" applyNumberFormat="1" applyFont="1" applyFill="1" applyBorder="1" applyAlignment="1">
      <alignment/>
      <protection/>
    </xf>
    <xf numFmtId="176" fontId="3" fillId="37" borderId="19" xfId="57" applyNumberFormat="1" applyFont="1" applyFill="1" applyBorder="1" applyAlignment="1">
      <alignment horizontal="right"/>
      <protection/>
    </xf>
    <xf numFmtId="0" fontId="3" fillId="37" borderId="14" xfId="57" applyFont="1" applyFill="1" applyBorder="1">
      <alignment/>
      <protection/>
    </xf>
    <xf numFmtId="0" fontId="3" fillId="36" borderId="20" xfId="57" applyFont="1" applyFill="1" applyBorder="1">
      <alignment/>
      <protection/>
    </xf>
    <xf numFmtId="0" fontId="4" fillId="0" borderId="0" xfId="57" applyFont="1" applyFill="1" applyAlignment="1">
      <alignment horizontal="center" vertical="center"/>
      <protection/>
    </xf>
    <xf numFmtId="170" fontId="3" fillId="0" borderId="18" xfId="57" applyNumberFormat="1" applyFont="1" applyFill="1" applyBorder="1">
      <alignment/>
      <protection/>
    </xf>
    <xf numFmtId="176" fontId="3" fillId="0" borderId="0" xfId="57" applyNumberFormat="1" applyFont="1" applyFill="1" applyBorder="1" applyAlignment="1">
      <alignment horizontal="right"/>
      <protection/>
    </xf>
    <xf numFmtId="170" fontId="3" fillId="37" borderId="18" xfId="57" applyNumberFormat="1" applyFont="1" applyFill="1" applyBorder="1" applyAlignment="1">
      <alignment horizontal="right"/>
      <protection/>
    </xf>
    <xf numFmtId="176" fontId="3" fillId="37" borderId="0" xfId="57" applyNumberFormat="1" applyFont="1" applyFill="1" applyBorder="1" applyAlignment="1">
      <alignment horizontal="right"/>
      <protection/>
    </xf>
    <xf numFmtId="168" fontId="0" fillId="0" borderId="0" xfId="57" applyNumberFormat="1" applyFont="1">
      <alignment/>
      <protection/>
    </xf>
    <xf numFmtId="170" fontId="3" fillId="0" borderId="17" xfId="57" applyNumberFormat="1" applyFont="1" applyBorder="1">
      <alignment/>
      <protection/>
    </xf>
    <xf numFmtId="176" fontId="3" fillId="0" borderId="16" xfId="57" applyNumberFormat="1" applyFont="1" applyFill="1" applyBorder="1" applyAlignment="1">
      <alignment horizontal="right"/>
      <protection/>
    </xf>
    <xf numFmtId="0" fontId="3" fillId="0" borderId="13" xfId="57" applyFont="1" applyFill="1" applyBorder="1">
      <alignment/>
      <protection/>
    </xf>
    <xf numFmtId="0" fontId="3" fillId="0" borderId="21" xfId="57" applyFont="1" applyFill="1" applyBorder="1">
      <alignment/>
      <protection/>
    </xf>
    <xf numFmtId="0" fontId="0" fillId="0" borderId="0" xfId="57" applyFont="1" applyFill="1">
      <alignment/>
      <protection/>
    </xf>
    <xf numFmtId="0" fontId="4" fillId="0" borderId="0" xfId="57" applyFont="1" applyBorder="1" applyAlignment="1">
      <alignment horizontal="center" textRotation="90" wrapText="1"/>
      <protection/>
    </xf>
    <xf numFmtId="0" fontId="7" fillId="0" borderId="0" xfId="57" applyFont="1" applyAlignment="1">
      <alignment horizontal="center" vertical="top" wrapText="1"/>
      <protection/>
    </xf>
    <xf numFmtId="0" fontId="5" fillId="0" borderId="0" xfId="57" applyFont="1" applyAlignment="1">
      <alignment horizontal="center" wrapText="1"/>
      <protection/>
    </xf>
    <xf numFmtId="0" fontId="3" fillId="0" borderId="0" xfId="57" applyFont="1" applyAlignment="1">
      <alignment horizontal="center"/>
      <protection/>
    </xf>
    <xf numFmtId="9" fontId="33" fillId="41" borderId="58" xfId="67" applyFont="1" applyFill="1" applyBorder="1" applyAlignment="1">
      <alignment horizontal="right"/>
    </xf>
    <xf numFmtId="9" fontId="33" fillId="41" borderId="11" xfId="67" applyFont="1" applyFill="1" applyBorder="1" applyAlignment="1">
      <alignment horizontal="right"/>
    </xf>
    <xf numFmtId="9" fontId="33" fillId="41" borderId="54" xfId="67" applyFont="1" applyFill="1" applyBorder="1" applyAlignment="1">
      <alignment horizontal="right"/>
    </xf>
    <xf numFmtId="9" fontId="12" fillId="41" borderId="0" xfId="67" applyFont="1" applyFill="1" applyBorder="1" applyAlignment="1">
      <alignment vertical="center"/>
    </xf>
    <xf numFmtId="9" fontId="3" fillId="41" borderId="0" xfId="67" applyFont="1" applyFill="1" applyBorder="1" applyAlignment="1">
      <alignment vertical="center"/>
    </xf>
    <xf numFmtId="9" fontId="3" fillId="41" borderId="10" xfId="67" applyFont="1" applyFill="1" applyBorder="1" applyAlignment="1">
      <alignment vertical="center"/>
    </xf>
    <xf numFmtId="9" fontId="12" fillId="41" borderId="12" xfId="67" applyFont="1" applyFill="1" applyBorder="1" applyAlignment="1">
      <alignment vertical="center"/>
    </xf>
    <xf numFmtId="9" fontId="3" fillId="41" borderId="12" xfId="67" applyFont="1" applyFill="1" applyBorder="1" applyAlignment="1">
      <alignment vertical="center"/>
    </xf>
    <xf numFmtId="9" fontId="12" fillId="41" borderId="10" xfId="67" applyFont="1" applyFill="1" applyBorder="1" applyAlignment="1">
      <alignment vertical="center"/>
    </xf>
    <xf numFmtId="9" fontId="3" fillId="41" borderId="0" xfId="67" applyFont="1" applyFill="1" applyBorder="1" applyAlignment="1">
      <alignment horizontal="center" vertical="center"/>
    </xf>
    <xf numFmtId="9" fontId="3" fillId="41" borderId="10" xfId="67" applyFont="1" applyFill="1" applyBorder="1" applyAlignment="1">
      <alignment horizontal="center" vertical="center"/>
    </xf>
    <xf numFmtId="9" fontId="3" fillId="41" borderId="12" xfId="67" applyFont="1" applyFill="1" applyBorder="1" applyAlignment="1">
      <alignment horizontal="center" vertical="center"/>
    </xf>
    <xf numFmtId="9" fontId="3" fillId="41" borderId="0" xfId="67" applyFont="1" applyFill="1" applyBorder="1" applyAlignment="1">
      <alignment vertical="center" wrapText="1"/>
    </xf>
    <xf numFmtId="9" fontId="3" fillId="41" borderId="10" xfId="67" applyFont="1" applyFill="1" applyBorder="1" applyAlignment="1">
      <alignment vertical="center" wrapText="1"/>
    </xf>
    <xf numFmtId="9" fontId="3" fillId="41" borderId="16" xfId="67" applyFont="1" applyFill="1" applyBorder="1" applyAlignment="1">
      <alignment horizontal="center" vertical="center"/>
    </xf>
    <xf numFmtId="9" fontId="3" fillId="41" borderId="13" xfId="67" applyFont="1" applyFill="1" applyBorder="1" applyAlignment="1">
      <alignment horizontal="center" vertical="center"/>
    </xf>
    <xf numFmtId="9" fontId="12" fillId="41" borderId="0" xfId="67" applyFont="1" applyFill="1" applyBorder="1" applyAlignment="1">
      <alignment horizontal="center" vertical="center"/>
    </xf>
    <xf numFmtId="9" fontId="3" fillId="41" borderId="0" xfId="67" applyFont="1" applyFill="1" applyBorder="1" applyAlignment="1">
      <alignment horizontal="right" vertical="center"/>
    </xf>
    <xf numFmtId="9" fontId="12" fillId="41" borderId="10" xfId="67" applyFont="1" applyFill="1" applyBorder="1" applyAlignment="1">
      <alignment horizontal="right" vertical="center"/>
    </xf>
    <xf numFmtId="9" fontId="12" fillId="41" borderId="12" xfId="67" applyFont="1" applyFill="1" applyBorder="1" applyAlignment="1">
      <alignment horizontal="center" vertical="center"/>
    </xf>
    <xf numFmtId="9" fontId="3" fillId="41" borderId="10" xfId="67" applyFont="1" applyFill="1" applyBorder="1" applyAlignment="1">
      <alignment horizontal="right" vertical="center"/>
    </xf>
    <xf numFmtId="9" fontId="12" fillId="41" borderId="0" xfId="67" applyFont="1" applyFill="1" applyBorder="1" applyAlignment="1">
      <alignment horizontal="right" vertical="center"/>
    </xf>
    <xf numFmtId="9" fontId="3" fillId="41" borderId="12" xfId="67" applyFont="1" applyFill="1" applyBorder="1" applyAlignment="1">
      <alignment horizontal="right" vertical="center"/>
    </xf>
    <xf numFmtId="9" fontId="3" fillId="41" borderId="21" xfId="67" applyFont="1" applyFill="1" applyBorder="1" applyAlignment="1">
      <alignment horizontal="center" vertical="center"/>
    </xf>
    <xf numFmtId="168" fontId="3" fillId="37" borderId="15" xfId="57" applyNumberFormat="1" applyFont="1" applyFill="1" applyBorder="1" applyAlignment="1">
      <alignment horizontal="right" vertical="center"/>
      <protection/>
    </xf>
    <xf numFmtId="9" fontId="3" fillId="41" borderId="19" xfId="67" applyFont="1" applyFill="1" applyBorder="1" applyAlignment="1">
      <alignment horizontal="right" vertical="center"/>
    </xf>
    <xf numFmtId="9" fontId="12" fillId="41" borderId="14" xfId="67" applyFont="1" applyFill="1" applyBorder="1" applyAlignment="1">
      <alignment horizontal="right" vertical="center"/>
    </xf>
    <xf numFmtId="9" fontId="3" fillId="41" borderId="20" xfId="67" applyFont="1" applyFill="1" applyBorder="1" applyAlignment="1">
      <alignment horizontal="right" vertical="center"/>
    </xf>
    <xf numFmtId="0" fontId="4" fillId="0" borderId="16" xfId="57" applyFont="1" applyBorder="1" applyAlignment="1">
      <alignment vertical="top"/>
      <protection/>
    </xf>
    <xf numFmtId="0" fontId="0" fillId="0" borderId="0" xfId="0" applyFont="1" applyAlignment="1">
      <alignment horizontal="left"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7"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4" fillId="35" borderId="16"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9" xfId="0" applyFont="1" applyFill="1" applyBorder="1" applyAlignment="1">
      <alignment horizontal="center" vertical="center"/>
    </xf>
    <xf numFmtId="0" fontId="3" fillId="0" borderId="19" xfId="0" applyFont="1" applyFill="1" applyBorder="1" applyAlignment="1">
      <alignment horizontal="right" vertical="center"/>
    </xf>
    <xf numFmtId="0" fontId="3" fillId="0" borderId="0" xfId="0" applyFont="1" applyAlignment="1" quotePrefix="1">
      <alignment vertical="top" wrapText="1"/>
    </xf>
    <xf numFmtId="0" fontId="4" fillId="0" borderId="0" xfId="0" applyFont="1" applyBorder="1" applyAlignment="1">
      <alignment wrapText="1"/>
    </xf>
    <xf numFmtId="0" fontId="4" fillId="0" borderId="0" xfId="0" applyFont="1" applyBorder="1" applyAlignment="1">
      <alignment wrapText="1"/>
    </xf>
    <xf numFmtId="0" fontId="15" fillId="0" borderId="0" xfId="0" applyFont="1" applyFill="1" applyBorder="1" applyAlignment="1">
      <alignment horizontal="center" vertical="center" textRotation="90" wrapText="1"/>
    </xf>
    <xf numFmtId="0" fontId="7" fillId="35" borderId="21"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0" xfId="0" applyFont="1" applyFill="1" applyBorder="1" applyAlignment="1">
      <alignment horizontal="center" vertical="center"/>
    </xf>
    <xf numFmtId="0" fontId="4" fillId="0" borderId="10" xfId="60" applyFont="1" applyBorder="1" applyAlignment="1">
      <alignment textRotation="90" wrapText="1"/>
      <protection/>
    </xf>
    <xf numFmtId="0" fontId="4" fillId="0" borderId="0" xfId="60" applyFont="1" applyAlignment="1">
      <alignment wrapText="1"/>
      <protection/>
    </xf>
    <xf numFmtId="0" fontId="6" fillId="0" borderId="0" xfId="60" applyFont="1" applyBorder="1" applyAlignment="1">
      <alignment horizontal="left" vertical="top"/>
      <protection/>
    </xf>
    <xf numFmtId="0" fontId="5" fillId="0" borderId="0" xfId="60" applyFont="1" applyBorder="1" applyAlignment="1">
      <alignment horizontal="center" vertical="top" wrapText="1"/>
      <protection/>
    </xf>
    <xf numFmtId="0" fontId="7" fillId="0" borderId="0" xfId="60" applyFont="1" applyBorder="1" applyAlignment="1">
      <alignment horizontal="center" vertical="top" wrapText="1"/>
      <protection/>
    </xf>
    <xf numFmtId="0" fontId="3" fillId="0" borderId="0" xfId="60" applyFont="1" applyBorder="1" applyAlignment="1">
      <alignment horizontal="center" vertical="top" wrapText="1"/>
      <protection/>
    </xf>
    <xf numFmtId="0" fontId="5" fillId="0" borderId="0" xfId="57" applyFont="1" applyAlignment="1">
      <alignment horizontal="center" vertical="top" wrapText="1"/>
      <protection/>
    </xf>
    <xf numFmtId="0" fontId="4" fillId="0" borderId="0" xfId="57" applyFont="1" applyBorder="1" applyAlignment="1">
      <alignment horizontal="center" textRotation="90" wrapText="1"/>
      <protection/>
    </xf>
    <xf numFmtId="0" fontId="3" fillId="0" borderId="19" xfId="57" applyFont="1" applyBorder="1" applyAlignment="1">
      <alignment horizontal="right" vertical="center"/>
      <protection/>
    </xf>
    <xf numFmtId="0" fontId="7" fillId="0" borderId="0" xfId="57" applyFont="1" applyAlignment="1">
      <alignment horizontal="center" vertical="top" wrapText="1"/>
      <protection/>
    </xf>
    <xf numFmtId="0" fontId="3" fillId="0" borderId="0" xfId="0" applyFont="1" applyAlignment="1">
      <alignment wrapText="1"/>
    </xf>
    <xf numFmtId="0" fontId="3" fillId="0" borderId="0" xfId="0" applyFont="1" applyAlignment="1">
      <alignment wrapText="1"/>
    </xf>
    <xf numFmtId="0" fontId="3" fillId="0" borderId="19" xfId="0" applyFont="1" applyFill="1" applyBorder="1" applyAlignment="1">
      <alignment horizontal="right" vertical="center"/>
    </xf>
    <xf numFmtId="0" fontId="7" fillId="0" borderId="0" xfId="0" applyFont="1" applyFill="1" applyBorder="1" applyAlignment="1">
      <alignment horizontal="center" vertical="center" wrapText="1"/>
    </xf>
    <xf numFmtId="0" fontId="4" fillId="0" borderId="10" xfId="0" applyFont="1" applyBorder="1" applyAlignment="1">
      <alignment horizontal="center" textRotation="90"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Border="1" applyAlignment="1">
      <alignment horizontal="left"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4" fillId="35" borderId="21" xfId="0" applyFont="1" applyFill="1" applyBorder="1" applyAlignment="1">
      <alignment horizontal="center" wrapText="1"/>
    </xf>
    <xf numFmtId="0" fontId="4" fillId="35" borderId="16" xfId="0" applyFont="1" applyFill="1" applyBorder="1" applyAlignment="1">
      <alignment horizontal="center" wrapText="1"/>
    </xf>
    <xf numFmtId="0" fontId="3" fillId="35" borderId="12" xfId="0" applyFont="1" applyFill="1" applyBorder="1" applyAlignment="1">
      <alignment horizontal="center" vertical="top" wrapText="1"/>
    </xf>
    <xf numFmtId="0" fontId="3" fillId="35" borderId="0" xfId="0" applyFont="1" applyFill="1" applyBorder="1" applyAlignment="1">
      <alignment horizontal="center" vertical="top" wrapText="1"/>
    </xf>
    <xf numFmtId="0" fontId="4" fillId="35" borderId="21" xfId="0" applyFont="1" applyFill="1" applyBorder="1" applyAlignment="1">
      <alignment horizontal="center" vertical="top" wrapText="1"/>
    </xf>
    <xf numFmtId="0" fontId="4" fillId="35" borderId="16"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35" borderId="47" xfId="0" applyFont="1" applyFill="1" applyBorder="1" applyAlignment="1">
      <alignment horizontal="center"/>
    </xf>
    <xf numFmtId="0" fontId="4" fillId="35" borderId="0" xfId="0" applyFont="1" applyFill="1" applyBorder="1" applyAlignment="1">
      <alignment horizontal="center"/>
    </xf>
    <xf numFmtId="0" fontId="4" fillId="35" borderId="10" xfId="0" applyFont="1" applyFill="1" applyBorder="1" applyAlignment="1">
      <alignment horizontal="center"/>
    </xf>
    <xf numFmtId="0" fontId="4" fillId="35" borderId="12" xfId="0" applyFont="1" applyFill="1" applyBorder="1" applyAlignment="1">
      <alignment horizontal="center"/>
    </xf>
    <xf numFmtId="0" fontId="4" fillId="35" borderId="24" xfId="0" applyFont="1" applyFill="1" applyBorder="1" applyAlignment="1">
      <alignment horizontal="center"/>
    </xf>
    <xf numFmtId="0" fontId="4" fillId="0" borderId="10" xfId="0" applyFont="1" applyBorder="1" applyAlignment="1">
      <alignment horizontal="center" textRotation="90" wrapText="1"/>
    </xf>
    <xf numFmtId="0" fontId="8" fillId="35" borderId="16"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0" borderId="19" xfId="0" applyFont="1" applyBorder="1" applyAlignment="1">
      <alignment horizontal="right" vertical="center"/>
    </xf>
    <xf numFmtId="0" fontId="0" fillId="0" borderId="13" xfId="0" applyBorder="1" applyAlignment="1">
      <alignment/>
    </xf>
    <xf numFmtId="0" fontId="0" fillId="0" borderId="0" xfId="0" applyAlignment="1">
      <alignment/>
    </xf>
    <xf numFmtId="0" fontId="0" fillId="0" borderId="10" xfId="0" applyBorder="1" applyAlignment="1">
      <alignment/>
    </xf>
    <xf numFmtId="0" fontId="5" fillId="0" borderId="0" xfId="0" applyFont="1" applyBorder="1" applyAlignment="1" quotePrefix="1">
      <alignment horizontal="left" vertical="top"/>
    </xf>
    <xf numFmtId="0" fontId="0" fillId="0" borderId="19" xfId="0" applyFont="1" applyBorder="1" applyAlignment="1">
      <alignment horizontal="right" vertical="center"/>
    </xf>
    <xf numFmtId="0" fontId="0" fillId="0" borderId="19" xfId="0" applyFont="1" applyBorder="1" applyAlignment="1">
      <alignment horizontal="right" vertical="center"/>
    </xf>
    <xf numFmtId="0" fontId="5" fillId="0" borderId="0" xfId="0" applyFont="1" applyBorder="1" applyAlignment="1">
      <alignment horizontal="center" vertical="top"/>
    </xf>
    <xf numFmtId="0" fontId="3" fillId="0" borderId="0" xfId="0" applyFont="1" applyBorder="1" applyAlignment="1">
      <alignment horizontal="left" vertical="top"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Fill="1" applyBorder="1" applyAlignment="1">
      <alignment horizontal="left" wrapText="1"/>
    </xf>
    <xf numFmtId="0" fontId="4" fillId="35" borderId="2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center" wrapText="1"/>
    </xf>
    <xf numFmtId="0" fontId="4" fillId="35" borderId="21"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0" borderId="0" xfId="0" applyFont="1" applyBorder="1" applyAlignment="1">
      <alignment horizontal="center" textRotation="90" wrapText="1"/>
    </xf>
    <xf numFmtId="0" fontId="7" fillId="35" borderId="16" xfId="0" applyFont="1" applyFill="1" applyBorder="1" applyAlignment="1">
      <alignment horizontal="center" vertical="center"/>
    </xf>
    <xf numFmtId="0" fontId="7" fillId="35" borderId="0" xfId="0" applyFont="1" applyFill="1" applyBorder="1" applyAlignment="1">
      <alignment horizontal="center" vertical="center"/>
    </xf>
    <xf numFmtId="0" fontId="4" fillId="0" borderId="0" xfId="0" applyFont="1" applyFill="1" applyBorder="1" applyAlignment="1">
      <alignment horizontal="left" wrapText="1"/>
    </xf>
    <xf numFmtId="0" fontId="5" fillId="0" borderId="19" xfId="0" applyFont="1" applyBorder="1" applyAlignment="1">
      <alignment horizontal="center" vertical="top"/>
    </xf>
    <xf numFmtId="0" fontId="7" fillId="35" borderId="13" xfId="0" applyFont="1" applyFill="1" applyBorder="1" applyAlignment="1">
      <alignment horizontal="center" vertical="center"/>
    </xf>
    <xf numFmtId="0" fontId="4" fillId="0" borderId="0" xfId="0" applyFont="1" applyFill="1" applyAlignment="1">
      <alignment horizontal="left"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35" borderId="0"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wrapText="1"/>
    </xf>
    <xf numFmtId="0" fontId="4" fillId="35" borderId="0" xfId="0" applyFont="1" applyFill="1" applyBorder="1" applyAlignment="1">
      <alignment horizontal="center" wrapText="1"/>
    </xf>
    <xf numFmtId="0" fontId="4" fillId="35" borderId="10" xfId="0" applyFont="1" applyFill="1" applyBorder="1" applyAlignment="1">
      <alignment horizontal="center" wrapText="1"/>
    </xf>
    <xf numFmtId="0" fontId="3" fillId="35" borderId="47"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35" borderId="25" xfId="0" applyFont="1" applyFill="1" applyBorder="1" applyAlignment="1">
      <alignment horizontal="center" vertical="center" wrapText="1"/>
    </xf>
    <xf numFmtId="0" fontId="15" fillId="35" borderId="41" xfId="0" applyFont="1" applyFill="1" applyBorder="1" applyAlignment="1">
      <alignment horizontal="center" vertical="center" wrapText="1"/>
    </xf>
    <xf numFmtId="9" fontId="15" fillId="35" borderId="28" xfId="0" applyNumberFormat="1" applyFont="1" applyFill="1" applyBorder="1" applyAlignment="1">
      <alignment horizontal="center" vertical="center" wrapText="1"/>
    </xf>
    <xf numFmtId="9" fontId="15" fillId="35" borderId="27"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35" borderId="1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0"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11" xfId="0" applyFont="1" applyFill="1" applyBorder="1" applyAlignment="1">
      <alignment horizontal="center" vertical="center"/>
    </xf>
    <xf numFmtId="0" fontId="4" fillId="0" borderId="0" xfId="0" applyFont="1" applyBorder="1" applyAlignment="1">
      <alignment horizontal="left" vertical="top" wrapText="1"/>
    </xf>
    <xf numFmtId="0" fontId="4" fillId="35" borderId="28" xfId="0" applyFont="1" applyFill="1" applyBorder="1" applyAlignment="1">
      <alignment horizontal="center" vertical="top" wrapText="1"/>
    </xf>
    <xf numFmtId="0" fontId="4" fillId="35" borderId="27" xfId="0" applyFont="1" applyFill="1" applyBorder="1" applyAlignment="1">
      <alignment horizontal="center" vertical="top" wrapText="1"/>
    </xf>
    <xf numFmtId="0" fontId="9" fillId="35" borderId="12"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0" xfId="0" applyFont="1" applyFill="1" applyBorder="1" applyAlignment="1">
      <alignment horizontal="center" vertical="center"/>
    </xf>
    <xf numFmtId="0" fontId="5" fillId="0" borderId="0" xfId="57" applyFont="1" applyAlignment="1">
      <alignment horizontal="center" wrapText="1"/>
      <protection/>
    </xf>
    <xf numFmtId="1" fontId="4" fillId="41" borderId="54" xfId="57" applyNumberFormat="1" applyFont="1" applyFill="1" applyBorder="1" applyAlignment="1">
      <alignment horizontal="center"/>
      <protection/>
    </xf>
    <xf numFmtId="1" fontId="4" fillId="41" borderId="58" xfId="57" applyNumberFormat="1" applyFont="1" applyFill="1" applyBorder="1" applyAlignment="1">
      <alignment horizontal="center"/>
      <protection/>
    </xf>
    <xf numFmtId="1" fontId="4" fillId="41" borderId="11" xfId="57" applyNumberFormat="1" applyFont="1" applyFill="1" applyBorder="1" applyAlignment="1">
      <alignment horizontal="center"/>
      <protection/>
    </xf>
    <xf numFmtId="0" fontId="4" fillId="0" borderId="0" xfId="57" applyFont="1" applyBorder="1" applyAlignment="1">
      <alignment horizontal="left" vertical="top" wrapText="1"/>
      <protection/>
    </xf>
    <xf numFmtId="0" fontId="4" fillId="0" borderId="16" xfId="0" applyFont="1" applyBorder="1" applyAlignment="1">
      <alignment horizontal="left" wrapText="1"/>
    </xf>
    <xf numFmtId="49" fontId="4" fillId="0" borderId="0" xfId="57" applyNumberFormat="1" applyFont="1" applyBorder="1" applyAlignment="1">
      <alignment horizontal="left" vertical="top" wrapText="1"/>
      <protection/>
    </xf>
    <xf numFmtId="0" fontId="4" fillId="0" borderId="16" xfId="0" applyFont="1" applyBorder="1" applyAlignment="1">
      <alignment horizontal="left" vertical="top" wrapText="1"/>
    </xf>
    <xf numFmtId="0" fontId="4" fillId="0" borderId="16" xfId="0" applyFont="1" applyBorder="1" applyAlignment="1">
      <alignment horizontal="left" wrapText="1"/>
    </xf>
    <xf numFmtId="0" fontId="4" fillId="35" borderId="13" xfId="0" applyFont="1" applyFill="1" applyBorder="1" applyAlignment="1">
      <alignment horizontal="center" vertical="center"/>
    </xf>
    <xf numFmtId="0" fontId="4" fillId="35" borderId="10" xfId="0" applyFont="1" applyFill="1" applyBorder="1" applyAlignment="1">
      <alignment horizontal="center" vertical="center"/>
    </xf>
    <xf numFmtId="0" fontId="3" fillId="35" borderId="22"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35" borderId="28" xfId="0" applyFont="1" applyFill="1" applyBorder="1" applyAlignment="1">
      <alignment horizontal="center" vertical="top" wrapText="1"/>
    </xf>
    <xf numFmtId="0" fontId="3" fillId="35" borderId="27" xfId="0" applyFont="1" applyFill="1" applyBorder="1" applyAlignment="1">
      <alignment horizontal="center" vertical="top" wrapText="1"/>
    </xf>
    <xf numFmtId="0" fontId="3" fillId="35" borderId="18" xfId="0" applyFont="1" applyFill="1" applyBorder="1" applyAlignment="1">
      <alignment horizontal="center" vertical="top"/>
    </xf>
    <xf numFmtId="0" fontId="3" fillId="35" borderId="15" xfId="0" applyFont="1" applyFill="1" applyBorder="1" applyAlignment="1">
      <alignment horizontal="center" vertical="top"/>
    </xf>
    <xf numFmtId="0" fontId="8" fillId="35" borderId="12" xfId="0" applyFont="1" applyFill="1" applyBorder="1" applyAlignment="1">
      <alignment horizontal="center" vertical="center"/>
    </xf>
    <xf numFmtId="0" fontId="8" fillId="35" borderId="10" xfId="0" applyFont="1" applyFill="1" applyBorder="1" applyAlignment="1">
      <alignment horizontal="center" vertical="center"/>
    </xf>
    <xf numFmtId="0" fontId="4" fillId="0" borderId="0" xfId="0" applyFont="1" applyBorder="1" applyAlignment="1">
      <alignment/>
    </xf>
    <xf numFmtId="0" fontId="0" fillId="0" borderId="0" xfId="0" applyFont="1" applyBorder="1" applyAlignment="1">
      <alignment horizontal="center" vertical="top"/>
    </xf>
    <xf numFmtId="0" fontId="8" fillId="35" borderId="21" xfId="0" applyFont="1" applyFill="1" applyBorder="1" applyAlignment="1">
      <alignment horizontal="center" vertical="top"/>
    </xf>
    <xf numFmtId="0" fontId="8" fillId="35" borderId="13" xfId="0" applyFont="1" applyFill="1" applyBorder="1" applyAlignment="1">
      <alignment horizontal="center" vertical="top"/>
    </xf>
    <xf numFmtId="0" fontId="4" fillId="35" borderId="12" xfId="0" applyFont="1" applyFill="1" applyBorder="1" applyAlignment="1">
      <alignment horizontal="center" vertical="top" wrapText="1"/>
    </xf>
    <xf numFmtId="0" fontId="4" fillId="35" borderId="10" xfId="0" applyFont="1" applyFill="1" applyBorder="1" applyAlignment="1">
      <alignment horizontal="center" vertical="top"/>
    </xf>
    <xf numFmtId="0" fontId="4" fillId="35" borderId="12"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8" fillId="35" borderId="16" xfId="0" applyFont="1" applyFill="1" applyBorder="1" applyAlignment="1">
      <alignment horizontal="center" vertical="top"/>
    </xf>
    <xf numFmtId="169" fontId="3" fillId="37" borderId="50" xfId="0" applyNumberFormat="1" applyFont="1" applyFill="1" applyBorder="1" applyAlignment="1">
      <alignment horizontal="righ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rmal 6" xfId="61"/>
    <cellStyle name="Normal 7" xfId="62"/>
    <cellStyle name="Normal_Sheet1" xfId="63"/>
    <cellStyle name="Note" xfId="64"/>
    <cellStyle name="Output" xfId="65"/>
    <cellStyle name="Percent" xfId="66"/>
    <cellStyle name="Percent 2" xfId="67"/>
    <cellStyle name="Standard_E00seit45" xfId="68"/>
    <cellStyle name="Title" xfId="69"/>
    <cellStyle name="Titre ligne" xfId="70"/>
    <cellStyle name="Total" xfId="71"/>
    <cellStyle name="Total intermediaire"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61"/>
  <sheetViews>
    <sheetView zoomScalePageLayoutView="0" workbookViewId="0" topLeftCell="A7">
      <selection activeCell="E34" sqref="E34"/>
    </sheetView>
  </sheetViews>
  <sheetFormatPr defaultColWidth="9.140625" defaultRowHeight="12.75"/>
  <cols>
    <col min="1" max="1" width="0.85546875" style="191" customWidth="1"/>
    <col min="2" max="2" width="8.140625" style="193" customWidth="1"/>
    <col min="3" max="3" width="1.421875" style="194" customWidth="1"/>
    <col min="4" max="4" width="62.57421875" style="191" customWidth="1"/>
    <col min="5" max="5" width="20.00390625" style="191" customWidth="1"/>
    <col min="6" max="16384" width="9.140625" style="191" customWidth="1"/>
  </cols>
  <sheetData>
    <row r="1" spans="2:5" ht="19.5" customHeight="1">
      <c r="B1" s="922" t="s">
        <v>345</v>
      </c>
      <c r="C1" s="922"/>
      <c r="D1" s="922"/>
      <c r="E1" s="922"/>
    </row>
    <row r="2" spans="2:5" ht="19.5" customHeight="1">
      <c r="B2" s="924" t="s">
        <v>346</v>
      </c>
      <c r="C2" s="924"/>
      <c r="D2" s="924"/>
      <c r="E2" s="924"/>
    </row>
    <row r="3" spans="2:5" ht="19.5" customHeight="1">
      <c r="B3" s="925" t="s">
        <v>431</v>
      </c>
      <c r="C3" s="925"/>
      <c r="D3" s="925"/>
      <c r="E3" s="925"/>
    </row>
    <row r="4" spans="2:5" ht="19.5" customHeight="1">
      <c r="B4" s="926" t="s">
        <v>360</v>
      </c>
      <c r="C4" s="926"/>
      <c r="D4" s="926"/>
      <c r="E4" s="926"/>
    </row>
    <row r="5" spans="3:5" ht="19.5" customHeight="1">
      <c r="C5" s="192"/>
      <c r="D5" s="192"/>
      <c r="E5" s="192"/>
    </row>
    <row r="6" ht="19.5" customHeight="1"/>
    <row r="7" spans="2:5" ht="19.5" customHeight="1">
      <c r="B7" s="922" t="s">
        <v>432</v>
      </c>
      <c r="C7" s="922"/>
      <c r="D7" s="922"/>
      <c r="E7" s="922"/>
    </row>
    <row r="8" spans="2:5" ht="19.5" customHeight="1">
      <c r="B8" s="921">
        <v>2018</v>
      </c>
      <c r="C8" s="921"/>
      <c r="D8" s="921"/>
      <c r="E8" s="921"/>
    </row>
    <row r="9" spans="2:5" ht="19.5" customHeight="1">
      <c r="B9" s="195"/>
      <c r="C9" s="195"/>
      <c r="D9" s="195"/>
      <c r="E9" s="195"/>
    </row>
    <row r="10" spans="2:5" ht="19.5" customHeight="1">
      <c r="B10" s="928" t="s">
        <v>394</v>
      </c>
      <c r="C10" s="928"/>
      <c r="D10" s="928"/>
      <c r="E10" s="928"/>
    </row>
    <row r="11" spans="2:5" ht="19.5" customHeight="1">
      <c r="B11" s="196"/>
      <c r="E11" s="196"/>
    </row>
    <row r="12" spans="2:5" ht="19.5" customHeight="1">
      <c r="B12" s="929" t="s">
        <v>410</v>
      </c>
      <c r="C12" s="929"/>
      <c r="D12" s="929"/>
      <c r="E12" s="929"/>
    </row>
    <row r="13" spans="2:10" ht="19.5" customHeight="1">
      <c r="B13" s="923" t="s">
        <v>347</v>
      </c>
      <c r="C13" s="923"/>
      <c r="D13" s="923"/>
      <c r="E13" s="923"/>
      <c r="F13" s="197"/>
      <c r="G13" s="197"/>
      <c r="H13" s="197"/>
      <c r="I13" s="197"/>
      <c r="J13" s="197"/>
    </row>
    <row r="14" spans="2:10" ht="19.5" customHeight="1">
      <c r="B14" s="927" t="s">
        <v>348</v>
      </c>
      <c r="C14" s="927"/>
      <c r="D14" s="927"/>
      <c r="E14" s="927"/>
      <c r="F14" s="190"/>
      <c r="G14" s="190"/>
      <c r="H14" s="190"/>
      <c r="I14" s="190"/>
      <c r="J14" s="190"/>
    </row>
    <row r="15" spans="2:5" ht="19.5" customHeight="1">
      <c r="B15" s="196"/>
      <c r="D15"/>
      <c r="E15" s="196"/>
    </row>
    <row r="16" spans="2:5" ht="19.5" customHeight="1">
      <c r="B16" s="196"/>
      <c r="E16" s="196"/>
    </row>
    <row r="17" spans="2:5" ht="15" customHeight="1">
      <c r="B17" s="198" t="s">
        <v>395</v>
      </c>
      <c r="C17" s="199"/>
      <c r="D17" s="200" t="s">
        <v>349</v>
      </c>
      <c r="E17" s="201"/>
    </row>
    <row r="18" spans="2:5" ht="15" customHeight="1">
      <c r="B18" s="198" t="s">
        <v>396</v>
      </c>
      <c r="C18" s="199"/>
      <c r="D18" s="200" t="s">
        <v>350</v>
      </c>
      <c r="E18" s="201"/>
    </row>
    <row r="19" spans="2:5" ht="15" customHeight="1">
      <c r="B19" s="198" t="s">
        <v>396</v>
      </c>
      <c r="C19" s="199"/>
      <c r="D19" s="200" t="s">
        <v>351</v>
      </c>
      <c r="E19" s="201"/>
    </row>
    <row r="20" spans="2:5" ht="15" customHeight="1">
      <c r="B20" s="198" t="s">
        <v>397</v>
      </c>
      <c r="C20" s="199"/>
      <c r="D20" s="200" t="s">
        <v>352</v>
      </c>
      <c r="E20" s="201"/>
    </row>
    <row r="21" spans="2:6" ht="15" customHeight="1">
      <c r="B21" s="198" t="s">
        <v>398</v>
      </c>
      <c r="C21" s="199"/>
      <c r="D21" s="920" t="s">
        <v>353</v>
      </c>
      <c r="E21" s="920"/>
      <c r="F21" s="200"/>
    </row>
    <row r="22" spans="2:5" ht="15" customHeight="1">
      <c r="B22" s="198" t="s">
        <v>399</v>
      </c>
      <c r="C22" s="199"/>
      <c r="D22" s="200" t="s">
        <v>354</v>
      </c>
      <c r="E22" s="201"/>
    </row>
    <row r="23" spans="2:5" ht="15" customHeight="1">
      <c r="B23" s="198" t="s">
        <v>400</v>
      </c>
      <c r="C23" s="199"/>
      <c r="D23" s="315" t="s">
        <v>556</v>
      </c>
      <c r="E23" s="161"/>
    </row>
    <row r="24" spans="2:5" ht="15" customHeight="1">
      <c r="B24" s="198" t="s">
        <v>401</v>
      </c>
      <c r="C24" s="199"/>
      <c r="D24" s="200" t="s">
        <v>355</v>
      </c>
      <c r="E24" s="201"/>
    </row>
    <row r="25" spans="2:5" ht="15" customHeight="1">
      <c r="B25" s="198" t="s">
        <v>402</v>
      </c>
      <c r="C25" s="202"/>
      <c r="D25" s="200" t="s">
        <v>356</v>
      </c>
      <c r="E25" s="201"/>
    </row>
    <row r="26" spans="2:5" ht="15" customHeight="1">
      <c r="B26" s="198" t="s">
        <v>403</v>
      </c>
      <c r="C26" s="202"/>
      <c r="D26" s="200" t="s">
        <v>357</v>
      </c>
      <c r="E26" s="201"/>
    </row>
    <row r="27" spans="2:4" ht="15" customHeight="1">
      <c r="B27" s="198" t="s">
        <v>404</v>
      </c>
      <c r="C27" s="203"/>
      <c r="D27" s="200" t="s">
        <v>358</v>
      </c>
    </row>
    <row r="28" spans="2:4" ht="15" customHeight="1">
      <c r="B28" s="198" t="s">
        <v>405</v>
      </c>
      <c r="C28" s="203"/>
      <c r="D28" s="200" t="s">
        <v>300</v>
      </c>
    </row>
    <row r="29" spans="2:4" ht="15" customHeight="1">
      <c r="B29" s="198" t="s">
        <v>406</v>
      </c>
      <c r="C29" s="203"/>
      <c r="D29" s="200" t="s">
        <v>384</v>
      </c>
    </row>
    <row r="30" spans="2:5" ht="15" customHeight="1">
      <c r="B30" s="316" t="s">
        <v>407</v>
      </c>
      <c r="C30" s="203"/>
      <c r="D30" s="200" t="s">
        <v>275</v>
      </c>
      <c r="E30" s="161"/>
    </row>
    <row r="31" spans="2:5" ht="15" customHeight="1">
      <c r="B31" s="316" t="s">
        <v>0</v>
      </c>
      <c r="C31" s="203"/>
      <c r="D31" s="200" t="s">
        <v>306</v>
      </c>
      <c r="E31" s="161"/>
    </row>
    <row r="32" spans="2:5" ht="15" customHeight="1">
      <c r="B32" s="198" t="s">
        <v>408</v>
      </c>
      <c r="C32" s="203"/>
      <c r="D32" s="200" t="s">
        <v>359</v>
      </c>
      <c r="E32" s="201"/>
    </row>
    <row r="33" spans="2:5" ht="15" customHeight="1">
      <c r="B33" s="316" t="s">
        <v>409</v>
      </c>
      <c r="C33" s="203"/>
      <c r="D33" s="315" t="s">
        <v>598</v>
      </c>
      <c r="E33" s="201"/>
    </row>
    <row r="34" spans="2:5" ht="15" customHeight="1">
      <c r="B34" s="316" t="s">
        <v>599</v>
      </c>
      <c r="C34" s="203"/>
      <c r="D34" s="315" t="s">
        <v>497</v>
      </c>
      <c r="E34" s="201"/>
    </row>
    <row r="35" spans="2:5" ht="12.75" customHeight="1">
      <c r="B35" s="316" t="s">
        <v>600</v>
      </c>
      <c r="C35" s="203"/>
      <c r="D35" s="315" t="s">
        <v>498</v>
      </c>
      <c r="E35" s="201"/>
    </row>
    <row r="36" spans="2:5" ht="15" customHeight="1">
      <c r="B36" s="316" t="s">
        <v>495</v>
      </c>
      <c r="C36" s="203"/>
      <c r="D36" s="315" t="s">
        <v>558</v>
      </c>
      <c r="E36" s="201"/>
    </row>
    <row r="37" spans="2:5" ht="12.75">
      <c r="B37" s="316" t="s">
        <v>496</v>
      </c>
      <c r="C37" s="203"/>
      <c r="D37" s="315" t="s">
        <v>503</v>
      </c>
      <c r="E37" s="196"/>
    </row>
    <row r="38" spans="2:5" ht="12.75">
      <c r="B38" s="196"/>
      <c r="E38" s="196"/>
    </row>
    <row r="39" spans="2:5" ht="12.75">
      <c r="B39" s="196"/>
      <c r="E39" s="196"/>
    </row>
    <row r="41" spans="2:5" ht="13.5">
      <c r="B41" s="204"/>
      <c r="E41"/>
    </row>
    <row r="42" spans="2:5" ht="12.75">
      <c r="B42" s="196"/>
      <c r="E42" s="196"/>
    </row>
    <row r="43" spans="2:5" ht="12.75">
      <c r="B43" s="196"/>
      <c r="E43" s="196"/>
    </row>
    <row r="44" spans="2:5" ht="12.75">
      <c r="B44" s="196"/>
      <c r="E44" s="196"/>
    </row>
    <row r="51" spans="3:4" ht="12.75">
      <c r="C51" s="205"/>
      <c r="D51" s="206"/>
    </row>
    <row r="58" ht="12.75"/>
    <row r="61" spans="3:5" ht="12.75">
      <c r="C61"/>
      <c r="D61"/>
      <c r="E61"/>
    </row>
  </sheetData>
  <sheetProtection/>
  <mergeCells count="11">
    <mergeCell ref="B12:E12"/>
    <mergeCell ref="D21:E21"/>
    <mergeCell ref="B8:E8"/>
    <mergeCell ref="B7:E7"/>
    <mergeCell ref="B13:E13"/>
    <mergeCell ref="B1:E1"/>
    <mergeCell ref="B2:E2"/>
    <mergeCell ref="B3:E3"/>
    <mergeCell ref="B4:E4"/>
    <mergeCell ref="B14:E14"/>
    <mergeCell ref="B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X73"/>
  <sheetViews>
    <sheetView zoomScalePageLayoutView="0" workbookViewId="0" topLeftCell="A1">
      <pane xSplit="5" topLeftCell="I1" activePane="topRight" state="frozen"/>
      <selection pane="topLeft" activeCell="A1" sqref="A1"/>
      <selection pane="topRight" activeCell="AC37" sqref="AC37"/>
    </sheetView>
  </sheetViews>
  <sheetFormatPr defaultColWidth="9.140625" defaultRowHeight="12.75"/>
  <cols>
    <col min="1" max="1" width="3.57421875" style="0" customWidth="1"/>
    <col min="2" max="2" width="3.7109375" style="0" customWidth="1"/>
    <col min="3" max="3" width="0.85546875" style="0" customWidth="1"/>
    <col min="4" max="4" width="20.7109375" style="0" customWidth="1"/>
    <col min="5" max="5" width="5.00390625" style="1" customWidth="1"/>
    <col min="6" max="6" width="7.28125" style="1" customWidth="1"/>
    <col min="7" max="23" width="7.28125" style="0" customWidth="1"/>
    <col min="24" max="24" width="3.7109375" style="0" customWidth="1"/>
  </cols>
  <sheetData>
    <row r="1" spans="2:23" ht="14.25" customHeight="1">
      <c r="B1" s="1"/>
      <c r="C1" s="21"/>
      <c r="D1" s="21"/>
      <c r="E1" s="22"/>
      <c r="J1" s="11"/>
      <c r="K1" s="11"/>
      <c r="L1" s="11"/>
      <c r="M1" s="11"/>
      <c r="N1" s="11"/>
      <c r="O1" s="11"/>
      <c r="P1" s="11"/>
      <c r="Q1" s="11"/>
      <c r="R1" s="11"/>
      <c r="S1" s="11"/>
      <c r="T1" s="11"/>
      <c r="U1" s="11"/>
      <c r="V1" s="11"/>
      <c r="W1" s="10" t="s">
        <v>402</v>
      </c>
    </row>
    <row r="2" spans="2:23" ht="30" customHeight="1">
      <c r="B2" s="1"/>
      <c r="C2" s="933" t="s">
        <v>10</v>
      </c>
      <c r="D2" s="933"/>
      <c r="E2" s="933"/>
      <c r="F2" s="933"/>
      <c r="G2" s="933"/>
      <c r="H2" s="933"/>
      <c r="I2" s="933"/>
      <c r="J2" s="933"/>
      <c r="K2" s="933"/>
      <c r="L2" s="933"/>
      <c r="M2" s="933"/>
      <c r="N2" s="933"/>
      <c r="O2" s="933"/>
      <c r="P2" s="933"/>
      <c r="Q2" s="933"/>
      <c r="R2" s="933"/>
      <c r="S2" s="933"/>
      <c r="T2" s="933"/>
      <c r="U2" s="933"/>
      <c r="V2" s="933"/>
      <c r="W2" s="933"/>
    </row>
    <row r="3" spans="2:23" ht="15" customHeight="1">
      <c r="B3" s="1"/>
      <c r="C3" s="989" t="s">
        <v>320</v>
      </c>
      <c r="D3" s="989"/>
      <c r="E3" s="989"/>
      <c r="F3" s="989"/>
      <c r="G3" s="989"/>
      <c r="H3" s="989"/>
      <c r="I3" s="989"/>
      <c r="J3" s="989"/>
      <c r="K3" s="989"/>
      <c r="L3" s="989"/>
      <c r="M3" s="989"/>
      <c r="N3" s="989"/>
      <c r="O3" s="989"/>
      <c r="P3" s="989"/>
      <c r="Q3" s="989"/>
      <c r="R3" s="989"/>
      <c r="S3" s="989"/>
      <c r="T3" s="989"/>
      <c r="U3" s="989"/>
      <c r="V3" s="989"/>
      <c r="W3" s="989"/>
    </row>
    <row r="4" spans="3:23" ht="12" customHeight="1">
      <c r="C4" s="990">
        <v>1000</v>
      </c>
      <c r="D4" s="990"/>
      <c r="E4" s="990"/>
      <c r="F4" s="990"/>
      <c r="G4" s="990"/>
      <c r="H4" s="990"/>
      <c r="I4" s="990"/>
      <c r="J4" s="990"/>
      <c r="K4" s="990"/>
      <c r="L4" s="990"/>
      <c r="M4" s="990"/>
      <c r="N4" s="990"/>
      <c r="O4" s="990"/>
      <c r="P4" s="990"/>
      <c r="Q4" s="990"/>
      <c r="R4" s="990"/>
      <c r="S4" s="990"/>
      <c r="T4" s="990"/>
      <c r="U4" s="990"/>
      <c r="V4" s="990"/>
      <c r="W4" s="990"/>
    </row>
    <row r="5" spans="2:23" s="12" customFormat="1" ht="12" customHeight="1">
      <c r="B5" s="984" t="s">
        <v>261</v>
      </c>
      <c r="C5" s="63"/>
      <c r="D5" s="985" t="s">
        <v>99</v>
      </c>
      <c r="E5" s="986"/>
      <c r="F5" s="81"/>
      <c r="G5" s="81"/>
      <c r="H5" s="81"/>
      <c r="I5" s="81"/>
      <c r="J5" s="72"/>
      <c r="K5" s="72"/>
      <c r="L5" s="72"/>
      <c r="M5" s="72"/>
      <c r="N5" s="72"/>
      <c r="O5" s="72"/>
      <c r="P5" s="72"/>
      <c r="Q5" s="72"/>
      <c r="R5" s="72"/>
      <c r="S5" s="72"/>
      <c r="T5" s="72"/>
      <c r="U5" s="72"/>
      <c r="V5" s="72"/>
      <c r="W5" s="77" t="s">
        <v>322</v>
      </c>
    </row>
    <row r="6" spans="2:23" s="12" customFormat="1" ht="9.75" customHeight="1">
      <c r="B6" s="984"/>
      <c r="C6" s="64"/>
      <c r="D6" s="987"/>
      <c r="E6" s="988"/>
      <c r="F6" s="84">
        <v>2000</v>
      </c>
      <c r="G6" s="84">
        <v>2001</v>
      </c>
      <c r="H6" s="84">
        <v>2002</v>
      </c>
      <c r="I6" s="84">
        <v>2003</v>
      </c>
      <c r="J6" s="70">
        <v>2004</v>
      </c>
      <c r="K6" s="70">
        <v>2005</v>
      </c>
      <c r="L6" s="70">
        <v>2006</v>
      </c>
      <c r="M6" s="70">
        <v>2007</v>
      </c>
      <c r="N6" s="70">
        <v>2008</v>
      </c>
      <c r="O6" s="70">
        <v>2009</v>
      </c>
      <c r="P6" s="70">
        <v>2010</v>
      </c>
      <c r="Q6" s="70">
        <v>2011</v>
      </c>
      <c r="R6" s="70">
        <v>2012</v>
      </c>
      <c r="S6" s="70">
        <v>2013</v>
      </c>
      <c r="T6" s="70">
        <v>2014</v>
      </c>
      <c r="U6" s="70">
        <v>2015</v>
      </c>
      <c r="V6" s="70">
        <v>2016</v>
      </c>
      <c r="W6" s="74" t="s">
        <v>581</v>
      </c>
    </row>
    <row r="7" spans="2:23" s="12" customFormat="1" ht="15.75" customHeight="1">
      <c r="B7" s="984"/>
      <c r="C7" s="65"/>
      <c r="D7" s="82"/>
      <c r="E7" s="82"/>
      <c r="F7" s="82"/>
      <c r="G7" s="82"/>
      <c r="H7" s="82"/>
      <c r="I7" s="82"/>
      <c r="J7" s="75"/>
      <c r="K7" s="75"/>
      <c r="L7" s="75"/>
      <c r="M7" s="75"/>
      <c r="N7" s="75"/>
      <c r="O7" s="75"/>
      <c r="P7" s="75"/>
      <c r="Q7" s="75"/>
      <c r="R7" s="75"/>
      <c r="S7" s="75"/>
      <c r="T7" s="75"/>
      <c r="U7" s="75"/>
      <c r="V7" s="75"/>
      <c r="W7" s="78" t="s">
        <v>192</v>
      </c>
    </row>
    <row r="8" spans="2:24" s="7" customFormat="1" ht="12" customHeight="1">
      <c r="B8" s="210">
        <v>1</v>
      </c>
      <c r="C8" s="90"/>
      <c r="D8" s="166" t="s">
        <v>100</v>
      </c>
      <c r="E8" s="757" t="s">
        <v>177</v>
      </c>
      <c r="F8" s="373">
        <v>16197</v>
      </c>
      <c r="G8" s="373">
        <v>15957</v>
      </c>
      <c r="H8" s="373">
        <v>16449</v>
      </c>
      <c r="I8" s="373">
        <v>14770</v>
      </c>
      <c r="J8" s="373">
        <v>14429</v>
      </c>
      <c r="K8" s="373">
        <v>13501</v>
      </c>
      <c r="L8" s="373">
        <v>13987</v>
      </c>
      <c r="M8" s="373">
        <v>14433</v>
      </c>
      <c r="N8" s="373">
        <v>14006</v>
      </c>
      <c r="O8" s="373">
        <v>13265</v>
      </c>
      <c r="P8" s="373">
        <v>13361</v>
      </c>
      <c r="Q8" s="373">
        <v>12918</v>
      </c>
      <c r="R8" s="373">
        <v>12076</v>
      </c>
      <c r="S8" s="373">
        <v>12898</v>
      </c>
      <c r="T8" s="373">
        <v>13381</v>
      </c>
      <c r="U8" s="373">
        <v>13082</v>
      </c>
      <c r="V8" s="373">
        <v>12097</v>
      </c>
      <c r="W8" s="758">
        <f>V8/U8*100-100</f>
        <v>-7.529429750802635</v>
      </c>
      <c r="X8" s="19"/>
    </row>
    <row r="9" spans="2:24" s="7" customFormat="1" ht="12" customHeight="1">
      <c r="B9" s="211">
        <v>2</v>
      </c>
      <c r="C9" s="268"/>
      <c r="D9" s="266" t="s">
        <v>326</v>
      </c>
      <c r="E9" s="458" t="s">
        <v>187</v>
      </c>
      <c r="F9" s="377">
        <v>9251</v>
      </c>
      <c r="G9" s="377">
        <v>9010</v>
      </c>
      <c r="H9" s="377">
        <v>8871</v>
      </c>
      <c r="I9" s="377">
        <v>8549</v>
      </c>
      <c r="J9" s="377">
        <v>8747</v>
      </c>
      <c r="K9" s="377">
        <v>8854</v>
      </c>
      <c r="L9" s="377">
        <v>8548</v>
      </c>
      <c r="M9" s="377">
        <v>8561</v>
      </c>
      <c r="N9" s="377">
        <v>8976</v>
      </c>
      <c r="O9" s="377">
        <v>9085</v>
      </c>
      <c r="P9" s="377">
        <v>9849</v>
      </c>
      <c r="Q9" s="377">
        <v>10326</v>
      </c>
      <c r="R9" s="377">
        <v>10637</v>
      </c>
      <c r="S9" s="377">
        <v>10756</v>
      </c>
      <c r="T9" s="377">
        <v>10942</v>
      </c>
      <c r="U9" s="377">
        <v>11214</v>
      </c>
      <c r="V9" s="377">
        <v>11565</v>
      </c>
      <c r="W9" s="603">
        <f aca="true" t="shared" si="0" ref="W9:W57">V9/U9*100-100</f>
        <v>3.1300160513643647</v>
      </c>
      <c r="X9" s="19"/>
    </row>
    <row r="10" spans="2:24" s="7" customFormat="1" ht="12" customHeight="1">
      <c r="B10" s="210">
        <v>3</v>
      </c>
      <c r="C10" s="93"/>
      <c r="D10" s="166" t="s">
        <v>105</v>
      </c>
      <c r="E10" s="459" t="s">
        <v>188</v>
      </c>
      <c r="F10" s="373">
        <v>7746</v>
      </c>
      <c r="G10" s="373">
        <v>7001</v>
      </c>
      <c r="H10" s="373">
        <v>6826</v>
      </c>
      <c r="I10" s="373">
        <v>7294</v>
      </c>
      <c r="J10" s="373">
        <v>7823</v>
      </c>
      <c r="K10" s="373">
        <v>8211</v>
      </c>
      <c r="L10" s="373">
        <v>8054</v>
      </c>
      <c r="M10" s="373">
        <v>8127</v>
      </c>
      <c r="N10" s="373">
        <v>8677</v>
      </c>
      <c r="O10" s="373">
        <v>9089</v>
      </c>
      <c r="P10" s="373">
        <v>9147</v>
      </c>
      <c r="Q10" s="373">
        <v>9184</v>
      </c>
      <c r="R10" s="373">
        <v>9108</v>
      </c>
      <c r="S10" s="373">
        <v>8889</v>
      </c>
      <c r="T10" s="373">
        <v>9933</v>
      </c>
      <c r="U10" s="373">
        <v>9887</v>
      </c>
      <c r="V10" s="373">
        <v>9980</v>
      </c>
      <c r="W10" s="602">
        <f t="shared" si="0"/>
        <v>0.9406291089309065</v>
      </c>
      <c r="X10" s="19"/>
    </row>
    <row r="11" spans="2:24" s="7" customFormat="1" ht="12" customHeight="1">
      <c r="B11" s="211">
        <v>4</v>
      </c>
      <c r="C11" s="268"/>
      <c r="D11" s="266" t="s">
        <v>329</v>
      </c>
      <c r="E11" s="458" t="s">
        <v>164</v>
      </c>
      <c r="F11" s="377"/>
      <c r="G11" s="377">
        <v>5740</v>
      </c>
      <c r="H11" s="377">
        <v>5136</v>
      </c>
      <c r="I11" s="377">
        <v>5172</v>
      </c>
      <c r="J11" s="377">
        <v>6452</v>
      </c>
      <c r="K11" s="377">
        <v>6701</v>
      </c>
      <c r="L11" s="377">
        <v>6447</v>
      </c>
      <c r="M11" s="377">
        <v>6220</v>
      </c>
      <c r="N11" s="377">
        <v>6870</v>
      </c>
      <c r="O11" s="377">
        <v>6841</v>
      </c>
      <c r="P11" s="377">
        <v>7523</v>
      </c>
      <c r="Q11" s="377">
        <v>8043</v>
      </c>
      <c r="R11" s="377">
        <v>8417</v>
      </c>
      <c r="S11" s="377">
        <v>8727</v>
      </c>
      <c r="T11" s="377">
        <v>9098</v>
      </c>
      <c r="U11" s="377">
        <v>9299</v>
      </c>
      <c r="V11" s="377">
        <v>9676</v>
      </c>
      <c r="W11" s="603">
        <f t="shared" si="0"/>
        <v>4.054199376277026</v>
      </c>
      <c r="X11" s="19"/>
    </row>
    <row r="12" spans="2:24" s="7" customFormat="1" ht="12" customHeight="1">
      <c r="B12" s="210">
        <v>5</v>
      </c>
      <c r="C12" s="93"/>
      <c r="D12" s="166" t="s">
        <v>101</v>
      </c>
      <c r="E12" s="459" t="s">
        <v>181</v>
      </c>
      <c r="F12" s="373">
        <v>15066</v>
      </c>
      <c r="G12" s="373">
        <v>14370</v>
      </c>
      <c r="H12" s="373">
        <v>14991</v>
      </c>
      <c r="I12" s="373">
        <v>13729</v>
      </c>
      <c r="J12" s="373">
        <v>13259</v>
      </c>
      <c r="K12" s="373">
        <v>11695</v>
      </c>
      <c r="L12" s="373">
        <v>11460</v>
      </c>
      <c r="M12" s="373">
        <v>11519</v>
      </c>
      <c r="N12" s="373">
        <v>11002</v>
      </c>
      <c r="O12" s="373">
        <v>10158</v>
      </c>
      <c r="P12" s="373">
        <v>10237</v>
      </c>
      <c r="Q12" s="373">
        <v>10063</v>
      </c>
      <c r="R12" s="373">
        <v>9345</v>
      </c>
      <c r="S12" s="373">
        <v>10372</v>
      </c>
      <c r="T12" s="373">
        <v>10703</v>
      </c>
      <c r="U12" s="373">
        <v>9757</v>
      </c>
      <c r="V12" s="373">
        <v>9090</v>
      </c>
      <c r="W12" s="602">
        <f t="shared" si="0"/>
        <v>-6.836117659116539</v>
      </c>
      <c r="X12" s="19"/>
    </row>
    <row r="13" spans="2:24" s="7" customFormat="1" ht="12" customHeight="1">
      <c r="B13" s="211">
        <v>6</v>
      </c>
      <c r="C13" s="268"/>
      <c r="D13" s="266" t="s">
        <v>104</v>
      </c>
      <c r="E13" s="458" t="s">
        <v>175</v>
      </c>
      <c r="F13" s="377">
        <v>7289</v>
      </c>
      <c r="G13" s="377">
        <v>8237</v>
      </c>
      <c r="H13" s="377">
        <v>8639</v>
      </c>
      <c r="I13" s="377">
        <v>9315</v>
      </c>
      <c r="J13" s="377">
        <v>10713</v>
      </c>
      <c r="K13" s="377">
        <v>11076</v>
      </c>
      <c r="L13" s="377">
        <v>11539</v>
      </c>
      <c r="M13" s="377">
        <v>11063</v>
      </c>
      <c r="N13" s="377">
        <v>11079</v>
      </c>
      <c r="O13" s="377">
        <v>10444</v>
      </c>
      <c r="P13" s="377">
        <v>10944</v>
      </c>
      <c r="Q13" s="377">
        <v>9182</v>
      </c>
      <c r="R13" s="377">
        <v>7918</v>
      </c>
      <c r="S13" s="377">
        <v>7704</v>
      </c>
      <c r="T13" s="377">
        <v>8136</v>
      </c>
      <c r="U13" s="377">
        <v>8169</v>
      </c>
      <c r="V13" s="377">
        <v>8038</v>
      </c>
      <c r="W13" s="603">
        <f t="shared" si="0"/>
        <v>-1.603623454523202</v>
      </c>
      <c r="X13" s="19"/>
    </row>
    <row r="14" spans="2:24" s="7" customFormat="1" ht="12" customHeight="1">
      <c r="B14" s="210">
        <v>7</v>
      </c>
      <c r="C14" s="93"/>
      <c r="D14" s="166" t="s">
        <v>448</v>
      </c>
      <c r="E14" s="459" t="s">
        <v>174</v>
      </c>
      <c r="F14" s="373">
        <v>13322</v>
      </c>
      <c r="G14" s="373">
        <v>11513</v>
      </c>
      <c r="H14" s="373">
        <v>11609</v>
      </c>
      <c r="I14" s="373">
        <v>11646</v>
      </c>
      <c r="J14" s="373">
        <v>11612</v>
      </c>
      <c r="K14" s="373">
        <v>11023</v>
      </c>
      <c r="L14" s="373">
        <v>10721</v>
      </c>
      <c r="M14" s="373">
        <v>10966</v>
      </c>
      <c r="N14" s="373">
        <v>10912</v>
      </c>
      <c r="O14" s="373">
        <v>9415</v>
      </c>
      <c r="P14" s="373">
        <v>8534</v>
      </c>
      <c r="Q14" s="373">
        <v>8324</v>
      </c>
      <c r="R14" s="373">
        <v>7822</v>
      </c>
      <c r="S14" s="373">
        <v>7721</v>
      </c>
      <c r="T14" s="373">
        <v>7634</v>
      </c>
      <c r="U14" s="373">
        <v>7644</v>
      </c>
      <c r="V14" s="373">
        <v>7526</v>
      </c>
      <c r="W14" s="602">
        <f t="shared" si="0"/>
        <v>-1.5436944008372535</v>
      </c>
      <c r="X14" s="19"/>
    </row>
    <row r="15" spans="2:24" s="7" customFormat="1" ht="12" customHeight="1">
      <c r="B15" s="211">
        <v>8</v>
      </c>
      <c r="C15" s="268"/>
      <c r="D15" s="266" t="s">
        <v>102</v>
      </c>
      <c r="E15" s="458" t="s">
        <v>188</v>
      </c>
      <c r="F15" s="377">
        <v>13525</v>
      </c>
      <c r="G15" s="377">
        <v>11771</v>
      </c>
      <c r="H15" s="377">
        <v>11666</v>
      </c>
      <c r="I15" s="377">
        <v>11693</v>
      </c>
      <c r="J15" s="377">
        <v>11808</v>
      </c>
      <c r="K15" s="377">
        <v>11102</v>
      </c>
      <c r="L15" s="377">
        <v>10776</v>
      </c>
      <c r="M15" s="377">
        <v>10966</v>
      </c>
      <c r="N15" s="377">
        <v>10911</v>
      </c>
      <c r="O15" s="377">
        <v>9415</v>
      </c>
      <c r="P15" s="377">
        <v>8540</v>
      </c>
      <c r="Q15" s="377">
        <v>8339</v>
      </c>
      <c r="R15" s="377">
        <v>7841</v>
      </c>
      <c r="S15" s="377">
        <v>7763</v>
      </c>
      <c r="T15" s="377">
        <v>7656</v>
      </c>
      <c r="U15" s="377">
        <v>7670</v>
      </c>
      <c r="V15" s="377">
        <v>7514</v>
      </c>
      <c r="W15" s="603">
        <f t="shared" si="0"/>
        <v>-2.0338983050847474</v>
      </c>
      <c r="X15" s="19"/>
    </row>
    <row r="16" spans="2:24" s="7" customFormat="1" ht="12" customHeight="1">
      <c r="B16" s="210">
        <v>9</v>
      </c>
      <c r="C16" s="93"/>
      <c r="D16" s="166" t="s">
        <v>21</v>
      </c>
      <c r="E16" s="459" t="s">
        <v>175</v>
      </c>
      <c r="F16" s="373"/>
      <c r="G16" s="373">
        <v>3624</v>
      </c>
      <c r="H16" s="373">
        <v>12133</v>
      </c>
      <c r="I16" s="373">
        <v>12541</v>
      </c>
      <c r="J16" s="373">
        <v>11568</v>
      </c>
      <c r="K16" s="373">
        <v>11663</v>
      </c>
      <c r="L16" s="373">
        <v>11981</v>
      </c>
      <c r="M16" s="373">
        <v>13066</v>
      </c>
      <c r="N16" s="373">
        <v>13063</v>
      </c>
      <c r="O16" s="373">
        <v>12821</v>
      </c>
      <c r="P16" s="373">
        <v>12705</v>
      </c>
      <c r="Q16" s="373">
        <v>11662</v>
      </c>
      <c r="R16" s="373">
        <v>11430</v>
      </c>
      <c r="S16" s="373">
        <v>10724</v>
      </c>
      <c r="T16" s="373">
        <v>7016</v>
      </c>
      <c r="U16" s="373">
        <v>7050</v>
      </c>
      <c r="V16" s="373">
        <v>6639</v>
      </c>
      <c r="W16" s="602">
        <f t="shared" si="0"/>
        <v>-5.829787234042556</v>
      </c>
      <c r="X16" s="19"/>
    </row>
    <row r="17" spans="2:24" s="7" customFormat="1" ht="12" customHeight="1">
      <c r="B17" s="211"/>
      <c r="C17" s="268"/>
      <c r="D17" s="266" t="s">
        <v>22</v>
      </c>
      <c r="E17" s="458" t="s">
        <v>175</v>
      </c>
      <c r="F17" s="377"/>
      <c r="G17" s="377">
        <v>3624</v>
      </c>
      <c r="H17" s="377">
        <v>12133</v>
      </c>
      <c r="I17" s="377">
        <v>12541</v>
      </c>
      <c r="J17" s="377">
        <v>11568</v>
      </c>
      <c r="K17" s="377">
        <v>11663</v>
      </c>
      <c r="L17" s="377">
        <v>11981</v>
      </c>
      <c r="M17" s="377">
        <v>13066</v>
      </c>
      <c r="N17" s="377">
        <v>13063</v>
      </c>
      <c r="O17" s="377">
        <v>12821</v>
      </c>
      <c r="P17" s="377">
        <v>12705</v>
      </c>
      <c r="Q17" s="377">
        <v>11662</v>
      </c>
      <c r="R17" s="377">
        <v>11430</v>
      </c>
      <c r="S17" s="377">
        <v>10724</v>
      </c>
      <c r="T17" s="377">
        <v>7016</v>
      </c>
      <c r="U17" s="377">
        <v>7050</v>
      </c>
      <c r="V17" s="377">
        <v>6639</v>
      </c>
      <c r="W17" s="603">
        <f t="shared" si="0"/>
        <v>-5.829787234042556</v>
      </c>
      <c r="X17" s="19"/>
    </row>
    <row r="18" spans="2:24" s="7" customFormat="1" ht="12" customHeight="1">
      <c r="B18" s="210">
        <v>11</v>
      </c>
      <c r="C18" s="93"/>
      <c r="D18" s="166" t="s">
        <v>369</v>
      </c>
      <c r="E18" s="459" t="s">
        <v>180</v>
      </c>
      <c r="F18" s="373">
        <v>1864</v>
      </c>
      <c r="G18" s="373">
        <v>1873</v>
      </c>
      <c r="H18" s="373">
        <v>2286</v>
      </c>
      <c r="I18" s="373">
        <v>2537</v>
      </c>
      <c r="J18" s="373">
        <v>3742</v>
      </c>
      <c r="K18" s="373">
        <v>4817</v>
      </c>
      <c r="L18" s="373">
        <v>4942</v>
      </c>
      <c r="M18" s="373">
        <v>5275</v>
      </c>
      <c r="N18" s="373">
        <v>5048</v>
      </c>
      <c r="O18" s="373">
        <v>4692</v>
      </c>
      <c r="P18" s="373">
        <v>4496</v>
      </c>
      <c r="Q18" s="373">
        <v>4610</v>
      </c>
      <c r="R18" s="373">
        <v>4292</v>
      </c>
      <c r="S18" s="373">
        <v>4756</v>
      </c>
      <c r="T18" s="373">
        <v>4939</v>
      </c>
      <c r="U18" s="373">
        <v>5496</v>
      </c>
      <c r="V18" s="373">
        <v>6431</v>
      </c>
      <c r="W18" s="602">
        <f t="shared" si="0"/>
        <v>17.01237263464337</v>
      </c>
      <c r="X18" s="19"/>
    </row>
    <row r="19" spans="2:24" s="7" customFormat="1" ht="12" customHeight="1">
      <c r="B19" s="211">
        <v>12</v>
      </c>
      <c r="C19" s="268"/>
      <c r="D19" s="266" t="s">
        <v>103</v>
      </c>
      <c r="E19" s="458" t="s">
        <v>183</v>
      </c>
      <c r="F19" s="377">
        <v>11898</v>
      </c>
      <c r="G19" s="377">
        <v>11612</v>
      </c>
      <c r="H19" s="377">
        <v>10256</v>
      </c>
      <c r="I19" s="377">
        <v>9833</v>
      </c>
      <c r="J19" s="377">
        <v>10128</v>
      </c>
      <c r="K19" s="377">
        <v>9802</v>
      </c>
      <c r="L19" s="377">
        <v>10834</v>
      </c>
      <c r="M19" s="377">
        <v>10603</v>
      </c>
      <c r="N19" s="377">
        <v>10380</v>
      </c>
      <c r="O19" s="377">
        <v>10441</v>
      </c>
      <c r="P19" s="377">
        <v>10765</v>
      </c>
      <c r="Q19" s="377">
        <v>8060</v>
      </c>
      <c r="R19" s="377">
        <v>8126</v>
      </c>
      <c r="S19" s="377">
        <v>7256</v>
      </c>
      <c r="T19" s="377">
        <v>6988</v>
      </c>
      <c r="U19" s="377">
        <v>7021</v>
      </c>
      <c r="V19" s="377">
        <v>6139</v>
      </c>
      <c r="W19" s="603">
        <f t="shared" si="0"/>
        <v>-12.562313060817544</v>
      </c>
      <c r="X19" s="19"/>
    </row>
    <row r="20" spans="2:24" s="7" customFormat="1" ht="12" customHeight="1">
      <c r="B20" s="210">
        <v>13</v>
      </c>
      <c r="C20" s="93"/>
      <c r="D20" s="166" t="s">
        <v>107</v>
      </c>
      <c r="E20" s="459" t="s">
        <v>179</v>
      </c>
      <c r="F20" s="373">
        <v>5430</v>
      </c>
      <c r="G20" s="373">
        <v>5984</v>
      </c>
      <c r="H20" s="373">
        <v>6592</v>
      </c>
      <c r="I20" s="373">
        <v>6422</v>
      </c>
      <c r="J20" s="373">
        <v>6741</v>
      </c>
      <c r="K20" s="373">
        <v>6760</v>
      </c>
      <c r="L20" s="373">
        <v>6789</v>
      </c>
      <c r="M20" s="373">
        <v>7069</v>
      </c>
      <c r="N20" s="373">
        <v>6768</v>
      </c>
      <c r="O20" s="373">
        <v>6305</v>
      </c>
      <c r="P20" s="373">
        <v>6261</v>
      </c>
      <c r="Q20" s="373">
        <v>6028</v>
      </c>
      <c r="R20" s="373">
        <v>5963</v>
      </c>
      <c r="S20" s="373">
        <v>5944</v>
      </c>
      <c r="T20" s="373">
        <v>6002</v>
      </c>
      <c r="U20" s="373">
        <v>6141</v>
      </c>
      <c r="V20" s="373">
        <v>6024</v>
      </c>
      <c r="W20" s="602">
        <f t="shared" si="0"/>
        <v>-1.9052271617000542</v>
      </c>
      <c r="X20" s="19"/>
    </row>
    <row r="21" spans="2:24" s="7" customFormat="1" ht="12" customHeight="1">
      <c r="B21" s="211">
        <v>14</v>
      </c>
      <c r="C21" s="268"/>
      <c r="D21" s="266" t="s">
        <v>26</v>
      </c>
      <c r="E21" s="458" t="s">
        <v>174</v>
      </c>
      <c r="F21" s="377">
        <v>5430</v>
      </c>
      <c r="G21" s="377">
        <v>6028</v>
      </c>
      <c r="H21" s="377">
        <v>6508</v>
      </c>
      <c r="I21" s="377">
        <v>6421</v>
      </c>
      <c r="J21" s="377">
        <v>6744</v>
      </c>
      <c r="K21" s="377">
        <v>6761</v>
      </c>
      <c r="L21" s="377">
        <v>6789</v>
      </c>
      <c r="M21" s="377">
        <v>7058</v>
      </c>
      <c r="N21" s="377">
        <v>6756</v>
      </c>
      <c r="O21" s="377">
        <v>6305</v>
      </c>
      <c r="P21" s="377">
        <v>6261</v>
      </c>
      <c r="Q21" s="377">
        <v>6028</v>
      </c>
      <c r="R21" s="377">
        <v>6000</v>
      </c>
      <c r="S21" s="377">
        <v>5944</v>
      </c>
      <c r="T21" s="377">
        <v>6003</v>
      </c>
      <c r="U21" s="377">
        <v>6139</v>
      </c>
      <c r="V21" s="377">
        <v>6016</v>
      </c>
      <c r="W21" s="603">
        <f t="shared" si="0"/>
        <v>-2.0035836455448788</v>
      </c>
      <c r="X21" s="19"/>
    </row>
    <row r="22" spans="2:24" s="7" customFormat="1" ht="12" customHeight="1">
      <c r="B22" s="210">
        <v>15</v>
      </c>
      <c r="C22" s="93"/>
      <c r="D22" s="166" t="s">
        <v>106</v>
      </c>
      <c r="E22" s="459" t="s">
        <v>183</v>
      </c>
      <c r="F22" s="373">
        <v>6748</v>
      </c>
      <c r="G22" s="373">
        <v>7056</v>
      </c>
      <c r="H22" s="373">
        <v>6708</v>
      </c>
      <c r="I22" s="373">
        <v>6811</v>
      </c>
      <c r="J22" s="373">
        <v>6801</v>
      </c>
      <c r="K22" s="373">
        <v>6084</v>
      </c>
      <c r="L22" s="373">
        <v>6804</v>
      </c>
      <c r="M22" s="373">
        <v>6598</v>
      </c>
      <c r="N22" s="373">
        <v>6185</v>
      </c>
      <c r="O22" s="373">
        <v>6932</v>
      </c>
      <c r="P22" s="373">
        <v>8356</v>
      </c>
      <c r="Q22" s="373">
        <v>7859</v>
      </c>
      <c r="R22" s="373">
        <v>7964</v>
      </c>
      <c r="S22" s="373">
        <v>7360</v>
      </c>
      <c r="T22" s="373">
        <v>7652</v>
      </c>
      <c r="U22" s="373">
        <v>6484</v>
      </c>
      <c r="V22" s="373">
        <v>5993</v>
      </c>
      <c r="W22" s="602">
        <f t="shared" si="0"/>
        <v>-7.572486119679212</v>
      </c>
      <c r="X22" s="19"/>
    </row>
    <row r="23" spans="2:24" s="7" customFormat="1" ht="12" customHeight="1">
      <c r="B23" s="211">
        <v>16</v>
      </c>
      <c r="C23" s="268"/>
      <c r="D23" s="266" t="s">
        <v>109</v>
      </c>
      <c r="E23" s="458" t="s">
        <v>180</v>
      </c>
      <c r="F23" s="377">
        <v>4261</v>
      </c>
      <c r="G23" s="377">
        <v>4402</v>
      </c>
      <c r="H23" s="377">
        <v>4286</v>
      </c>
      <c r="I23" s="377">
        <v>4542</v>
      </c>
      <c r="J23" s="377">
        <v>4648</v>
      </c>
      <c r="K23" s="377">
        <v>4829</v>
      </c>
      <c r="L23" s="377">
        <v>5166</v>
      </c>
      <c r="M23" s="377">
        <v>5227</v>
      </c>
      <c r="N23" s="377">
        <v>4988</v>
      </c>
      <c r="O23" s="377">
        <v>4608</v>
      </c>
      <c r="P23" s="377">
        <v>4663</v>
      </c>
      <c r="Q23" s="377">
        <v>4504</v>
      </c>
      <c r="R23" s="377">
        <v>4849</v>
      </c>
      <c r="S23" s="377">
        <v>4812</v>
      </c>
      <c r="T23" s="377">
        <v>5386</v>
      </c>
      <c r="U23" s="377">
        <v>5473</v>
      </c>
      <c r="V23" s="377">
        <v>5599</v>
      </c>
      <c r="W23" s="603">
        <f t="shared" si="0"/>
        <v>2.302210853279732</v>
      </c>
      <c r="X23" s="19"/>
    </row>
    <row r="24" spans="2:24" s="7" customFormat="1" ht="12" customHeight="1">
      <c r="B24" s="210">
        <v>17</v>
      </c>
      <c r="C24" s="93"/>
      <c r="D24" s="166" t="s">
        <v>475</v>
      </c>
      <c r="E24" s="459" t="s">
        <v>183</v>
      </c>
      <c r="F24" s="373">
        <v>11839</v>
      </c>
      <c r="G24" s="373">
        <v>11511</v>
      </c>
      <c r="H24" s="373">
        <v>10137</v>
      </c>
      <c r="I24" s="373">
        <v>9698</v>
      </c>
      <c r="J24" s="373">
        <v>9992</v>
      </c>
      <c r="K24" s="373">
        <v>9645</v>
      </c>
      <c r="L24" s="373">
        <v>10669</v>
      </c>
      <c r="M24" s="373">
        <v>10336</v>
      </c>
      <c r="N24" s="373">
        <v>10116</v>
      </c>
      <c r="O24" s="373">
        <v>11047</v>
      </c>
      <c r="P24" s="373">
        <v>9891</v>
      </c>
      <c r="Q24" s="373">
        <v>7704</v>
      </c>
      <c r="R24" s="373">
        <v>7760</v>
      </c>
      <c r="S24" s="373">
        <v>6758</v>
      </c>
      <c r="T24" s="373">
        <v>6187</v>
      </c>
      <c r="U24" s="373">
        <v>6053</v>
      </c>
      <c r="V24" s="373">
        <v>5569</v>
      </c>
      <c r="W24" s="602">
        <f t="shared" si="0"/>
        <v>-7.996035023955059</v>
      </c>
      <c r="X24" s="19"/>
    </row>
    <row r="25" spans="2:24" s="7" customFormat="1" ht="12" customHeight="1">
      <c r="B25" s="211">
        <v>18</v>
      </c>
      <c r="C25" s="268"/>
      <c r="D25" s="266" t="s">
        <v>23</v>
      </c>
      <c r="E25" s="458" t="s">
        <v>168</v>
      </c>
      <c r="F25" s="377"/>
      <c r="G25" s="377"/>
      <c r="H25" s="377">
        <v>3320</v>
      </c>
      <c r="I25" s="377">
        <v>3388</v>
      </c>
      <c r="J25" s="377">
        <v>3512</v>
      </c>
      <c r="K25" s="377">
        <v>3463</v>
      </c>
      <c r="L25" s="377">
        <v>3555</v>
      </c>
      <c r="M25" s="377">
        <v>3795</v>
      </c>
      <c r="N25" s="377">
        <v>3942</v>
      </c>
      <c r="O25" s="377">
        <v>3792</v>
      </c>
      <c r="P25" s="377">
        <v>4031</v>
      </c>
      <c r="Q25" s="377">
        <v>4125</v>
      </c>
      <c r="R25" s="377">
        <v>4093</v>
      </c>
      <c r="S25" s="377">
        <v>4395</v>
      </c>
      <c r="T25" s="377">
        <v>4643</v>
      </c>
      <c r="U25" s="377">
        <v>4740</v>
      </c>
      <c r="V25" s="377">
        <v>5133</v>
      </c>
      <c r="W25" s="603">
        <f t="shared" si="0"/>
        <v>8.291139240506325</v>
      </c>
      <c r="X25" s="19"/>
    </row>
    <row r="26" spans="2:24" s="7" customFormat="1" ht="12" customHeight="1">
      <c r="B26" s="210"/>
      <c r="C26" s="93"/>
      <c r="D26" s="166" t="s">
        <v>24</v>
      </c>
      <c r="E26" s="459" t="s">
        <v>168</v>
      </c>
      <c r="F26" s="373"/>
      <c r="G26" s="373"/>
      <c r="H26" s="373">
        <v>3320</v>
      </c>
      <c r="I26" s="373">
        <v>3388</v>
      </c>
      <c r="J26" s="373">
        <v>3512</v>
      </c>
      <c r="K26" s="373">
        <v>3463</v>
      </c>
      <c r="L26" s="373">
        <v>3555</v>
      </c>
      <c r="M26" s="373">
        <v>3795</v>
      </c>
      <c r="N26" s="373">
        <v>3942</v>
      </c>
      <c r="O26" s="373">
        <v>3792</v>
      </c>
      <c r="P26" s="373">
        <v>4031</v>
      </c>
      <c r="Q26" s="373">
        <v>4125</v>
      </c>
      <c r="R26" s="373">
        <v>4093</v>
      </c>
      <c r="S26" s="373">
        <v>4395</v>
      </c>
      <c r="T26" s="373">
        <v>4643</v>
      </c>
      <c r="U26" s="373">
        <v>4740</v>
      </c>
      <c r="V26" s="373">
        <v>5133</v>
      </c>
      <c r="W26" s="602">
        <f t="shared" si="0"/>
        <v>8.291139240506325</v>
      </c>
      <c r="X26" s="19"/>
    </row>
    <row r="27" spans="2:24" s="7" customFormat="1" ht="12" customHeight="1">
      <c r="B27" s="211">
        <v>20</v>
      </c>
      <c r="C27" s="268"/>
      <c r="D27" s="266" t="s">
        <v>383</v>
      </c>
      <c r="E27" s="458" t="s">
        <v>180</v>
      </c>
      <c r="F27" s="377">
        <v>4927</v>
      </c>
      <c r="G27" s="377">
        <v>4910</v>
      </c>
      <c r="H27" s="377">
        <v>4861</v>
      </c>
      <c r="I27" s="377">
        <v>5011</v>
      </c>
      <c r="J27" s="377">
        <v>4941</v>
      </c>
      <c r="K27" s="377">
        <v>4249</v>
      </c>
      <c r="L27" s="377">
        <v>4343</v>
      </c>
      <c r="M27" s="377">
        <v>4592</v>
      </c>
      <c r="N27" s="377">
        <v>4191</v>
      </c>
      <c r="O27" s="377">
        <v>3887</v>
      </c>
      <c r="P27" s="377">
        <v>4110</v>
      </c>
      <c r="Q27" s="377">
        <v>4305</v>
      </c>
      <c r="R27" s="377">
        <v>3923</v>
      </c>
      <c r="S27" s="377">
        <v>4546</v>
      </c>
      <c r="T27" s="377">
        <v>4245</v>
      </c>
      <c r="U27" s="377">
        <v>4320</v>
      </c>
      <c r="V27" s="377">
        <v>4521</v>
      </c>
      <c r="W27" s="603">
        <f t="shared" si="0"/>
        <v>4.6527777777777715</v>
      </c>
      <c r="X27" s="19"/>
    </row>
    <row r="28" spans="2:24" s="7" customFormat="1" ht="12" customHeight="1">
      <c r="B28" s="211">
        <v>21</v>
      </c>
      <c r="C28" s="93"/>
      <c r="D28" s="166" t="s">
        <v>482</v>
      </c>
      <c r="E28" s="459" t="s">
        <v>202</v>
      </c>
      <c r="F28" s="373">
        <v>1952</v>
      </c>
      <c r="G28" s="373">
        <v>2135</v>
      </c>
      <c r="H28" s="373">
        <v>2456</v>
      </c>
      <c r="I28" s="373">
        <v>2788</v>
      </c>
      <c r="J28" s="373">
        <v>2902</v>
      </c>
      <c r="K28" s="373">
        <v>3267</v>
      </c>
      <c r="L28" s="373">
        <v>3476</v>
      </c>
      <c r="M28" s="373">
        <v>3726</v>
      </c>
      <c r="N28" s="373">
        <v>3733</v>
      </c>
      <c r="O28" s="373">
        <v>3558</v>
      </c>
      <c r="P28" s="373">
        <v>3523</v>
      </c>
      <c r="Q28" s="373">
        <v>3698</v>
      </c>
      <c r="R28" s="373">
        <v>3769</v>
      </c>
      <c r="S28" s="373">
        <v>3807</v>
      </c>
      <c r="T28" s="373">
        <v>3506</v>
      </c>
      <c r="U28" s="373">
        <v>3992</v>
      </c>
      <c r="V28" s="373">
        <v>4258</v>
      </c>
      <c r="W28" s="602">
        <f t="shared" si="0"/>
        <v>6.663326653306626</v>
      </c>
      <c r="X28" s="19"/>
    </row>
    <row r="29" spans="2:24" s="7" customFormat="1" ht="12" customHeight="1">
      <c r="B29" s="211">
        <v>22</v>
      </c>
      <c r="C29" s="268"/>
      <c r="D29" s="266" t="s">
        <v>108</v>
      </c>
      <c r="E29" s="458" t="s">
        <v>183</v>
      </c>
      <c r="F29" s="377">
        <v>5404</v>
      </c>
      <c r="G29" s="377">
        <v>5546</v>
      </c>
      <c r="H29" s="377">
        <v>5028</v>
      </c>
      <c r="I29" s="377">
        <v>4749</v>
      </c>
      <c r="J29" s="377">
        <v>4771</v>
      </c>
      <c r="K29" s="377">
        <v>3860</v>
      </c>
      <c r="L29" s="377">
        <v>4940</v>
      </c>
      <c r="M29" s="377">
        <v>5421</v>
      </c>
      <c r="N29" s="377">
        <v>7169</v>
      </c>
      <c r="O29" s="377">
        <v>6944</v>
      </c>
      <c r="P29" s="377">
        <v>6517</v>
      </c>
      <c r="Q29" s="377">
        <v>6576</v>
      </c>
      <c r="R29" s="377">
        <v>6744</v>
      </c>
      <c r="S29" s="377">
        <v>6488</v>
      </c>
      <c r="T29" s="377">
        <v>6054</v>
      </c>
      <c r="U29" s="377">
        <v>4355</v>
      </c>
      <c r="V29" s="377">
        <v>3859</v>
      </c>
      <c r="W29" s="603">
        <f t="shared" si="0"/>
        <v>-11.389207807118254</v>
      </c>
      <c r="X29" s="19"/>
    </row>
    <row r="30" spans="2:24" s="7" customFormat="1" ht="12" customHeight="1">
      <c r="B30" s="210">
        <v>23</v>
      </c>
      <c r="C30" s="93"/>
      <c r="D30" s="166" t="s">
        <v>126</v>
      </c>
      <c r="E30" s="459" t="s">
        <v>183</v>
      </c>
      <c r="F30" s="373">
        <v>3161</v>
      </c>
      <c r="G30" s="373">
        <v>3501</v>
      </c>
      <c r="H30" s="373">
        <v>3675</v>
      </c>
      <c r="I30" s="373">
        <v>3716</v>
      </c>
      <c r="J30" s="373">
        <v>3702</v>
      </c>
      <c r="K30" s="373">
        <v>3277</v>
      </c>
      <c r="L30" s="373">
        <v>3948</v>
      </c>
      <c r="M30" s="373">
        <v>3982</v>
      </c>
      <c r="N30" s="373">
        <v>5036</v>
      </c>
      <c r="O30" s="373">
        <v>4987</v>
      </c>
      <c r="P30" s="373">
        <v>3477</v>
      </c>
      <c r="Q30" s="373">
        <v>3972</v>
      </c>
      <c r="R30" s="373">
        <v>3618</v>
      </c>
      <c r="S30" s="373">
        <v>3532</v>
      </c>
      <c r="T30" s="373">
        <v>3386</v>
      </c>
      <c r="U30" s="373">
        <v>3517</v>
      </c>
      <c r="V30" s="373">
        <v>3703</v>
      </c>
      <c r="W30" s="602">
        <f t="shared" si="0"/>
        <v>5.288598237133925</v>
      </c>
      <c r="X30" s="19"/>
    </row>
    <row r="31" spans="2:24" s="7" customFormat="1" ht="12" customHeight="1">
      <c r="B31" s="211">
        <v>24</v>
      </c>
      <c r="C31" s="268"/>
      <c r="D31" s="266" t="s">
        <v>111</v>
      </c>
      <c r="E31" s="458" t="s">
        <v>187</v>
      </c>
      <c r="F31" s="377">
        <v>3514</v>
      </c>
      <c r="G31" s="377">
        <v>4074</v>
      </c>
      <c r="H31" s="377">
        <v>4025</v>
      </c>
      <c r="I31" s="377">
        <v>4039</v>
      </c>
      <c r="J31" s="377">
        <v>3828</v>
      </c>
      <c r="K31" s="377">
        <v>3697</v>
      </c>
      <c r="L31" s="377">
        <v>3620</v>
      </c>
      <c r="M31" s="377">
        <v>3480</v>
      </c>
      <c r="N31" s="377">
        <v>3488</v>
      </c>
      <c r="O31" s="377">
        <v>3520</v>
      </c>
      <c r="P31" s="377">
        <v>3498</v>
      </c>
      <c r="Q31" s="377">
        <v>3306</v>
      </c>
      <c r="R31" s="377">
        <v>3224</v>
      </c>
      <c r="S31" s="377">
        <v>3452</v>
      </c>
      <c r="T31" s="377">
        <v>3245</v>
      </c>
      <c r="U31" s="377">
        <v>3256</v>
      </c>
      <c r="V31" s="377">
        <v>3259</v>
      </c>
      <c r="W31" s="603">
        <f t="shared" si="0"/>
        <v>0.09213759213760397</v>
      </c>
      <c r="X31" s="19"/>
    </row>
    <row r="32" spans="2:24" s="7" customFormat="1" ht="12" customHeight="1">
      <c r="B32" s="210">
        <v>25</v>
      </c>
      <c r="C32" s="93"/>
      <c r="D32" s="166" t="s">
        <v>127</v>
      </c>
      <c r="E32" s="459" t="s">
        <v>183</v>
      </c>
      <c r="F32" s="373">
        <v>2641</v>
      </c>
      <c r="G32" s="373">
        <v>3036</v>
      </c>
      <c r="H32" s="373">
        <v>3176</v>
      </c>
      <c r="I32" s="373">
        <v>3120</v>
      </c>
      <c r="J32" s="373">
        <v>3195</v>
      </c>
      <c r="K32" s="373">
        <v>2829</v>
      </c>
      <c r="L32" s="373">
        <v>3198</v>
      </c>
      <c r="M32" s="373">
        <v>3155</v>
      </c>
      <c r="N32" s="373">
        <v>3927</v>
      </c>
      <c r="O32" s="373">
        <v>3971</v>
      </c>
      <c r="P32" s="373">
        <v>2769</v>
      </c>
      <c r="Q32" s="373">
        <v>2899</v>
      </c>
      <c r="R32" s="373">
        <v>2981</v>
      </c>
      <c r="S32" s="373">
        <v>2839</v>
      </c>
      <c r="T32" s="373">
        <v>2872</v>
      </c>
      <c r="U32" s="373">
        <v>2945</v>
      </c>
      <c r="V32" s="373">
        <v>3218</v>
      </c>
      <c r="W32" s="602">
        <f t="shared" si="0"/>
        <v>9.269949066213925</v>
      </c>
      <c r="X32" s="19"/>
    </row>
    <row r="33" spans="2:24" s="7" customFormat="1" ht="12" customHeight="1">
      <c r="B33" s="211">
        <v>26</v>
      </c>
      <c r="C33" s="268"/>
      <c r="D33" s="266" t="s">
        <v>130</v>
      </c>
      <c r="E33" s="458" t="s">
        <v>187</v>
      </c>
      <c r="F33" s="377">
        <v>1885</v>
      </c>
      <c r="G33" s="377">
        <v>2377</v>
      </c>
      <c r="H33" s="377">
        <v>2311</v>
      </c>
      <c r="I33" s="377">
        <v>2389</v>
      </c>
      <c r="J33" s="377">
        <v>2843</v>
      </c>
      <c r="K33" s="377">
        <v>3192</v>
      </c>
      <c r="L33" s="377">
        <v>3099</v>
      </c>
      <c r="M33" s="377">
        <v>3125</v>
      </c>
      <c r="N33" s="377">
        <v>3306</v>
      </c>
      <c r="O33" s="377">
        <v>3394</v>
      </c>
      <c r="P33" s="377">
        <v>3302</v>
      </c>
      <c r="Q33" s="377">
        <v>3220</v>
      </c>
      <c r="R33" s="377">
        <v>3191</v>
      </c>
      <c r="S33" s="377">
        <v>3011</v>
      </c>
      <c r="T33" s="377">
        <v>2981</v>
      </c>
      <c r="U33" s="377">
        <v>3043</v>
      </c>
      <c r="V33" s="377">
        <v>2998</v>
      </c>
      <c r="W33" s="603">
        <f t="shared" si="0"/>
        <v>-1.478803812027607</v>
      </c>
      <c r="X33" s="19"/>
    </row>
    <row r="34" spans="2:24" s="7" customFormat="1" ht="12" customHeight="1">
      <c r="B34" s="210">
        <v>27</v>
      </c>
      <c r="C34" s="93"/>
      <c r="D34" s="166" t="s">
        <v>205</v>
      </c>
      <c r="E34" s="459" t="s">
        <v>181</v>
      </c>
      <c r="F34" s="373">
        <v>96</v>
      </c>
      <c r="G34" s="373">
        <v>331</v>
      </c>
      <c r="H34" s="373">
        <v>460</v>
      </c>
      <c r="I34" s="373">
        <v>563</v>
      </c>
      <c r="J34" s="373">
        <v>598</v>
      </c>
      <c r="K34" s="373">
        <v>813</v>
      </c>
      <c r="L34" s="373">
        <v>1535</v>
      </c>
      <c r="M34" s="373">
        <v>1939</v>
      </c>
      <c r="N34" s="373">
        <v>2203</v>
      </c>
      <c r="O34" s="373">
        <v>2422</v>
      </c>
      <c r="P34" s="373">
        <v>2533</v>
      </c>
      <c r="Q34" s="373">
        <v>2601</v>
      </c>
      <c r="R34" s="373">
        <v>2499</v>
      </c>
      <c r="S34" s="373">
        <v>2302</v>
      </c>
      <c r="T34" s="373">
        <v>2518</v>
      </c>
      <c r="U34" s="373">
        <v>3198</v>
      </c>
      <c r="V34" s="373">
        <v>2916</v>
      </c>
      <c r="W34" s="602">
        <f t="shared" si="0"/>
        <v>-8.81801125703565</v>
      </c>
      <c r="X34" s="19"/>
    </row>
    <row r="35" spans="2:24" s="7" customFormat="1" ht="12" customHeight="1">
      <c r="B35" s="211">
        <v>28</v>
      </c>
      <c r="C35" s="268"/>
      <c r="D35" s="266" t="s">
        <v>449</v>
      </c>
      <c r="E35" s="458" t="s">
        <v>183</v>
      </c>
      <c r="F35" s="377">
        <v>3686</v>
      </c>
      <c r="G35" s="377">
        <v>3844</v>
      </c>
      <c r="H35" s="377">
        <v>3576</v>
      </c>
      <c r="I35" s="377">
        <v>3494</v>
      </c>
      <c r="J35" s="377">
        <v>3535</v>
      </c>
      <c r="K35" s="377">
        <v>3169</v>
      </c>
      <c r="L35" s="377">
        <v>3443</v>
      </c>
      <c r="M35" s="377">
        <v>2812</v>
      </c>
      <c r="N35" s="377">
        <v>2342</v>
      </c>
      <c r="O35" s="377">
        <v>2364</v>
      </c>
      <c r="P35" s="377">
        <v>2589</v>
      </c>
      <c r="Q35" s="377">
        <v>2605</v>
      </c>
      <c r="R35" s="377">
        <v>1964</v>
      </c>
      <c r="S35" s="377">
        <v>2089</v>
      </c>
      <c r="T35" s="377">
        <v>2597</v>
      </c>
      <c r="U35" s="377">
        <v>2769</v>
      </c>
      <c r="V35" s="377">
        <v>2893</v>
      </c>
      <c r="W35" s="603">
        <f t="shared" si="0"/>
        <v>4.478150957024198</v>
      </c>
      <c r="X35" s="19"/>
    </row>
    <row r="36" spans="2:24" s="7" customFormat="1" ht="12" customHeight="1">
      <c r="B36" s="210">
        <v>29</v>
      </c>
      <c r="C36" s="93"/>
      <c r="D36" s="166" t="s">
        <v>319</v>
      </c>
      <c r="E36" s="459" t="s">
        <v>179</v>
      </c>
      <c r="F36" s="373">
        <v>1767</v>
      </c>
      <c r="G36" s="373">
        <v>1962</v>
      </c>
      <c r="H36" s="373">
        <v>2099</v>
      </c>
      <c r="I36" s="373">
        <v>2332</v>
      </c>
      <c r="J36" s="373">
        <v>2253</v>
      </c>
      <c r="K36" s="373">
        <v>2417</v>
      </c>
      <c r="L36" s="373">
        <v>2557</v>
      </c>
      <c r="M36" s="373">
        <v>2585</v>
      </c>
      <c r="N36" s="373">
        <v>2713</v>
      </c>
      <c r="O36" s="373">
        <v>2431</v>
      </c>
      <c r="P36" s="373">
        <v>2195</v>
      </c>
      <c r="Q36" s="373">
        <v>2249</v>
      </c>
      <c r="R36" s="373">
        <v>2344</v>
      </c>
      <c r="S36" s="373">
        <v>2300</v>
      </c>
      <c r="T36" s="373">
        <v>2477</v>
      </c>
      <c r="U36" s="373">
        <v>2863</v>
      </c>
      <c r="V36" s="373">
        <v>2833</v>
      </c>
      <c r="W36" s="602">
        <f t="shared" si="0"/>
        <v>-1.047851903597632</v>
      </c>
      <c r="X36" s="19"/>
    </row>
    <row r="37" spans="2:24" s="7" customFormat="1" ht="12" customHeight="1">
      <c r="B37" s="211">
        <v>30</v>
      </c>
      <c r="C37" s="268"/>
      <c r="D37" s="266" t="s">
        <v>324</v>
      </c>
      <c r="E37" s="458" t="s">
        <v>180</v>
      </c>
      <c r="F37" s="377">
        <v>1424</v>
      </c>
      <c r="G37" s="377">
        <v>1442</v>
      </c>
      <c r="H37" s="377">
        <v>1473</v>
      </c>
      <c r="I37" s="377">
        <v>1869</v>
      </c>
      <c r="J37" s="377">
        <v>2039</v>
      </c>
      <c r="K37" s="377">
        <v>1575</v>
      </c>
      <c r="L37" s="377">
        <v>1927</v>
      </c>
      <c r="M37" s="377">
        <v>2090</v>
      </c>
      <c r="N37" s="377">
        <v>2314</v>
      </c>
      <c r="O37" s="377">
        <v>2405</v>
      </c>
      <c r="P37" s="377">
        <v>2358</v>
      </c>
      <c r="Q37" s="377">
        <v>2498</v>
      </c>
      <c r="R37" s="377">
        <v>2310</v>
      </c>
      <c r="S37" s="377">
        <v>2373</v>
      </c>
      <c r="T37" s="377">
        <v>2606</v>
      </c>
      <c r="U37" s="377">
        <v>2327</v>
      </c>
      <c r="V37" s="377">
        <v>2810</v>
      </c>
      <c r="W37" s="603">
        <f t="shared" si="0"/>
        <v>20.7563386334336</v>
      </c>
      <c r="X37" s="19"/>
    </row>
    <row r="38" spans="2:24" s="7" customFormat="1" ht="12" customHeight="1">
      <c r="B38" s="210">
        <v>31</v>
      </c>
      <c r="C38" s="93"/>
      <c r="D38" s="166" t="s">
        <v>27</v>
      </c>
      <c r="E38" s="459" t="s">
        <v>174</v>
      </c>
      <c r="F38" s="373">
        <v>2283</v>
      </c>
      <c r="G38" s="373">
        <v>2211</v>
      </c>
      <c r="H38" s="373">
        <v>2191</v>
      </c>
      <c r="I38" s="373">
        <v>2294</v>
      </c>
      <c r="J38" s="373">
        <v>2381</v>
      </c>
      <c r="K38" s="373">
        <v>2310</v>
      </c>
      <c r="L38" s="373">
        <v>2270</v>
      </c>
      <c r="M38" s="373">
        <v>2233</v>
      </c>
      <c r="N38" s="373">
        <v>1911</v>
      </c>
      <c r="O38" s="373">
        <v>1782</v>
      </c>
      <c r="P38" s="373">
        <v>1777</v>
      </c>
      <c r="Q38" s="373">
        <v>1903</v>
      </c>
      <c r="R38" s="373">
        <v>2038</v>
      </c>
      <c r="S38" s="373">
        <v>2463</v>
      </c>
      <c r="T38" s="373">
        <v>2525</v>
      </c>
      <c r="U38" s="373">
        <v>2690</v>
      </c>
      <c r="V38" s="373">
        <v>2780</v>
      </c>
      <c r="W38" s="602">
        <f t="shared" si="0"/>
        <v>3.3457249070632002</v>
      </c>
      <c r="X38" s="19"/>
    </row>
    <row r="39" spans="2:24" s="7" customFormat="1" ht="12" customHeight="1">
      <c r="B39" s="211">
        <v>32</v>
      </c>
      <c r="C39" s="268"/>
      <c r="D39" s="266" t="s">
        <v>129</v>
      </c>
      <c r="E39" s="458" t="s">
        <v>183</v>
      </c>
      <c r="F39" s="377">
        <v>2359</v>
      </c>
      <c r="G39" s="377">
        <v>2458</v>
      </c>
      <c r="H39" s="377">
        <v>2683</v>
      </c>
      <c r="I39" s="377">
        <v>2764</v>
      </c>
      <c r="J39" s="377">
        <v>2908</v>
      </c>
      <c r="K39" s="377">
        <v>3253</v>
      </c>
      <c r="L39" s="377">
        <v>3665</v>
      </c>
      <c r="M39" s="377">
        <v>3487</v>
      </c>
      <c r="N39" s="377">
        <v>3567</v>
      </c>
      <c r="O39" s="377">
        <v>3785</v>
      </c>
      <c r="P39" s="377">
        <v>3863</v>
      </c>
      <c r="Q39" s="377">
        <v>3703</v>
      </c>
      <c r="R39" s="377">
        <v>2514</v>
      </c>
      <c r="S39" s="377">
        <v>2458</v>
      </c>
      <c r="T39" s="377">
        <v>2502</v>
      </c>
      <c r="U39" s="377">
        <v>2598</v>
      </c>
      <c r="V39" s="377">
        <v>2747</v>
      </c>
      <c r="W39" s="603">
        <f t="shared" si="0"/>
        <v>5.735180908391072</v>
      </c>
      <c r="X39" s="19"/>
    </row>
    <row r="40" spans="2:24" s="7" customFormat="1" ht="12" customHeight="1">
      <c r="B40" s="210">
        <v>33</v>
      </c>
      <c r="C40" s="93"/>
      <c r="D40" s="166" t="s">
        <v>434</v>
      </c>
      <c r="E40" s="459" t="s">
        <v>174</v>
      </c>
      <c r="F40" s="373">
        <v>1143</v>
      </c>
      <c r="G40" s="373">
        <v>1250</v>
      </c>
      <c r="H40" s="373">
        <v>1376</v>
      </c>
      <c r="I40" s="373">
        <v>1572</v>
      </c>
      <c r="J40" s="373">
        <v>1763</v>
      </c>
      <c r="K40" s="373">
        <v>1710</v>
      </c>
      <c r="L40" s="373">
        <v>1686</v>
      </c>
      <c r="M40" s="373">
        <v>1583</v>
      </c>
      <c r="N40" s="373">
        <v>1443</v>
      </c>
      <c r="O40" s="373">
        <v>1277</v>
      </c>
      <c r="P40" s="373">
        <v>1284</v>
      </c>
      <c r="Q40" s="373">
        <v>1345</v>
      </c>
      <c r="R40" s="373">
        <v>1509</v>
      </c>
      <c r="S40" s="373">
        <v>2182</v>
      </c>
      <c r="T40" s="373">
        <v>2350</v>
      </c>
      <c r="U40" s="373">
        <v>2532</v>
      </c>
      <c r="V40" s="373">
        <v>2629</v>
      </c>
      <c r="W40" s="602">
        <f t="shared" si="0"/>
        <v>3.830963665086884</v>
      </c>
      <c r="X40" s="19"/>
    </row>
    <row r="41" spans="2:24" s="7" customFormat="1" ht="12" customHeight="1">
      <c r="B41" s="211">
        <v>34</v>
      </c>
      <c r="C41" s="268"/>
      <c r="D41" s="266" t="s">
        <v>304</v>
      </c>
      <c r="E41" s="458" t="s">
        <v>179</v>
      </c>
      <c r="F41" s="377">
        <v>2253</v>
      </c>
      <c r="G41" s="377">
        <v>2281</v>
      </c>
      <c r="H41" s="377">
        <v>2285</v>
      </c>
      <c r="I41" s="377">
        <v>2332</v>
      </c>
      <c r="J41" s="377">
        <v>2267</v>
      </c>
      <c r="K41" s="377">
        <v>2257</v>
      </c>
      <c r="L41" s="377">
        <v>2322</v>
      </c>
      <c r="M41" s="377">
        <v>2312</v>
      </c>
      <c r="N41" s="377">
        <v>2267</v>
      </c>
      <c r="O41" s="377">
        <v>2394</v>
      </c>
      <c r="P41" s="377">
        <v>2287</v>
      </c>
      <c r="Q41" s="377">
        <v>2439</v>
      </c>
      <c r="R41" s="377">
        <v>2437</v>
      </c>
      <c r="S41" s="377">
        <v>2410</v>
      </c>
      <c r="T41" s="377">
        <v>2526</v>
      </c>
      <c r="U41" s="377">
        <v>2497</v>
      </c>
      <c r="V41" s="377">
        <v>2561</v>
      </c>
      <c r="W41" s="603">
        <f t="shared" si="0"/>
        <v>2.563075690828981</v>
      </c>
      <c r="X41" s="19"/>
    </row>
    <row r="42" spans="2:24" s="7" customFormat="1" ht="12" customHeight="1">
      <c r="B42" s="210">
        <v>35</v>
      </c>
      <c r="C42" s="93"/>
      <c r="D42" s="166" t="s">
        <v>371</v>
      </c>
      <c r="E42" s="459" t="s">
        <v>174</v>
      </c>
      <c r="F42" s="373">
        <v>1855</v>
      </c>
      <c r="G42" s="373">
        <v>1693</v>
      </c>
      <c r="H42" s="373">
        <v>1734</v>
      </c>
      <c r="I42" s="373">
        <v>1709</v>
      </c>
      <c r="J42" s="373">
        <v>1743</v>
      </c>
      <c r="K42" s="373">
        <v>1959</v>
      </c>
      <c r="L42" s="373">
        <v>1916</v>
      </c>
      <c r="M42" s="373">
        <v>1838</v>
      </c>
      <c r="N42" s="373">
        <v>1888</v>
      </c>
      <c r="O42" s="373">
        <v>2063</v>
      </c>
      <c r="P42" s="373">
        <v>2178</v>
      </c>
      <c r="Q42" s="373">
        <v>2247</v>
      </c>
      <c r="R42" s="373">
        <v>2246</v>
      </c>
      <c r="S42" s="373">
        <v>2345</v>
      </c>
      <c r="T42" s="373">
        <v>2479</v>
      </c>
      <c r="U42" s="373">
        <v>2567</v>
      </c>
      <c r="V42" s="373">
        <v>2560</v>
      </c>
      <c r="W42" s="602">
        <f t="shared" si="0"/>
        <v>-0.2726918582002327</v>
      </c>
      <c r="X42" s="19"/>
    </row>
    <row r="43" spans="2:24" s="7" customFormat="1" ht="12" customHeight="1">
      <c r="B43" s="211">
        <v>36</v>
      </c>
      <c r="C43" s="268"/>
      <c r="D43" s="266" t="s">
        <v>256</v>
      </c>
      <c r="E43" s="458" t="s">
        <v>175</v>
      </c>
      <c r="F43" s="377">
        <v>933</v>
      </c>
      <c r="G43" s="377">
        <v>958</v>
      </c>
      <c r="H43" s="377">
        <v>2202</v>
      </c>
      <c r="I43" s="377">
        <v>2467</v>
      </c>
      <c r="J43" s="377">
        <v>2221</v>
      </c>
      <c r="K43" s="377">
        <v>2338</v>
      </c>
      <c r="L43" s="377">
        <v>2531</v>
      </c>
      <c r="M43" s="377">
        <v>2683</v>
      </c>
      <c r="N43" s="377">
        <v>2631</v>
      </c>
      <c r="O43" s="377">
        <v>2741</v>
      </c>
      <c r="P43" s="377">
        <v>2726</v>
      </c>
      <c r="Q43" s="377">
        <v>2567</v>
      </c>
      <c r="R43" s="377">
        <v>2262</v>
      </c>
      <c r="S43" s="377">
        <v>2471</v>
      </c>
      <c r="T43" s="377">
        <v>2544</v>
      </c>
      <c r="U43" s="377">
        <v>2532</v>
      </c>
      <c r="V43" s="377">
        <v>2452</v>
      </c>
      <c r="W43" s="603">
        <f t="shared" si="0"/>
        <v>-3.159557661927323</v>
      </c>
      <c r="X43" s="19"/>
    </row>
    <row r="44" spans="2:24" s="7" customFormat="1" ht="12" customHeight="1">
      <c r="B44" s="210">
        <v>37</v>
      </c>
      <c r="C44" s="93"/>
      <c r="D44" s="166" t="s">
        <v>131</v>
      </c>
      <c r="E44" s="459" t="s">
        <v>183</v>
      </c>
      <c r="F44" s="373">
        <v>2444</v>
      </c>
      <c r="G44" s="373">
        <v>2390</v>
      </c>
      <c r="H44" s="373">
        <v>2820</v>
      </c>
      <c r="I44" s="373">
        <v>2961</v>
      </c>
      <c r="J44" s="373">
        <v>2507</v>
      </c>
      <c r="K44" s="373">
        <v>2406</v>
      </c>
      <c r="L44" s="373">
        <v>2320</v>
      </c>
      <c r="M44" s="373">
        <v>2639</v>
      </c>
      <c r="N44" s="373">
        <v>2510</v>
      </c>
      <c r="O44" s="373">
        <v>3454</v>
      </c>
      <c r="P44" s="373">
        <v>2991</v>
      </c>
      <c r="Q44" s="373">
        <v>2573</v>
      </c>
      <c r="R44" s="373">
        <v>2501</v>
      </c>
      <c r="S44" s="373">
        <v>2358</v>
      </c>
      <c r="T44" s="373">
        <v>2196</v>
      </c>
      <c r="U44" s="373">
        <v>2344</v>
      </c>
      <c r="V44" s="373">
        <v>2328</v>
      </c>
      <c r="W44" s="602">
        <f t="shared" si="0"/>
        <v>-0.6825938566552878</v>
      </c>
      <c r="X44" s="19"/>
    </row>
    <row r="45" spans="2:24" s="7" customFormat="1" ht="12" customHeight="1">
      <c r="B45" s="211">
        <v>38</v>
      </c>
      <c r="C45" s="268"/>
      <c r="D45" s="266" t="s">
        <v>303</v>
      </c>
      <c r="E45" s="458" t="s">
        <v>181</v>
      </c>
      <c r="F45" s="377">
        <v>1916</v>
      </c>
      <c r="G45" s="377">
        <v>1968</v>
      </c>
      <c r="H45" s="377">
        <v>2123</v>
      </c>
      <c r="I45" s="377">
        <v>2123</v>
      </c>
      <c r="J45" s="377">
        <v>2052</v>
      </c>
      <c r="K45" s="377">
        <v>2028</v>
      </c>
      <c r="L45" s="377">
        <v>2162</v>
      </c>
      <c r="M45" s="377">
        <v>2200</v>
      </c>
      <c r="N45" s="377">
        <v>2312</v>
      </c>
      <c r="O45" s="377">
        <v>2495</v>
      </c>
      <c r="P45" s="377">
        <v>2524</v>
      </c>
      <c r="Q45" s="377">
        <v>2282</v>
      </c>
      <c r="R45" s="377">
        <v>2173</v>
      </c>
      <c r="S45" s="377">
        <v>2162</v>
      </c>
      <c r="T45" s="377">
        <v>2065</v>
      </c>
      <c r="U45" s="377">
        <v>2048</v>
      </c>
      <c r="V45" s="377">
        <v>2280</v>
      </c>
      <c r="W45" s="603">
        <f t="shared" si="0"/>
        <v>11.328125</v>
      </c>
      <c r="X45" s="19"/>
    </row>
    <row r="46" spans="2:24" s="7" customFormat="1" ht="12" customHeight="1">
      <c r="B46" s="210">
        <v>39</v>
      </c>
      <c r="C46" s="93"/>
      <c r="D46" s="94" t="s">
        <v>370</v>
      </c>
      <c r="E46" s="459" t="s">
        <v>179</v>
      </c>
      <c r="F46" s="373">
        <v>2015</v>
      </c>
      <c r="G46" s="373">
        <v>2038</v>
      </c>
      <c r="H46" s="373">
        <v>2017</v>
      </c>
      <c r="I46" s="373">
        <v>2055</v>
      </c>
      <c r="J46" s="373">
        <v>2016</v>
      </c>
      <c r="K46" s="373">
        <v>1990</v>
      </c>
      <c r="L46" s="373">
        <v>2056</v>
      </c>
      <c r="M46" s="373">
        <v>2023</v>
      </c>
      <c r="N46" s="373">
        <v>1971</v>
      </c>
      <c r="O46" s="373">
        <v>2056</v>
      </c>
      <c r="P46" s="373">
        <v>2093</v>
      </c>
      <c r="Q46" s="373">
        <v>2182</v>
      </c>
      <c r="R46" s="373">
        <v>2309</v>
      </c>
      <c r="S46" s="373">
        <v>2408</v>
      </c>
      <c r="T46" s="373">
        <v>2550</v>
      </c>
      <c r="U46" s="373">
        <v>2162</v>
      </c>
      <c r="V46" s="373">
        <v>2227</v>
      </c>
      <c r="W46" s="602">
        <f t="shared" si="0"/>
        <v>3.0064754856614258</v>
      </c>
      <c r="X46" s="19"/>
    </row>
    <row r="47" spans="2:24" s="7" customFormat="1" ht="12" customHeight="1">
      <c r="B47" s="211">
        <v>40</v>
      </c>
      <c r="C47" s="268"/>
      <c r="D47" s="266" t="s">
        <v>474</v>
      </c>
      <c r="E47" s="458" t="s">
        <v>202</v>
      </c>
      <c r="F47" s="377">
        <v>1376</v>
      </c>
      <c r="G47" s="377">
        <v>1421</v>
      </c>
      <c r="H47" s="377">
        <v>1621</v>
      </c>
      <c r="I47" s="377">
        <v>1629</v>
      </c>
      <c r="J47" s="377">
        <v>1742</v>
      </c>
      <c r="K47" s="377">
        <v>1924</v>
      </c>
      <c r="L47" s="377">
        <v>1989</v>
      </c>
      <c r="M47" s="377">
        <v>2098</v>
      </c>
      <c r="N47" s="377">
        <v>2228</v>
      </c>
      <c r="O47" s="377">
        <v>2230</v>
      </c>
      <c r="P47" s="377">
        <v>2145</v>
      </c>
      <c r="Q47" s="377">
        <v>2247</v>
      </c>
      <c r="R47" s="377">
        <v>2144</v>
      </c>
      <c r="S47" s="377">
        <v>2136</v>
      </c>
      <c r="T47" s="377">
        <v>1792</v>
      </c>
      <c r="U47" s="377">
        <v>1873</v>
      </c>
      <c r="V47" s="377">
        <v>2111</v>
      </c>
      <c r="W47" s="603">
        <f t="shared" si="0"/>
        <v>12.706887346502938</v>
      </c>
      <c r="X47" s="19"/>
    </row>
    <row r="48" spans="2:24" s="7" customFormat="1" ht="12" customHeight="1">
      <c r="B48" s="210">
        <v>41</v>
      </c>
      <c r="C48" s="90"/>
      <c r="D48" s="759" t="s">
        <v>372</v>
      </c>
      <c r="E48" s="757" t="s">
        <v>188</v>
      </c>
      <c r="F48" s="619">
        <v>1136</v>
      </c>
      <c r="G48" s="619">
        <v>1285</v>
      </c>
      <c r="H48" s="619">
        <v>1436</v>
      </c>
      <c r="I48" s="619">
        <v>1472</v>
      </c>
      <c r="J48" s="619">
        <v>1612</v>
      </c>
      <c r="K48" s="619">
        <v>1815</v>
      </c>
      <c r="L48" s="619">
        <v>1937</v>
      </c>
      <c r="M48" s="619">
        <v>1878</v>
      </c>
      <c r="N48" s="619">
        <v>1857</v>
      </c>
      <c r="O48" s="619">
        <v>1823</v>
      </c>
      <c r="P48" s="619">
        <v>1770</v>
      </c>
      <c r="Q48" s="619">
        <v>1913</v>
      </c>
      <c r="R48" s="619">
        <v>1962</v>
      </c>
      <c r="S48" s="619">
        <v>1934</v>
      </c>
      <c r="T48" s="619">
        <v>1953</v>
      </c>
      <c r="U48" s="619">
        <v>1983</v>
      </c>
      <c r="V48" s="619">
        <v>2087</v>
      </c>
      <c r="W48" s="758">
        <f t="shared" si="0"/>
        <v>5.244578920827038</v>
      </c>
      <c r="X48" s="19"/>
    </row>
    <row r="49" spans="2:24" s="7" customFormat="1" ht="12" customHeight="1">
      <c r="B49" s="211">
        <v>42</v>
      </c>
      <c r="C49" s="268"/>
      <c r="D49" s="266" t="s">
        <v>373</v>
      </c>
      <c r="E49" s="458" t="s">
        <v>179</v>
      </c>
      <c r="F49" s="377">
        <v>1108</v>
      </c>
      <c r="G49" s="377">
        <v>1050</v>
      </c>
      <c r="H49" s="377">
        <v>1152</v>
      </c>
      <c r="I49" s="377">
        <v>1212</v>
      </c>
      <c r="J49" s="377">
        <v>1225</v>
      </c>
      <c r="K49" s="377">
        <v>1485</v>
      </c>
      <c r="L49" s="377">
        <v>1474</v>
      </c>
      <c r="M49" s="377">
        <v>1559</v>
      </c>
      <c r="N49" s="377">
        <v>1761</v>
      </c>
      <c r="O49" s="377">
        <v>1772</v>
      </c>
      <c r="P49" s="377">
        <v>1854</v>
      </c>
      <c r="Q49" s="377">
        <v>1904</v>
      </c>
      <c r="R49" s="377">
        <v>1964</v>
      </c>
      <c r="S49" s="377">
        <v>1882</v>
      </c>
      <c r="T49" s="377">
        <v>2002</v>
      </c>
      <c r="U49" s="377">
        <v>1956</v>
      </c>
      <c r="V49" s="377">
        <v>2061</v>
      </c>
      <c r="W49" s="603">
        <f t="shared" si="0"/>
        <v>5.368098159509202</v>
      </c>
      <c r="X49" s="19"/>
    </row>
    <row r="50" spans="2:24" s="7" customFormat="1" ht="12" customHeight="1">
      <c r="B50" s="210">
        <v>43</v>
      </c>
      <c r="C50" s="93"/>
      <c r="D50" s="166" t="s">
        <v>204</v>
      </c>
      <c r="E50" s="459" t="s">
        <v>183</v>
      </c>
      <c r="F50" s="373">
        <v>1886</v>
      </c>
      <c r="G50" s="373">
        <v>1706</v>
      </c>
      <c r="H50" s="373">
        <v>1792</v>
      </c>
      <c r="I50" s="373">
        <v>1907</v>
      </c>
      <c r="J50" s="373">
        <v>2013</v>
      </c>
      <c r="K50" s="373">
        <v>2103</v>
      </c>
      <c r="L50" s="373">
        <v>2166</v>
      </c>
      <c r="M50" s="373">
        <v>2789</v>
      </c>
      <c r="N50" s="373">
        <v>3251</v>
      </c>
      <c r="O50" s="373">
        <v>3273</v>
      </c>
      <c r="P50" s="373">
        <v>2782</v>
      </c>
      <c r="Q50" s="373">
        <v>2637</v>
      </c>
      <c r="R50" s="373">
        <v>1923</v>
      </c>
      <c r="S50" s="373">
        <v>1923</v>
      </c>
      <c r="T50" s="373">
        <v>1898</v>
      </c>
      <c r="U50" s="373">
        <v>2001</v>
      </c>
      <c r="V50" s="373">
        <v>2034</v>
      </c>
      <c r="W50" s="602">
        <f t="shared" si="0"/>
        <v>1.6491754122938573</v>
      </c>
      <c r="X50" s="19"/>
    </row>
    <row r="51" spans="2:24" s="7" customFormat="1" ht="12" customHeight="1">
      <c r="B51" s="211">
        <v>44</v>
      </c>
      <c r="C51" s="268"/>
      <c r="D51" s="266" t="s">
        <v>254</v>
      </c>
      <c r="E51" s="458" t="s">
        <v>183</v>
      </c>
      <c r="F51" s="377">
        <v>2241</v>
      </c>
      <c r="G51" s="377">
        <v>2136</v>
      </c>
      <c r="H51" s="377">
        <v>1975</v>
      </c>
      <c r="I51" s="377">
        <v>1932</v>
      </c>
      <c r="J51" s="377">
        <v>2145</v>
      </c>
      <c r="K51" s="377">
        <v>2099</v>
      </c>
      <c r="L51" s="377">
        <v>2500</v>
      </c>
      <c r="M51" s="377">
        <v>2285</v>
      </c>
      <c r="N51" s="377">
        <v>2677</v>
      </c>
      <c r="O51" s="377">
        <v>2837</v>
      </c>
      <c r="P51" s="377">
        <v>2440</v>
      </c>
      <c r="Q51" s="377">
        <v>2474</v>
      </c>
      <c r="R51" s="377">
        <v>2376</v>
      </c>
      <c r="S51" s="377">
        <v>2524</v>
      </c>
      <c r="T51" s="377">
        <v>2099</v>
      </c>
      <c r="U51" s="377">
        <v>2236</v>
      </c>
      <c r="V51" s="377">
        <v>2033</v>
      </c>
      <c r="W51" s="603">
        <f t="shared" si="0"/>
        <v>-9.078711985688727</v>
      </c>
      <c r="X51" s="19"/>
    </row>
    <row r="52" spans="2:24" s="7" customFormat="1" ht="12" customHeight="1">
      <c r="B52" s="210">
        <v>45</v>
      </c>
      <c r="C52" s="93"/>
      <c r="D52" s="166" t="s">
        <v>128</v>
      </c>
      <c r="E52" s="459" t="s">
        <v>177</v>
      </c>
      <c r="F52" s="373">
        <v>3270</v>
      </c>
      <c r="G52" s="373">
        <v>3393</v>
      </c>
      <c r="H52" s="373">
        <v>3469</v>
      </c>
      <c r="I52" s="373">
        <v>3169</v>
      </c>
      <c r="J52" s="373">
        <v>3127</v>
      </c>
      <c r="K52" s="373">
        <v>2679</v>
      </c>
      <c r="L52" s="373">
        <v>2208</v>
      </c>
      <c r="M52" s="373">
        <v>2127</v>
      </c>
      <c r="N52" s="373">
        <v>2132</v>
      </c>
      <c r="O52" s="373">
        <v>2187</v>
      </c>
      <c r="P52" s="373">
        <v>2260</v>
      </c>
      <c r="Q52" s="373">
        <v>2130</v>
      </c>
      <c r="R52" s="373">
        <v>1943</v>
      </c>
      <c r="S52" s="373">
        <v>1948</v>
      </c>
      <c r="T52" s="373">
        <v>1958</v>
      </c>
      <c r="U52" s="373">
        <v>1950</v>
      </c>
      <c r="V52" s="373">
        <v>1975</v>
      </c>
      <c r="W52" s="602">
        <f t="shared" si="0"/>
        <v>1.2820512820512704</v>
      </c>
      <c r="X52" s="19"/>
    </row>
    <row r="53" spans="2:24" s="7" customFormat="1" ht="12" customHeight="1">
      <c r="B53" s="211">
        <v>46</v>
      </c>
      <c r="C53" s="268"/>
      <c r="D53" s="266" t="s">
        <v>25</v>
      </c>
      <c r="E53" s="458" t="s">
        <v>183</v>
      </c>
      <c r="F53" s="377">
        <v>2071</v>
      </c>
      <c r="G53" s="377">
        <v>2412</v>
      </c>
      <c r="H53" s="377">
        <v>2195</v>
      </c>
      <c r="I53" s="377">
        <v>2046</v>
      </c>
      <c r="J53" s="377">
        <v>1966</v>
      </c>
      <c r="K53" s="377">
        <v>1558</v>
      </c>
      <c r="L53" s="377">
        <v>2101</v>
      </c>
      <c r="M53" s="377">
        <v>2361</v>
      </c>
      <c r="N53" s="377">
        <v>1887</v>
      </c>
      <c r="O53" s="377">
        <v>1967</v>
      </c>
      <c r="P53" s="377">
        <v>1637</v>
      </c>
      <c r="Q53" s="377">
        <v>1992</v>
      </c>
      <c r="R53" s="377">
        <v>1968</v>
      </c>
      <c r="S53" s="377">
        <v>1580</v>
      </c>
      <c r="T53" s="377">
        <v>1822</v>
      </c>
      <c r="U53" s="377">
        <v>1844</v>
      </c>
      <c r="V53" s="377">
        <v>1973</v>
      </c>
      <c r="W53" s="603">
        <f t="shared" si="0"/>
        <v>6.995661605206081</v>
      </c>
      <c r="X53" s="19"/>
    </row>
    <row r="54" spans="2:24" s="7" customFormat="1" ht="12" customHeight="1">
      <c r="B54" s="210">
        <v>47</v>
      </c>
      <c r="C54" s="93"/>
      <c r="D54" s="166" t="s">
        <v>110</v>
      </c>
      <c r="E54" s="459" t="s">
        <v>174</v>
      </c>
      <c r="F54" s="373">
        <v>3726</v>
      </c>
      <c r="G54" s="373">
        <v>3427</v>
      </c>
      <c r="H54" s="373">
        <v>3597</v>
      </c>
      <c r="I54" s="373">
        <v>3537</v>
      </c>
      <c r="J54" s="373">
        <v>3449</v>
      </c>
      <c r="K54" s="373">
        <v>3004</v>
      </c>
      <c r="L54" s="373">
        <v>2859</v>
      </c>
      <c r="M54" s="373">
        <v>2894</v>
      </c>
      <c r="N54" s="373">
        <v>2258</v>
      </c>
      <c r="O54" s="373">
        <v>2102</v>
      </c>
      <c r="P54" s="373">
        <v>1999</v>
      </c>
      <c r="Q54" s="373">
        <v>2011</v>
      </c>
      <c r="R54" s="373">
        <v>1964</v>
      </c>
      <c r="S54" s="373">
        <v>1966</v>
      </c>
      <c r="T54" s="373">
        <v>1996</v>
      </c>
      <c r="U54" s="373">
        <v>1937</v>
      </c>
      <c r="V54" s="373">
        <v>1948</v>
      </c>
      <c r="W54" s="602">
        <f t="shared" si="0"/>
        <v>0.567888487351567</v>
      </c>
      <c r="X54" s="19"/>
    </row>
    <row r="55" spans="2:24" s="7" customFormat="1" ht="12" customHeight="1">
      <c r="B55" s="211">
        <v>48</v>
      </c>
      <c r="C55" s="268"/>
      <c r="D55" s="266" t="s">
        <v>301</v>
      </c>
      <c r="E55" s="458" t="s">
        <v>180</v>
      </c>
      <c r="F55" s="377">
        <v>2498</v>
      </c>
      <c r="G55" s="377">
        <v>2445</v>
      </c>
      <c r="H55" s="377">
        <v>2353</v>
      </c>
      <c r="I55" s="377">
        <v>2091</v>
      </c>
      <c r="J55" s="377">
        <v>2138</v>
      </c>
      <c r="K55" s="377">
        <v>2129</v>
      </c>
      <c r="L55" s="377">
        <v>2385</v>
      </c>
      <c r="M55" s="377">
        <v>2567</v>
      </c>
      <c r="N55" s="377">
        <v>2422</v>
      </c>
      <c r="O55" s="377">
        <v>2126</v>
      </c>
      <c r="P55" s="377">
        <v>1897</v>
      </c>
      <c r="Q55" s="377">
        <v>1812</v>
      </c>
      <c r="R55" s="377">
        <v>1874</v>
      </c>
      <c r="S55" s="377">
        <v>1876</v>
      </c>
      <c r="T55" s="377">
        <v>1959</v>
      </c>
      <c r="U55" s="377">
        <v>1985</v>
      </c>
      <c r="V55" s="377">
        <v>1932</v>
      </c>
      <c r="W55" s="603">
        <f t="shared" si="0"/>
        <v>-2.670025188916881</v>
      </c>
      <c r="X55" s="19"/>
    </row>
    <row r="56" spans="2:24" s="7" customFormat="1" ht="12" customHeight="1">
      <c r="B56" s="210">
        <v>49</v>
      </c>
      <c r="C56" s="93"/>
      <c r="D56" s="166" t="s">
        <v>255</v>
      </c>
      <c r="E56" s="459" t="s">
        <v>177</v>
      </c>
      <c r="F56" s="373">
        <v>2518</v>
      </c>
      <c r="G56" s="373">
        <v>2380</v>
      </c>
      <c r="H56" s="373">
        <v>2371</v>
      </c>
      <c r="I56" s="373">
        <v>2333</v>
      </c>
      <c r="J56" s="373">
        <v>2262</v>
      </c>
      <c r="K56" s="373">
        <v>2173</v>
      </c>
      <c r="L56" s="373">
        <v>2057</v>
      </c>
      <c r="M56" s="373">
        <v>2138</v>
      </c>
      <c r="N56" s="373">
        <v>1996</v>
      </c>
      <c r="O56" s="373">
        <v>1942</v>
      </c>
      <c r="P56" s="373">
        <v>2073</v>
      </c>
      <c r="Q56" s="373">
        <v>2020</v>
      </c>
      <c r="R56" s="373">
        <v>1898</v>
      </c>
      <c r="S56" s="373">
        <v>1954</v>
      </c>
      <c r="T56" s="373">
        <v>2013</v>
      </c>
      <c r="U56" s="373">
        <v>1970</v>
      </c>
      <c r="V56" s="373">
        <v>1927</v>
      </c>
      <c r="W56" s="602">
        <f t="shared" si="0"/>
        <v>-2.1827411167512736</v>
      </c>
      <c r="X56" s="19"/>
    </row>
    <row r="57" spans="2:24" s="7" customFormat="1" ht="12" customHeight="1">
      <c r="B57" s="211">
        <v>50</v>
      </c>
      <c r="C57" s="763"/>
      <c r="D57" s="760" t="s">
        <v>553</v>
      </c>
      <c r="E57" s="761" t="s">
        <v>202</v>
      </c>
      <c r="F57" s="387">
        <v>794</v>
      </c>
      <c r="G57" s="387">
        <v>813</v>
      </c>
      <c r="H57" s="387">
        <v>921</v>
      </c>
      <c r="I57" s="387">
        <v>1048</v>
      </c>
      <c r="J57" s="387">
        <v>1144</v>
      </c>
      <c r="K57" s="387">
        <v>1303</v>
      </c>
      <c r="L57" s="387">
        <v>1417</v>
      </c>
      <c r="M57" s="387">
        <v>1509</v>
      </c>
      <c r="N57" s="387">
        <v>1509</v>
      </c>
      <c r="O57" s="387">
        <v>1532</v>
      </c>
      <c r="P57" s="387">
        <v>1383</v>
      </c>
      <c r="Q57" s="387">
        <v>1470</v>
      </c>
      <c r="R57" s="387">
        <v>1558</v>
      </c>
      <c r="S57" s="387">
        <v>1611</v>
      </c>
      <c r="T57" s="387">
        <v>1552</v>
      </c>
      <c r="U57" s="387">
        <v>1688</v>
      </c>
      <c r="V57" s="387">
        <v>1887</v>
      </c>
      <c r="W57" s="762">
        <f t="shared" si="0"/>
        <v>11.789099526066352</v>
      </c>
      <c r="X57" s="19"/>
    </row>
    <row r="58" spans="2:24" s="7" customFormat="1" ht="12" customHeight="1">
      <c r="B58"/>
      <c r="C58"/>
      <c r="D58" s="4" t="s">
        <v>317</v>
      </c>
      <c r="E58"/>
      <c r="F58"/>
      <c r="G58"/>
      <c r="H58"/>
      <c r="I58"/>
      <c r="J58"/>
      <c r="K58"/>
      <c r="L58"/>
      <c r="M58"/>
      <c r="N58"/>
      <c r="O58"/>
      <c r="P58"/>
      <c r="Q58"/>
      <c r="R58"/>
      <c r="S58"/>
      <c r="T58"/>
      <c r="U58"/>
      <c r="V58"/>
      <c r="W58"/>
      <c r="X58" s="19"/>
    </row>
    <row r="59" spans="2:24" s="7" customFormat="1" ht="12" customHeight="1">
      <c r="B59"/>
      <c r="C59"/>
      <c r="D59"/>
      <c r="E59"/>
      <c r="F59"/>
      <c r="G59"/>
      <c r="H59"/>
      <c r="I59"/>
      <c r="J59"/>
      <c r="K59"/>
      <c r="L59"/>
      <c r="M59"/>
      <c r="N59"/>
      <c r="O59"/>
      <c r="P59"/>
      <c r="Q59"/>
      <c r="R59"/>
      <c r="S59"/>
      <c r="T59"/>
      <c r="U59"/>
      <c r="V59"/>
      <c r="W59"/>
      <c r="X59" s="19"/>
    </row>
    <row r="60" spans="5:6" ht="15" customHeight="1">
      <c r="E60"/>
      <c r="F60"/>
    </row>
    <row r="61" spans="2:23" ht="12.75">
      <c r="B61" s="210"/>
      <c r="C61" s="210"/>
      <c r="E61" s="457"/>
      <c r="F61" s="457"/>
      <c r="G61" s="210"/>
      <c r="H61" s="210"/>
      <c r="I61" s="210"/>
      <c r="J61" s="210"/>
      <c r="K61" s="210"/>
      <c r="L61" s="210"/>
      <c r="M61" s="210"/>
      <c r="N61" s="210"/>
      <c r="O61" s="210"/>
      <c r="P61" s="210"/>
      <c r="Q61" s="210"/>
      <c r="R61" s="210"/>
      <c r="S61" s="210"/>
      <c r="T61" s="210"/>
      <c r="U61" s="210"/>
      <c r="V61" s="210"/>
      <c r="W61" s="210"/>
    </row>
    <row r="62" spans="2:23" ht="12.75">
      <c r="B62" s="210"/>
      <c r="C62" s="210"/>
      <c r="D62" s="210"/>
      <c r="E62" s="457"/>
      <c r="F62" s="457"/>
      <c r="G62" s="210"/>
      <c r="H62" s="210"/>
      <c r="I62" s="210"/>
      <c r="J62" s="210"/>
      <c r="K62" s="210"/>
      <c r="L62" s="210"/>
      <c r="M62" s="210"/>
      <c r="N62" s="210"/>
      <c r="O62" s="210"/>
      <c r="P62" s="210"/>
      <c r="Q62" s="210"/>
      <c r="R62" s="210"/>
      <c r="S62" s="210"/>
      <c r="T62" s="210"/>
      <c r="U62" s="210"/>
      <c r="V62" s="210"/>
      <c r="W62" s="210"/>
    </row>
    <row r="63" spans="2:23" ht="12.75">
      <c r="B63" s="210"/>
      <c r="C63" s="210"/>
      <c r="D63" s="457"/>
      <c r="E63" s="457"/>
      <c r="F63" s="457"/>
      <c r="G63" s="457"/>
      <c r="H63" s="457"/>
      <c r="I63" s="457"/>
      <c r="J63" s="457"/>
      <c r="K63" s="457"/>
      <c r="L63" s="457"/>
      <c r="M63" s="457"/>
      <c r="N63" s="457"/>
      <c r="O63" s="457"/>
      <c r="P63" s="457"/>
      <c r="Q63" s="457"/>
      <c r="R63" s="457"/>
      <c r="S63" s="457"/>
      <c r="T63" s="457"/>
      <c r="U63" s="457"/>
      <c r="V63" s="457"/>
      <c r="W63" s="457"/>
    </row>
    <row r="64" spans="2:23" ht="12.75">
      <c r="B64" s="211"/>
      <c r="E64" s="459"/>
      <c r="F64" s="373"/>
      <c r="G64" s="373"/>
      <c r="H64" s="373"/>
      <c r="I64" s="373"/>
      <c r="J64" s="373"/>
      <c r="K64" s="373"/>
      <c r="L64" s="373"/>
      <c r="M64" s="373"/>
      <c r="N64" s="373"/>
      <c r="O64" s="373"/>
      <c r="P64" s="373"/>
      <c r="Q64" s="373"/>
      <c r="R64" s="373"/>
      <c r="S64" s="373"/>
      <c r="T64" s="373"/>
      <c r="U64" s="373"/>
      <c r="V64" s="373"/>
      <c r="W64" s="373"/>
    </row>
    <row r="65" ht="12.75">
      <c r="B65" s="210"/>
    </row>
    <row r="66" ht="12.75">
      <c r="B66" s="211"/>
    </row>
    <row r="67" ht="12.75">
      <c r="B67" s="210"/>
    </row>
    <row r="68" ht="12.75">
      <c r="B68" s="211"/>
    </row>
    <row r="69" ht="12.75">
      <c r="D69" s="2"/>
    </row>
    <row r="71" spans="4:24" ht="12.75">
      <c r="D71" s="4"/>
      <c r="X71" s="210"/>
    </row>
    <row r="72" ht="12.75">
      <c r="X72" s="210"/>
    </row>
    <row r="73" ht="12.75">
      <c r="X73" s="210"/>
    </row>
    <row r="79" ht="15" customHeight="1"/>
    <row r="80" ht="12.75" customHeight="1"/>
  </sheetData>
  <sheetProtection/>
  <mergeCells count="5">
    <mergeCell ref="B5:B7"/>
    <mergeCell ref="D5:E6"/>
    <mergeCell ref="C2:W2"/>
    <mergeCell ref="C3:W3"/>
    <mergeCell ref="C4:W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W68"/>
  <sheetViews>
    <sheetView zoomScalePageLayoutView="0" workbookViewId="0" topLeftCell="I1">
      <selection activeCell="X1" sqref="X1:BX16384"/>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20" width="8.7109375" style="0" customWidth="1"/>
    <col min="21" max="22" width="8.421875" style="0" customWidth="1"/>
    <col min="23" max="23" width="6.140625" style="0" customWidth="1"/>
  </cols>
  <sheetData>
    <row r="1" spans="2:22" ht="14.25" customHeight="1">
      <c r="B1" s="1"/>
      <c r="C1" s="21"/>
      <c r="D1" s="994"/>
      <c r="E1" s="994"/>
      <c r="F1" s="11"/>
      <c r="G1" s="11"/>
      <c r="H1" s="11"/>
      <c r="I1" s="11"/>
      <c r="J1" s="11"/>
      <c r="K1" s="11"/>
      <c r="L1" s="11"/>
      <c r="M1" s="11"/>
      <c r="N1" s="11"/>
      <c r="O1" s="11"/>
      <c r="P1" s="11"/>
      <c r="Q1" s="11"/>
      <c r="R1" s="11"/>
      <c r="S1" s="11"/>
      <c r="T1" s="11"/>
      <c r="V1" s="10" t="s">
        <v>403</v>
      </c>
    </row>
    <row r="2" spans="2:22" ht="30" customHeight="1">
      <c r="B2" s="1"/>
      <c r="C2" s="997" t="s">
        <v>318</v>
      </c>
      <c r="D2" s="997"/>
      <c r="E2" s="997"/>
      <c r="F2" s="997"/>
      <c r="G2" s="997"/>
      <c r="H2" s="997"/>
      <c r="I2" s="997"/>
      <c r="J2" s="997"/>
      <c r="K2" s="997"/>
      <c r="L2" s="997"/>
      <c r="M2" s="997"/>
      <c r="N2" s="997"/>
      <c r="O2" s="997"/>
      <c r="P2" s="997"/>
      <c r="Q2" s="997"/>
      <c r="R2" s="997"/>
      <c r="S2" s="997"/>
      <c r="T2" s="997"/>
      <c r="U2" s="997"/>
      <c r="V2" s="997"/>
    </row>
    <row r="3" spans="2:22" ht="15" customHeight="1">
      <c r="B3" s="1"/>
      <c r="C3" s="934" t="s">
        <v>344</v>
      </c>
      <c r="D3" s="934"/>
      <c r="E3" s="934"/>
      <c r="F3" s="934"/>
      <c r="G3" s="934"/>
      <c r="H3" s="934"/>
      <c r="I3" s="934"/>
      <c r="J3" s="934"/>
      <c r="K3" s="934"/>
      <c r="L3" s="934"/>
      <c r="M3" s="934"/>
      <c r="N3" s="934"/>
      <c r="O3" s="934"/>
      <c r="P3" s="934"/>
      <c r="Q3" s="934"/>
      <c r="R3" s="934"/>
      <c r="S3" s="934"/>
      <c r="T3" s="934"/>
      <c r="U3" s="934"/>
      <c r="V3" s="934"/>
    </row>
    <row r="4" spans="3:22" ht="12" customHeight="1">
      <c r="C4" s="995" t="s">
        <v>196</v>
      </c>
      <c r="D4" s="996"/>
      <c r="E4" s="996"/>
      <c r="F4" s="996"/>
      <c r="G4" s="996"/>
      <c r="H4" s="996"/>
      <c r="I4" s="996"/>
      <c r="J4" s="996"/>
      <c r="K4" s="996"/>
      <c r="L4" s="996"/>
      <c r="M4" s="996"/>
      <c r="N4" s="996"/>
      <c r="O4" s="996"/>
      <c r="P4" s="996"/>
      <c r="Q4" s="996"/>
      <c r="R4" s="996"/>
      <c r="S4" s="996"/>
      <c r="T4" s="996"/>
      <c r="U4" s="996"/>
      <c r="V4" s="996"/>
    </row>
    <row r="5" spans="2:23" s="12" customFormat="1" ht="12.75" customHeight="1">
      <c r="B5" s="984" t="s">
        <v>261</v>
      </c>
      <c r="C5" s="63"/>
      <c r="D5" s="985" t="s">
        <v>99</v>
      </c>
      <c r="E5" s="991"/>
      <c r="F5" s="71"/>
      <c r="G5" s="71"/>
      <c r="H5" s="71"/>
      <c r="I5" s="71"/>
      <c r="J5" s="72"/>
      <c r="K5" s="72"/>
      <c r="L5" s="72"/>
      <c r="M5" s="72"/>
      <c r="N5" s="72"/>
      <c r="O5" s="72"/>
      <c r="P5" s="72"/>
      <c r="Q5" s="72"/>
      <c r="R5" s="72"/>
      <c r="S5" s="72"/>
      <c r="T5" s="72"/>
      <c r="U5" s="72"/>
      <c r="V5" s="72"/>
      <c r="W5" s="73" t="s">
        <v>322</v>
      </c>
    </row>
    <row r="6" spans="2:23" s="12" customFormat="1" ht="12.75" customHeight="1">
      <c r="B6" s="984"/>
      <c r="C6" s="64"/>
      <c r="D6" s="992"/>
      <c r="E6" s="993"/>
      <c r="F6" s="70">
        <v>2000</v>
      </c>
      <c r="G6" s="70">
        <v>2001</v>
      </c>
      <c r="H6" s="70">
        <v>2002</v>
      </c>
      <c r="I6" s="70">
        <v>2003</v>
      </c>
      <c r="J6" s="70">
        <v>2004</v>
      </c>
      <c r="K6" s="70">
        <v>2005</v>
      </c>
      <c r="L6" s="70">
        <v>2006</v>
      </c>
      <c r="M6" s="70">
        <v>2007</v>
      </c>
      <c r="N6" s="70">
        <v>2008</v>
      </c>
      <c r="O6" s="70">
        <v>2009</v>
      </c>
      <c r="P6" s="70">
        <v>2010</v>
      </c>
      <c r="Q6" s="70">
        <v>2011</v>
      </c>
      <c r="R6" s="70">
        <v>2012</v>
      </c>
      <c r="S6" s="70">
        <v>2013</v>
      </c>
      <c r="T6" s="70">
        <v>2014</v>
      </c>
      <c r="U6" s="70">
        <v>2015</v>
      </c>
      <c r="V6" s="70">
        <v>2016</v>
      </c>
      <c r="W6" s="74" t="s">
        <v>582</v>
      </c>
    </row>
    <row r="7" spans="2:23" s="12" customFormat="1" ht="12" customHeight="1">
      <c r="B7" s="984"/>
      <c r="C7" s="65"/>
      <c r="D7" s="82"/>
      <c r="E7" s="83"/>
      <c r="F7" s="75"/>
      <c r="G7" s="75"/>
      <c r="H7" s="75"/>
      <c r="I7" s="75"/>
      <c r="J7" s="75"/>
      <c r="K7" s="75"/>
      <c r="L7" s="75"/>
      <c r="M7" s="75"/>
      <c r="N7" s="75"/>
      <c r="O7" s="75"/>
      <c r="P7" s="75"/>
      <c r="Q7" s="75"/>
      <c r="R7" s="75"/>
      <c r="S7" s="75"/>
      <c r="T7" s="75"/>
      <c r="U7" s="75"/>
      <c r="V7" s="76"/>
      <c r="W7" s="78" t="s">
        <v>192</v>
      </c>
    </row>
    <row r="8" spans="1:23" ht="12.75" customHeight="1">
      <c r="A8" s="38"/>
      <c r="B8" s="209">
        <v>1</v>
      </c>
      <c r="C8" s="599"/>
      <c r="D8" s="291" t="s">
        <v>119</v>
      </c>
      <c r="E8" s="597" t="s">
        <v>176</v>
      </c>
      <c r="F8" s="612">
        <v>302.545</v>
      </c>
      <c r="G8" s="612">
        <v>296.62</v>
      </c>
      <c r="H8" s="612">
        <v>302.744</v>
      </c>
      <c r="I8" s="612">
        <v>307.353</v>
      </c>
      <c r="J8" s="612">
        <v>330.865</v>
      </c>
      <c r="K8" s="612">
        <v>345.819</v>
      </c>
      <c r="L8" s="612">
        <v>353.576</v>
      </c>
      <c r="M8" s="612">
        <v>374.152</v>
      </c>
      <c r="N8" s="612">
        <v>384.21</v>
      </c>
      <c r="O8" s="612">
        <v>353.871</v>
      </c>
      <c r="P8" s="612">
        <v>395.763</v>
      </c>
      <c r="Q8" s="612">
        <v>404.447</v>
      </c>
      <c r="R8" s="612">
        <v>409.785</v>
      </c>
      <c r="S8" s="612">
        <v>411.855</v>
      </c>
      <c r="T8" s="612">
        <v>418.611</v>
      </c>
      <c r="U8" s="612">
        <v>436.942</v>
      </c>
      <c r="V8" s="764">
        <v>431.944</v>
      </c>
      <c r="W8" s="259">
        <f>V8/U8*100-100</f>
        <v>-1.143858910335922</v>
      </c>
    </row>
    <row r="9" spans="1:23" ht="12.75" customHeight="1">
      <c r="A9" s="19"/>
      <c r="B9" s="209">
        <v>2</v>
      </c>
      <c r="C9" s="595"/>
      <c r="D9" s="258" t="s">
        <v>18</v>
      </c>
      <c r="E9" s="596" t="s">
        <v>178</v>
      </c>
      <c r="F9" s="613">
        <v>116.003</v>
      </c>
      <c r="G9" s="613">
        <v>114.813</v>
      </c>
      <c r="H9" s="613">
        <v>113.944</v>
      </c>
      <c r="I9" s="613">
        <v>126.128</v>
      </c>
      <c r="J9" s="613">
        <v>135.511</v>
      </c>
      <c r="K9" s="613">
        <v>145.835</v>
      </c>
      <c r="L9" s="613">
        <v>151.705</v>
      </c>
      <c r="M9" s="613">
        <v>165.512</v>
      </c>
      <c r="N9" s="613">
        <v>171.237</v>
      </c>
      <c r="O9" s="613">
        <v>142.116</v>
      </c>
      <c r="P9" s="613">
        <v>160.012</v>
      </c>
      <c r="Q9" s="613">
        <v>168.547</v>
      </c>
      <c r="R9" s="613">
        <v>164.547</v>
      </c>
      <c r="S9" s="613">
        <v>171.984</v>
      </c>
      <c r="T9" s="613">
        <v>180.401</v>
      </c>
      <c r="U9" s="613">
        <v>190.107</v>
      </c>
      <c r="V9" s="655">
        <v>198.691</v>
      </c>
      <c r="W9" s="260">
        <f aca="true" t="shared" si="0" ref="W9:W57">V9/U9*100-100</f>
        <v>4.51535188078293</v>
      </c>
    </row>
    <row r="10" spans="1:23" ht="12.75" customHeight="1">
      <c r="A10" s="19"/>
      <c r="B10" s="209">
        <v>3</v>
      </c>
      <c r="C10" s="600"/>
      <c r="D10" s="291" t="s">
        <v>327</v>
      </c>
      <c r="E10" s="598" t="s">
        <v>179</v>
      </c>
      <c r="F10" s="612">
        <v>76.95</v>
      </c>
      <c r="G10" s="612">
        <v>82.948</v>
      </c>
      <c r="H10" s="612">
        <v>86.724</v>
      </c>
      <c r="I10" s="612">
        <v>93.562</v>
      </c>
      <c r="J10" s="612">
        <v>99.529</v>
      </c>
      <c r="K10" s="612">
        <v>108.253</v>
      </c>
      <c r="L10" s="612">
        <v>115.529</v>
      </c>
      <c r="M10" s="612">
        <v>118.19</v>
      </c>
      <c r="N10" s="612">
        <v>118.915</v>
      </c>
      <c r="O10" s="612">
        <v>94.762</v>
      </c>
      <c r="P10" s="612">
        <v>104.52</v>
      </c>
      <c r="Q10" s="612">
        <v>114.368</v>
      </c>
      <c r="R10" s="612">
        <v>113.531</v>
      </c>
      <c r="S10" s="612">
        <v>120.568</v>
      </c>
      <c r="T10" s="652">
        <v>126.004</v>
      </c>
      <c r="U10" s="652">
        <v>120.173</v>
      </c>
      <c r="V10" s="610">
        <v>120.323</v>
      </c>
      <c r="W10" s="259">
        <f t="shared" si="0"/>
        <v>0.12482005109299621</v>
      </c>
    </row>
    <row r="11" spans="1:23" ht="12.75" customHeight="1">
      <c r="A11" s="19"/>
      <c r="B11" s="209">
        <v>4</v>
      </c>
      <c r="C11" s="595"/>
      <c r="D11" s="258" t="s">
        <v>323</v>
      </c>
      <c r="E11" s="596" t="s">
        <v>176</v>
      </c>
      <c r="F11" s="613">
        <v>61.309</v>
      </c>
      <c r="G11" s="613">
        <v>66.984</v>
      </c>
      <c r="H11" s="613">
        <v>67.885</v>
      </c>
      <c r="I11" s="613">
        <v>59.024</v>
      </c>
      <c r="J11" s="613">
        <v>67.941</v>
      </c>
      <c r="K11" s="613">
        <v>69.304</v>
      </c>
      <c r="L11" s="613">
        <v>77.731</v>
      </c>
      <c r="M11" s="613">
        <v>83.939</v>
      </c>
      <c r="N11" s="613">
        <v>97.675</v>
      </c>
      <c r="O11" s="613">
        <v>85.604</v>
      </c>
      <c r="P11" s="613">
        <v>89.899</v>
      </c>
      <c r="Q11" s="613">
        <v>88.421</v>
      </c>
      <c r="R11" s="613">
        <v>91.659</v>
      </c>
      <c r="S11" s="613">
        <v>92.348</v>
      </c>
      <c r="T11" s="653">
        <v>96.289</v>
      </c>
      <c r="U11" s="653">
        <v>98.776</v>
      </c>
      <c r="V11" s="611">
        <v>96.343</v>
      </c>
      <c r="W11" s="260">
        <f t="shared" si="0"/>
        <v>-2.4631489430630893</v>
      </c>
    </row>
    <row r="12" spans="1:23" ht="12.75" customHeight="1">
      <c r="A12" s="19"/>
      <c r="B12" s="209">
        <v>5</v>
      </c>
      <c r="C12" s="600"/>
      <c r="D12" s="291" t="s">
        <v>109</v>
      </c>
      <c r="E12" s="598" t="s">
        <v>180</v>
      </c>
      <c r="F12" s="612">
        <v>38.334</v>
      </c>
      <c r="G12" s="612">
        <v>41.134</v>
      </c>
      <c r="H12" s="612">
        <v>42.242</v>
      </c>
      <c r="I12" s="612">
        <v>48.264</v>
      </c>
      <c r="J12" s="612">
        <v>53.329</v>
      </c>
      <c r="K12" s="612">
        <v>55.186</v>
      </c>
      <c r="L12" s="612">
        <v>60.023</v>
      </c>
      <c r="M12" s="612">
        <v>62.128</v>
      </c>
      <c r="N12" s="612">
        <v>61.869</v>
      </c>
      <c r="O12" s="612">
        <v>55.84</v>
      </c>
      <c r="P12" s="612">
        <v>58.565</v>
      </c>
      <c r="Q12" s="612">
        <v>68.913</v>
      </c>
      <c r="R12" s="612">
        <v>72.344</v>
      </c>
      <c r="S12" s="612">
        <v>67.618</v>
      </c>
      <c r="T12" s="612">
        <v>75.65</v>
      </c>
      <c r="U12" s="612">
        <v>79.374</v>
      </c>
      <c r="V12" s="654">
        <v>83.422</v>
      </c>
      <c r="W12" s="259">
        <f t="shared" si="0"/>
        <v>5.099906770478995</v>
      </c>
    </row>
    <row r="13" spans="1:23" ht="12.75" customHeight="1">
      <c r="A13" s="19"/>
      <c r="B13" s="209">
        <v>6</v>
      </c>
      <c r="C13" s="595"/>
      <c r="D13" s="258" t="s">
        <v>5</v>
      </c>
      <c r="E13" s="596" t="s">
        <v>181</v>
      </c>
      <c r="F13" s="613">
        <v>91.279</v>
      </c>
      <c r="G13" s="613">
        <v>89.518</v>
      </c>
      <c r="H13" s="613">
        <v>89.244</v>
      </c>
      <c r="I13" s="613">
        <v>92.418</v>
      </c>
      <c r="J13" s="613">
        <v>90.81</v>
      </c>
      <c r="K13" s="613">
        <v>93.308</v>
      </c>
      <c r="L13" s="613">
        <v>96.527</v>
      </c>
      <c r="M13" s="613">
        <v>92.561</v>
      </c>
      <c r="N13" s="613">
        <v>92.523</v>
      </c>
      <c r="O13" s="613">
        <v>79.846</v>
      </c>
      <c r="P13" s="613">
        <v>82.427</v>
      </c>
      <c r="Q13" s="613">
        <v>84.461</v>
      </c>
      <c r="R13" s="613">
        <v>81.846</v>
      </c>
      <c r="S13" s="613">
        <v>76.248</v>
      </c>
      <c r="T13" s="613">
        <v>74.426</v>
      </c>
      <c r="U13" s="613">
        <v>77.479</v>
      </c>
      <c r="V13" s="655">
        <v>76.427</v>
      </c>
      <c r="W13" s="260">
        <f t="shared" si="0"/>
        <v>-1.357787271389654</v>
      </c>
    </row>
    <row r="14" spans="1:23" ht="12.75" customHeight="1">
      <c r="A14" s="19"/>
      <c r="B14" s="209">
        <v>7</v>
      </c>
      <c r="C14" s="600"/>
      <c r="D14" s="291" t="s">
        <v>120</v>
      </c>
      <c r="E14" s="598" t="s">
        <v>181</v>
      </c>
      <c r="F14" s="612">
        <v>63.885</v>
      </c>
      <c r="G14" s="612">
        <v>65.356</v>
      </c>
      <c r="H14" s="612">
        <v>63.754</v>
      </c>
      <c r="I14" s="612">
        <v>67.382</v>
      </c>
      <c r="J14" s="612">
        <v>71.878</v>
      </c>
      <c r="K14" s="612">
        <v>70.801</v>
      </c>
      <c r="L14" s="612">
        <v>69.973</v>
      </c>
      <c r="M14" s="612">
        <v>73.897</v>
      </c>
      <c r="N14" s="612">
        <v>75.636</v>
      </c>
      <c r="O14" s="612">
        <v>69.228</v>
      </c>
      <c r="P14" s="612">
        <v>65.771</v>
      </c>
      <c r="Q14" s="612">
        <v>63.383</v>
      </c>
      <c r="R14" s="612">
        <v>59.246</v>
      </c>
      <c r="S14" s="612">
        <v>64.395</v>
      </c>
      <c r="T14" s="612">
        <v>61.436</v>
      </c>
      <c r="U14" s="612">
        <v>62.946</v>
      </c>
      <c r="V14" s="654">
        <v>60.033</v>
      </c>
      <c r="W14" s="259">
        <f t="shared" si="0"/>
        <v>-4.627776189114471</v>
      </c>
    </row>
    <row r="15" spans="1:23" ht="12.75" customHeight="1">
      <c r="A15" s="19"/>
      <c r="B15" s="209">
        <v>8</v>
      </c>
      <c r="C15" s="595"/>
      <c r="D15" s="258" t="s">
        <v>132</v>
      </c>
      <c r="E15" s="596" t="s">
        <v>180</v>
      </c>
      <c r="F15" s="613">
        <v>21.958</v>
      </c>
      <c r="G15" s="613">
        <v>24.768</v>
      </c>
      <c r="H15" s="613">
        <v>28.481</v>
      </c>
      <c r="I15" s="613">
        <v>30.385</v>
      </c>
      <c r="J15" s="613">
        <v>32.304</v>
      </c>
      <c r="K15" s="613">
        <v>34.99</v>
      </c>
      <c r="L15" s="613">
        <v>40.742</v>
      </c>
      <c r="M15" s="613">
        <v>45.935</v>
      </c>
      <c r="N15" s="613">
        <v>50.182</v>
      </c>
      <c r="O15" s="613">
        <v>48.343</v>
      </c>
      <c r="P15" s="613">
        <v>53.075</v>
      </c>
      <c r="Q15" s="613">
        <v>54.213</v>
      </c>
      <c r="R15" s="613">
        <v>54.217</v>
      </c>
      <c r="S15" s="613">
        <v>53.47</v>
      </c>
      <c r="T15" s="613">
        <v>55.047</v>
      </c>
      <c r="U15" s="613">
        <v>57.557</v>
      </c>
      <c r="V15" s="655">
        <v>58.321</v>
      </c>
      <c r="W15" s="260">
        <f t="shared" si="0"/>
        <v>1.3273798147922946</v>
      </c>
    </row>
    <row r="16" spans="1:23" ht="12.75" customHeight="1">
      <c r="A16" s="19"/>
      <c r="B16" s="209">
        <v>9</v>
      </c>
      <c r="C16" s="600"/>
      <c r="D16" s="291" t="s">
        <v>450</v>
      </c>
      <c r="E16" s="598" t="s">
        <v>177</v>
      </c>
      <c r="F16" s="612">
        <v>52.501</v>
      </c>
      <c r="G16" s="612">
        <v>54.831</v>
      </c>
      <c r="H16" s="612">
        <v>55.731</v>
      </c>
      <c r="I16" s="612">
        <v>55.931</v>
      </c>
      <c r="J16" s="612">
        <v>57.616</v>
      </c>
      <c r="K16" s="612">
        <v>60.686</v>
      </c>
      <c r="L16" s="612">
        <v>64.033</v>
      </c>
      <c r="M16" s="612">
        <v>66.279</v>
      </c>
      <c r="N16" s="612">
        <v>65.267</v>
      </c>
      <c r="O16" s="612">
        <v>54.708</v>
      </c>
      <c r="P16" s="612">
        <v>54.029</v>
      </c>
      <c r="Q16" s="612">
        <v>57.227</v>
      </c>
      <c r="R16" s="612">
        <v>60.091</v>
      </c>
      <c r="S16" s="612">
        <v>62.614</v>
      </c>
      <c r="T16" s="612">
        <v>59.37</v>
      </c>
      <c r="U16" s="612">
        <v>59.103</v>
      </c>
      <c r="V16" s="654">
        <v>54.403</v>
      </c>
      <c r="W16" s="656">
        <f t="shared" si="0"/>
        <v>-7.952219007495401</v>
      </c>
    </row>
    <row r="17" spans="1:23" ht="12.75" customHeight="1">
      <c r="A17" s="19"/>
      <c r="B17" s="209">
        <v>10</v>
      </c>
      <c r="C17" s="595"/>
      <c r="D17" s="258" t="s">
        <v>250</v>
      </c>
      <c r="E17" s="596" t="s">
        <v>179</v>
      </c>
      <c r="F17" s="613">
        <v>24.835</v>
      </c>
      <c r="G17" s="613">
        <v>26.512</v>
      </c>
      <c r="H17" s="613">
        <v>27.404</v>
      </c>
      <c r="I17" s="613">
        <v>28.82</v>
      </c>
      <c r="J17" s="613">
        <v>31.757</v>
      </c>
      <c r="K17" s="613">
        <v>33.728</v>
      </c>
      <c r="L17" s="613">
        <v>40.35</v>
      </c>
      <c r="M17" s="613">
        <v>43.618</v>
      </c>
      <c r="N17" s="613">
        <v>48.956</v>
      </c>
      <c r="O17" s="613">
        <v>42.701</v>
      </c>
      <c r="P17" s="613">
        <v>45.943</v>
      </c>
      <c r="Q17" s="613">
        <v>55.855</v>
      </c>
      <c r="R17" s="613">
        <v>58.25</v>
      </c>
      <c r="S17" s="613">
        <v>54.506</v>
      </c>
      <c r="T17" s="613">
        <v>53.643</v>
      </c>
      <c r="U17" s="613">
        <v>49.753</v>
      </c>
      <c r="V17" s="655">
        <v>52.294</v>
      </c>
      <c r="W17" s="260">
        <f t="shared" si="0"/>
        <v>5.107229714791046</v>
      </c>
    </row>
    <row r="18" spans="1:23" ht="12.75" customHeight="1">
      <c r="A18" s="19"/>
      <c r="B18" s="209">
        <v>11</v>
      </c>
      <c r="C18" s="600"/>
      <c r="D18" s="291" t="s">
        <v>121</v>
      </c>
      <c r="E18" s="598" t="s">
        <v>177</v>
      </c>
      <c r="F18" s="612">
        <v>47.892</v>
      </c>
      <c r="G18" s="612">
        <v>50.654</v>
      </c>
      <c r="H18" s="612">
        <v>51.185</v>
      </c>
      <c r="I18" s="612">
        <v>51.028</v>
      </c>
      <c r="J18" s="612">
        <v>53.289</v>
      </c>
      <c r="K18" s="612">
        <v>53.843</v>
      </c>
      <c r="L18" s="612">
        <v>51.911</v>
      </c>
      <c r="M18" s="612">
        <v>52.739</v>
      </c>
      <c r="N18" s="612">
        <v>52.965</v>
      </c>
      <c r="O18" s="612">
        <v>45.442</v>
      </c>
      <c r="P18" s="612">
        <v>48.062</v>
      </c>
      <c r="Q18" s="612">
        <v>48.796</v>
      </c>
      <c r="R18" s="612">
        <v>43.742</v>
      </c>
      <c r="S18" s="612">
        <v>43.205</v>
      </c>
      <c r="T18" s="612">
        <v>44.489</v>
      </c>
      <c r="U18" s="612">
        <v>45.43</v>
      </c>
      <c r="V18" s="654">
        <v>50.38</v>
      </c>
      <c r="W18" s="656">
        <f t="shared" si="0"/>
        <v>10.895883777239717</v>
      </c>
    </row>
    <row r="19" spans="1:23" ht="12.75" customHeight="1">
      <c r="A19" s="19"/>
      <c r="B19" s="209">
        <v>12</v>
      </c>
      <c r="C19" s="595"/>
      <c r="D19" s="258" t="s">
        <v>122</v>
      </c>
      <c r="E19" s="596" t="s">
        <v>183</v>
      </c>
      <c r="F19" s="613">
        <v>44.015</v>
      </c>
      <c r="G19" s="613">
        <v>44.712</v>
      </c>
      <c r="H19" s="613">
        <v>43.717</v>
      </c>
      <c r="I19" s="613">
        <v>41.566</v>
      </c>
      <c r="J19" s="613">
        <v>41.516</v>
      </c>
      <c r="K19" s="613">
        <v>43.355</v>
      </c>
      <c r="L19" s="613">
        <v>44.644</v>
      </c>
      <c r="M19" s="613">
        <v>39.833</v>
      </c>
      <c r="N19" s="613">
        <v>37.195</v>
      </c>
      <c r="O19" s="613">
        <v>40.986</v>
      </c>
      <c r="P19" s="613">
        <v>40.557</v>
      </c>
      <c r="Q19" s="613">
        <v>41.803</v>
      </c>
      <c r="R19" s="613">
        <v>42.144</v>
      </c>
      <c r="S19" s="613">
        <v>45.986</v>
      </c>
      <c r="T19" s="613">
        <v>47.265</v>
      </c>
      <c r="U19" s="613">
        <v>49.137</v>
      </c>
      <c r="V19" s="655">
        <v>49.311</v>
      </c>
      <c r="W19" s="260">
        <f t="shared" si="0"/>
        <v>0.3541119726478996</v>
      </c>
    </row>
    <row r="20" spans="1:23" ht="12.75" customHeight="1">
      <c r="A20" s="19"/>
      <c r="B20" s="209">
        <v>13</v>
      </c>
      <c r="C20" s="600"/>
      <c r="D20" s="291" t="s">
        <v>251</v>
      </c>
      <c r="E20" s="598" t="s">
        <v>186</v>
      </c>
      <c r="F20" s="612">
        <v>19.957</v>
      </c>
      <c r="G20" s="612">
        <v>19.604</v>
      </c>
      <c r="H20" s="612">
        <v>19.634</v>
      </c>
      <c r="I20" s="612">
        <v>20.863</v>
      </c>
      <c r="J20" s="612">
        <v>22.434</v>
      </c>
      <c r="K20" s="612">
        <v>24.929</v>
      </c>
      <c r="L20" s="612">
        <v>26.934</v>
      </c>
      <c r="M20" s="612">
        <v>25.97</v>
      </c>
      <c r="N20" s="612">
        <v>24.669</v>
      </c>
      <c r="O20" s="612">
        <v>23.857</v>
      </c>
      <c r="P20" s="612">
        <v>24.728</v>
      </c>
      <c r="Q20" s="612">
        <v>24.87</v>
      </c>
      <c r="R20" s="612">
        <v>27.423</v>
      </c>
      <c r="S20" s="612">
        <v>34.6</v>
      </c>
      <c r="T20" s="612">
        <v>35.054</v>
      </c>
      <c r="U20" s="612">
        <v>41.218</v>
      </c>
      <c r="V20" s="654">
        <v>48.056</v>
      </c>
      <c r="W20" s="656">
        <f t="shared" si="0"/>
        <v>16.589839390557515</v>
      </c>
    </row>
    <row r="21" spans="1:23" ht="12.75" customHeight="1">
      <c r="A21" s="19"/>
      <c r="B21" s="209">
        <v>14</v>
      </c>
      <c r="C21" s="595"/>
      <c r="D21" s="258" t="s">
        <v>131</v>
      </c>
      <c r="E21" s="596" t="s">
        <v>183</v>
      </c>
      <c r="F21" s="613">
        <v>43.797</v>
      </c>
      <c r="G21" s="613">
        <v>43.134</v>
      </c>
      <c r="H21" s="613">
        <v>44.408</v>
      </c>
      <c r="I21" s="613">
        <v>46.949</v>
      </c>
      <c r="J21" s="613">
        <v>45.88</v>
      </c>
      <c r="K21" s="613">
        <v>42.64</v>
      </c>
      <c r="L21" s="613">
        <v>44.425</v>
      </c>
      <c r="M21" s="613">
        <v>48.358</v>
      </c>
      <c r="N21" s="613">
        <v>46.469</v>
      </c>
      <c r="O21" s="613">
        <v>42.708</v>
      </c>
      <c r="P21" s="613">
        <v>41.428</v>
      </c>
      <c r="Q21" s="613">
        <v>42.374</v>
      </c>
      <c r="R21" s="613">
        <v>42.453</v>
      </c>
      <c r="S21" s="613">
        <v>40.83</v>
      </c>
      <c r="T21" s="613">
        <v>43.394</v>
      </c>
      <c r="U21" s="613">
        <v>43.426</v>
      </c>
      <c r="V21" s="655">
        <v>45.049</v>
      </c>
      <c r="W21" s="260">
        <f t="shared" si="0"/>
        <v>3.737392345599403</v>
      </c>
    </row>
    <row r="22" spans="1:23" ht="12.75" customHeight="1">
      <c r="A22" s="38"/>
      <c r="B22" s="209">
        <v>15</v>
      </c>
      <c r="C22" s="600"/>
      <c r="D22" s="291" t="s">
        <v>104</v>
      </c>
      <c r="E22" s="598" t="s">
        <v>175</v>
      </c>
      <c r="F22" s="612">
        <v>16.513</v>
      </c>
      <c r="G22" s="612">
        <v>16.892</v>
      </c>
      <c r="H22" s="612">
        <v>19.145</v>
      </c>
      <c r="I22" s="612">
        <v>21.291</v>
      </c>
      <c r="J22" s="612">
        <v>20.318</v>
      </c>
      <c r="K22" s="612">
        <v>18.688</v>
      </c>
      <c r="L22" s="612">
        <v>19.954</v>
      </c>
      <c r="M22" s="612">
        <v>18.93</v>
      </c>
      <c r="N22" s="612">
        <v>8.806</v>
      </c>
      <c r="O22" s="612">
        <v>10.062</v>
      </c>
      <c r="P22" s="612">
        <v>13.058</v>
      </c>
      <c r="Q22" s="612">
        <v>23.492</v>
      </c>
      <c r="R22" s="612">
        <v>35.189</v>
      </c>
      <c r="S22" s="612">
        <v>40.192</v>
      </c>
      <c r="T22" s="612">
        <v>41.441</v>
      </c>
      <c r="U22" s="612">
        <v>38.322</v>
      </c>
      <c r="V22" s="654">
        <v>41.021</v>
      </c>
      <c r="W22" s="656">
        <f t="shared" si="0"/>
        <v>7.042951829236472</v>
      </c>
    </row>
    <row r="23" spans="1:23" ht="12.75" customHeight="1">
      <c r="A23" s="19"/>
      <c r="B23" s="209">
        <v>16</v>
      </c>
      <c r="C23" s="595"/>
      <c r="D23" s="258" t="s">
        <v>19</v>
      </c>
      <c r="E23" s="596" t="s">
        <v>177</v>
      </c>
      <c r="F23" s="613">
        <v>33.261</v>
      </c>
      <c r="G23" s="613">
        <v>32.965</v>
      </c>
      <c r="H23" s="613">
        <v>32.294</v>
      </c>
      <c r="I23" s="613">
        <v>32.356</v>
      </c>
      <c r="J23" s="613">
        <v>36.404</v>
      </c>
      <c r="K23" s="613">
        <v>36.479</v>
      </c>
      <c r="L23" s="613">
        <v>39.912</v>
      </c>
      <c r="M23" s="613">
        <v>40.353</v>
      </c>
      <c r="N23" s="613">
        <v>42.331</v>
      </c>
      <c r="O23" s="613">
        <v>38.934</v>
      </c>
      <c r="P23" s="613">
        <v>42.938</v>
      </c>
      <c r="Q23" s="613">
        <v>41.311</v>
      </c>
      <c r="R23" s="613">
        <v>41.148</v>
      </c>
      <c r="S23" s="613">
        <v>38.38</v>
      </c>
      <c r="T23" s="613">
        <v>36.832</v>
      </c>
      <c r="U23" s="613">
        <v>37.815</v>
      </c>
      <c r="V23" s="655">
        <v>40.974</v>
      </c>
      <c r="W23" s="260">
        <f t="shared" si="0"/>
        <v>8.353827846092827</v>
      </c>
    </row>
    <row r="24" spans="1:23" ht="12.75" customHeight="1">
      <c r="A24" s="19"/>
      <c r="B24" s="209">
        <v>17</v>
      </c>
      <c r="C24" s="600"/>
      <c r="D24" s="291" t="s">
        <v>324</v>
      </c>
      <c r="E24" s="598" t="s">
        <v>180</v>
      </c>
      <c r="F24" s="612">
        <v>25.787</v>
      </c>
      <c r="G24" s="612">
        <v>27.327</v>
      </c>
      <c r="H24" s="612">
        <v>25.042</v>
      </c>
      <c r="I24" s="612">
        <v>29.933</v>
      </c>
      <c r="J24" s="612">
        <v>36.321</v>
      </c>
      <c r="K24" s="612">
        <v>37.063</v>
      </c>
      <c r="L24" s="612">
        <v>38.267</v>
      </c>
      <c r="M24" s="612">
        <v>41.04</v>
      </c>
      <c r="N24" s="612">
        <v>41.511</v>
      </c>
      <c r="O24" s="612">
        <v>35.911</v>
      </c>
      <c r="P24" s="612">
        <v>35.326</v>
      </c>
      <c r="Q24" s="612">
        <v>35.222</v>
      </c>
      <c r="R24" s="612">
        <v>34.342</v>
      </c>
      <c r="S24" s="612">
        <v>34.372</v>
      </c>
      <c r="T24" s="612">
        <v>41.182</v>
      </c>
      <c r="U24" s="612">
        <v>38.047</v>
      </c>
      <c r="V24" s="654">
        <v>39.142</v>
      </c>
      <c r="W24" s="656">
        <f t="shared" si="0"/>
        <v>2.8780192919284104</v>
      </c>
    </row>
    <row r="25" spans="1:23" ht="12.75" customHeight="1">
      <c r="A25" s="19"/>
      <c r="B25" s="209">
        <v>18</v>
      </c>
      <c r="C25" s="595"/>
      <c r="D25" s="258" t="s">
        <v>451</v>
      </c>
      <c r="E25" s="596" t="s">
        <v>170</v>
      </c>
      <c r="F25" s="613"/>
      <c r="G25" s="613">
        <v>25.119</v>
      </c>
      <c r="H25" s="613">
        <v>28.478</v>
      </c>
      <c r="I25" s="613">
        <v>32.163</v>
      </c>
      <c r="J25" s="613">
        <v>37.652</v>
      </c>
      <c r="K25" s="613">
        <v>44.377</v>
      </c>
      <c r="L25" s="613">
        <v>42.888</v>
      </c>
      <c r="M25" s="613">
        <v>44.916</v>
      </c>
      <c r="N25" s="613">
        <v>45.75</v>
      </c>
      <c r="O25" s="613">
        <v>29.181</v>
      </c>
      <c r="P25" s="613">
        <v>30.396</v>
      </c>
      <c r="Q25" s="613">
        <v>30.978</v>
      </c>
      <c r="R25" s="613">
        <v>31.938</v>
      </c>
      <c r="S25" s="613">
        <v>35.65</v>
      </c>
      <c r="T25" s="613">
        <v>34.789</v>
      </c>
      <c r="U25" s="613">
        <v>36.277</v>
      </c>
      <c r="V25" s="655">
        <v>37.521</v>
      </c>
      <c r="W25" s="260">
        <f t="shared" si="0"/>
        <v>3.4291699975190966</v>
      </c>
    </row>
    <row r="26" spans="1:23" ht="12.75" customHeight="1">
      <c r="A26" s="19"/>
      <c r="B26" s="209">
        <v>19</v>
      </c>
      <c r="C26" s="600"/>
      <c r="D26" s="291" t="s">
        <v>140</v>
      </c>
      <c r="E26" s="598" t="s">
        <v>167</v>
      </c>
      <c r="F26" s="612"/>
      <c r="G26" s="612">
        <v>20.953</v>
      </c>
      <c r="H26" s="612">
        <v>24.405</v>
      </c>
      <c r="I26" s="612">
        <v>30.242</v>
      </c>
      <c r="J26" s="612">
        <v>25.842</v>
      </c>
      <c r="K26" s="612">
        <v>20.019</v>
      </c>
      <c r="L26" s="612">
        <v>21.347</v>
      </c>
      <c r="M26" s="612">
        <v>24.676</v>
      </c>
      <c r="N26" s="612">
        <v>27.311</v>
      </c>
      <c r="O26" s="612">
        <v>25.955</v>
      </c>
      <c r="P26" s="612">
        <v>28.851</v>
      </c>
      <c r="Q26" s="612">
        <v>33.728</v>
      </c>
      <c r="R26" s="612">
        <v>32.514</v>
      </c>
      <c r="S26" s="612">
        <v>30.79</v>
      </c>
      <c r="T26" s="612">
        <v>33.773</v>
      </c>
      <c r="U26" s="612">
        <v>34.449</v>
      </c>
      <c r="V26" s="654">
        <v>36.921</v>
      </c>
      <c r="W26" s="656">
        <f t="shared" si="0"/>
        <v>7.175825132805016</v>
      </c>
    </row>
    <row r="27" spans="1:23" ht="12.75" customHeight="1">
      <c r="A27" s="19"/>
      <c r="B27" s="209">
        <v>20</v>
      </c>
      <c r="C27" s="595"/>
      <c r="D27" s="258" t="s">
        <v>205</v>
      </c>
      <c r="E27" s="596" t="s">
        <v>181</v>
      </c>
      <c r="F27" s="613">
        <v>44.318</v>
      </c>
      <c r="G27" s="613">
        <v>41.914</v>
      </c>
      <c r="H27" s="613">
        <v>44.301</v>
      </c>
      <c r="I27" s="613">
        <v>45.791</v>
      </c>
      <c r="J27" s="613">
        <v>46.448</v>
      </c>
      <c r="K27" s="613">
        <v>48.503</v>
      </c>
      <c r="L27" s="613">
        <v>50.386</v>
      </c>
      <c r="M27" s="613">
        <v>50.244</v>
      </c>
      <c r="N27" s="613">
        <v>50.464</v>
      </c>
      <c r="O27" s="613">
        <v>37.922</v>
      </c>
      <c r="P27" s="613">
        <v>36.309</v>
      </c>
      <c r="Q27" s="613">
        <v>40.843</v>
      </c>
      <c r="R27" s="613">
        <v>40.363</v>
      </c>
      <c r="S27" s="613">
        <v>36.634</v>
      </c>
      <c r="T27" s="613">
        <v>38.919</v>
      </c>
      <c r="U27" s="613">
        <v>36.906</v>
      </c>
      <c r="V27" s="655">
        <v>36.864</v>
      </c>
      <c r="W27" s="260">
        <f t="shared" si="0"/>
        <v>-0.11380263371809463</v>
      </c>
    </row>
    <row r="28" spans="1:23" ht="12.75" customHeight="1">
      <c r="A28" s="19"/>
      <c r="B28" s="209">
        <v>21</v>
      </c>
      <c r="C28" s="600"/>
      <c r="D28" s="291" t="s">
        <v>125</v>
      </c>
      <c r="E28" s="598" t="s">
        <v>177</v>
      </c>
      <c r="F28" s="612">
        <v>34.773</v>
      </c>
      <c r="G28" s="612">
        <v>35.689</v>
      </c>
      <c r="H28" s="612">
        <v>34.156</v>
      </c>
      <c r="I28" s="612">
        <v>35.773</v>
      </c>
      <c r="J28" s="612">
        <v>38.431</v>
      </c>
      <c r="K28" s="612">
        <v>39.947</v>
      </c>
      <c r="L28" s="612">
        <v>40.556</v>
      </c>
      <c r="M28" s="612">
        <v>43.815</v>
      </c>
      <c r="N28" s="612">
        <v>40.974</v>
      </c>
      <c r="O28" s="612">
        <v>37.228</v>
      </c>
      <c r="P28" s="612">
        <v>39.365</v>
      </c>
      <c r="Q28" s="612">
        <v>37.878</v>
      </c>
      <c r="R28" s="612">
        <v>38.107</v>
      </c>
      <c r="S28" s="612">
        <v>35.797</v>
      </c>
      <c r="T28" s="612">
        <v>36.688</v>
      </c>
      <c r="U28" s="612">
        <v>37.66</v>
      </c>
      <c r="V28" s="654">
        <v>36.046</v>
      </c>
      <c r="W28" s="656">
        <f t="shared" si="0"/>
        <v>-4.285714285714278</v>
      </c>
    </row>
    <row r="29" spans="1:23" ht="12.75" customHeight="1">
      <c r="A29" s="19"/>
      <c r="B29" s="209">
        <v>22</v>
      </c>
      <c r="C29" s="595"/>
      <c r="D29" s="258" t="s">
        <v>328</v>
      </c>
      <c r="E29" s="596" t="s">
        <v>166</v>
      </c>
      <c r="F29" s="613"/>
      <c r="G29" s="613">
        <v>14.82</v>
      </c>
      <c r="H29" s="613">
        <v>17.956</v>
      </c>
      <c r="I29" s="613">
        <v>21.645</v>
      </c>
      <c r="J29" s="613">
        <v>22.063</v>
      </c>
      <c r="K29" s="613">
        <v>24.421</v>
      </c>
      <c r="L29" s="613">
        <v>23.758</v>
      </c>
      <c r="M29" s="613">
        <v>25.216</v>
      </c>
      <c r="N29" s="613">
        <v>28.567</v>
      </c>
      <c r="O29" s="613">
        <v>29.225</v>
      </c>
      <c r="P29" s="613">
        <v>29.057</v>
      </c>
      <c r="Q29" s="613">
        <v>32.921</v>
      </c>
      <c r="R29" s="613">
        <v>34.848</v>
      </c>
      <c r="S29" s="613">
        <v>34.04</v>
      </c>
      <c r="T29" s="613">
        <v>39.808</v>
      </c>
      <c r="U29" s="613">
        <v>39.362</v>
      </c>
      <c r="V29" s="655">
        <v>35.822</v>
      </c>
      <c r="W29" s="260">
        <f t="shared" si="0"/>
        <v>-8.993445455007361</v>
      </c>
    </row>
    <row r="30" spans="1:23" ht="12.75" customHeight="1">
      <c r="A30" s="19"/>
      <c r="B30" s="209">
        <v>23</v>
      </c>
      <c r="C30" s="600"/>
      <c r="D30" s="291" t="s">
        <v>133</v>
      </c>
      <c r="E30" s="598" t="s">
        <v>177</v>
      </c>
      <c r="F30" s="612">
        <v>33.768</v>
      </c>
      <c r="G30" s="612">
        <v>33.792</v>
      </c>
      <c r="H30" s="612">
        <v>34.543</v>
      </c>
      <c r="I30" s="612">
        <v>32.737</v>
      </c>
      <c r="J30" s="612">
        <v>38.452</v>
      </c>
      <c r="K30" s="612">
        <v>37.547</v>
      </c>
      <c r="L30" s="612">
        <v>34.307</v>
      </c>
      <c r="M30" s="612">
        <v>35.496</v>
      </c>
      <c r="N30" s="612">
        <v>35.875</v>
      </c>
      <c r="O30" s="612">
        <v>39.293</v>
      </c>
      <c r="P30" s="612">
        <v>42.788</v>
      </c>
      <c r="Q30" s="612">
        <v>48.699</v>
      </c>
      <c r="R30" s="612">
        <v>39.832</v>
      </c>
      <c r="S30" s="612">
        <v>41.105</v>
      </c>
      <c r="T30" s="612">
        <v>34.309</v>
      </c>
      <c r="U30" s="612">
        <v>37.684</v>
      </c>
      <c r="V30" s="654">
        <v>34.768</v>
      </c>
      <c r="W30" s="656">
        <f t="shared" si="0"/>
        <v>-7.738032056045</v>
      </c>
    </row>
    <row r="31" spans="1:23" ht="12.75" customHeight="1">
      <c r="A31" s="19"/>
      <c r="B31" s="209">
        <v>24</v>
      </c>
      <c r="C31" s="595"/>
      <c r="D31" s="258" t="s">
        <v>583</v>
      </c>
      <c r="E31" s="596" t="s">
        <v>176</v>
      </c>
      <c r="F31" s="7"/>
      <c r="G31" s="7"/>
      <c r="H31" s="7"/>
      <c r="I31" s="7"/>
      <c r="J31" s="7"/>
      <c r="K31" s="7"/>
      <c r="L31" s="7"/>
      <c r="M31" s="7"/>
      <c r="N31" s="7"/>
      <c r="O31" s="7"/>
      <c r="P31" s="7"/>
      <c r="Q31" s="613">
        <v>33.694</v>
      </c>
      <c r="R31" s="613">
        <v>32.476</v>
      </c>
      <c r="S31" s="613">
        <v>32.062</v>
      </c>
      <c r="T31" s="613">
        <v>34.212</v>
      </c>
      <c r="U31" s="613">
        <v>33.642</v>
      </c>
      <c r="V31" s="613">
        <v>33.261</v>
      </c>
      <c r="W31" s="260">
        <f t="shared" si="0"/>
        <v>-1.132512930265733</v>
      </c>
    </row>
    <row r="32" spans="1:23" ht="12.75" customHeight="1">
      <c r="A32" s="19"/>
      <c r="B32" s="209">
        <v>25</v>
      </c>
      <c r="C32" s="600"/>
      <c r="D32" s="291" t="s">
        <v>249</v>
      </c>
      <c r="E32" s="598" t="s">
        <v>177</v>
      </c>
      <c r="F32" s="612">
        <v>30.421</v>
      </c>
      <c r="G32" s="612">
        <v>30.288</v>
      </c>
      <c r="H32" s="612">
        <v>30.413</v>
      </c>
      <c r="I32" s="612">
        <v>31.684</v>
      </c>
      <c r="J32" s="612">
        <v>32.233</v>
      </c>
      <c r="K32" s="612">
        <v>33.775</v>
      </c>
      <c r="L32" s="612">
        <v>33.55</v>
      </c>
      <c r="M32" s="612">
        <v>32.258</v>
      </c>
      <c r="N32" s="612">
        <v>32.204</v>
      </c>
      <c r="O32" s="612">
        <v>29.936</v>
      </c>
      <c r="P32" s="612">
        <v>30.02</v>
      </c>
      <c r="Q32" s="612">
        <v>32.66</v>
      </c>
      <c r="R32" s="612">
        <v>32.924</v>
      </c>
      <c r="S32" s="612">
        <v>31.149</v>
      </c>
      <c r="T32" s="612">
        <v>30.996</v>
      </c>
      <c r="U32" s="612">
        <v>31.256</v>
      </c>
      <c r="V32" s="654">
        <v>31.901</v>
      </c>
      <c r="W32" s="656">
        <f t="shared" si="0"/>
        <v>2.063603788072683</v>
      </c>
    </row>
    <row r="33" spans="1:23" ht="12.75" customHeight="1">
      <c r="A33" s="19"/>
      <c r="B33" s="209">
        <v>26</v>
      </c>
      <c r="C33" s="595"/>
      <c r="D33" s="258" t="s">
        <v>374</v>
      </c>
      <c r="E33" s="596" t="s">
        <v>169</v>
      </c>
      <c r="F33" s="613"/>
      <c r="G33" s="613">
        <v>16.971</v>
      </c>
      <c r="H33" s="613">
        <v>17.166</v>
      </c>
      <c r="I33" s="613">
        <v>21.323</v>
      </c>
      <c r="J33" s="613">
        <v>22.238</v>
      </c>
      <c r="K33" s="613">
        <v>22.478</v>
      </c>
      <c r="L33" s="613">
        <v>22.034</v>
      </c>
      <c r="M33" s="613">
        <v>19.944</v>
      </c>
      <c r="N33" s="613">
        <v>17.072</v>
      </c>
      <c r="O33" s="613">
        <v>18.758</v>
      </c>
      <c r="P33" s="613">
        <v>26.421</v>
      </c>
      <c r="Q33" s="613">
        <v>23.513</v>
      </c>
      <c r="R33" s="613">
        <v>24.379</v>
      </c>
      <c r="S33" s="613">
        <v>27.335</v>
      </c>
      <c r="T33" s="613">
        <v>28.771</v>
      </c>
      <c r="U33" s="613">
        <v>31.685</v>
      </c>
      <c r="V33" s="655">
        <v>31.566</v>
      </c>
      <c r="W33" s="260">
        <f t="shared" si="0"/>
        <v>-0.3755720372415965</v>
      </c>
    </row>
    <row r="34" spans="1:23" ht="12.75" customHeight="1">
      <c r="A34" s="19"/>
      <c r="B34" s="209">
        <v>27</v>
      </c>
      <c r="C34" s="600"/>
      <c r="D34" s="291" t="s">
        <v>203</v>
      </c>
      <c r="E34" s="598" t="s">
        <v>180</v>
      </c>
      <c r="F34" s="612">
        <v>17.157</v>
      </c>
      <c r="G34" s="612">
        <v>20.192</v>
      </c>
      <c r="H34" s="612">
        <v>21.892</v>
      </c>
      <c r="I34" s="612">
        <v>21.186</v>
      </c>
      <c r="J34" s="612">
        <v>23.237</v>
      </c>
      <c r="K34" s="612">
        <v>26.716</v>
      </c>
      <c r="L34" s="612">
        <v>25.442</v>
      </c>
      <c r="M34" s="612">
        <v>23.843</v>
      </c>
      <c r="N34" s="612">
        <v>25.547</v>
      </c>
      <c r="O34" s="612">
        <v>20.393</v>
      </c>
      <c r="P34" s="612">
        <v>19.044</v>
      </c>
      <c r="Q34" s="612">
        <v>22.511</v>
      </c>
      <c r="R34" s="612">
        <v>29.969</v>
      </c>
      <c r="S34" s="612">
        <v>29.211</v>
      </c>
      <c r="T34" s="612">
        <v>32.275</v>
      </c>
      <c r="U34" s="612">
        <v>32.384</v>
      </c>
      <c r="V34" s="654">
        <v>31.544</v>
      </c>
      <c r="W34" s="656">
        <f t="shared" si="0"/>
        <v>-2.5938735177865624</v>
      </c>
    </row>
    <row r="35" spans="1:23" ht="12.75" customHeight="1">
      <c r="A35" s="19"/>
      <c r="B35" s="209">
        <v>28</v>
      </c>
      <c r="C35" s="595"/>
      <c r="D35" s="258" t="s">
        <v>135</v>
      </c>
      <c r="E35" s="596" t="s">
        <v>180</v>
      </c>
      <c r="F35" s="613">
        <v>27.175</v>
      </c>
      <c r="G35" s="613">
        <v>26.495</v>
      </c>
      <c r="H35" s="613">
        <v>29.232</v>
      </c>
      <c r="I35" s="613">
        <v>28.642</v>
      </c>
      <c r="J35" s="613">
        <v>29.61</v>
      </c>
      <c r="K35" s="613">
        <v>30.663</v>
      </c>
      <c r="L35" s="613">
        <v>31.189</v>
      </c>
      <c r="M35" s="613">
        <v>35.802</v>
      </c>
      <c r="N35" s="613">
        <v>32.835</v>
      </c>
      <c r="O35" s="613">
        <v>33.429</v>
      </c>
      <c r="P35" s="613">
        <v>32.071</v>
      </c>
      <c r="Q35" s="613">
        <v>31.307</v>
      </c>
      <c r="R35" s="613">
        <v>32.694</v>
      </c>
      <c r="S35" s="613">
        <v>27.644</v>
      </c>
      <c r="T35" s="613">
        <v>31.502</v>
      </c>
      <c r="U35" s="613">
        <v>32.772</v>
      </c>
      <c r="V35" s="655">
        <v>31.151</v>
      </c>
      <c r="W35" s="260">
        <f t="shared" si="0"/>
        <v>-4.946295618210655</v>
      </c>
    </row>
    <row r="36" spans="1:23" ht="12.75" customHeight="1">
      <c r="A36" s="19"/>
      <c r="B36" s="209">
        <v>29</v>
      </c>
      <c r="C36" s="600"/>
      <c r="D36" s="291" t="s">
        <v>136</v>
      </c>
      <c r="E36" s="598" t="s">
        <v>180</v>
      </c>
      <c r="F36" s="612">
        <v>26.623</v>
      </c>
      <c r="G36" s="612">
        <v>25.721</v>
      </c>
      <c r="H36" s="612">
        <v>24.696</v>
      </c>
      <c r="I36" s="612">
        <v>27.475</v>
      </c>
      <c r="J36" s="612">
        <v>31.635</v>
      </c>
      <c r="K36" s="612">
        <v>32.182</v>
      </c>
      <c r="L36" s="612">
        <v>36.118</v>
      </c>
      <c r="M36" s="612">
        <v>37.313</v>
      </c>
      <c r="N36" s="612">
        <v>36.813</v>
      </c>
      <c r="O36" s="612">
        <v>30.606</v>
      </c>
      <c r="P36" s="612">
        <v>32.44</v>
      </c>
      <c r="Q36" s="612">
        <v>30.281</v>
      </c>
      <c r="R36" s="612">
        <v>27.406</v>
      </c>
      <c r="S36" s="612">
        <v>28.063</v>
      </c>
      <c r="T36" s="612">
        <v>29.281</v>
      </c>
      <c r="U36" s="612">
        <v>30.975</v>
      </c>
      <c r="V36" s="654">
        <v>30.425</v>
      </c>
      <c r="W36" s="656">
        <f t="shared" si="0"/>
        <v>-1.775625504439077</v>
      </c>
    </row>
    <row r="37" spans="1:23" ht="12.75" customHeight="1">
      <c r="A37" s="19"/>
      <c r="B37" s="209">
        <v>30</v>
      </c>
      <c r="C37" s="595"/>
      <c r="D37" s="258" t="s">
        <v>253</v>
      </c>
      <c r="E37" s="596" t="s">
        <v>180</v>
      </c>
      <c r="F37" s="613">
        <v>17.224</v>
      </c>
      <c r="G37" s="613">
        <v>18.553</v>
      </c>
      <c r="H37" s="613">
        <v>18.181</v>
      </c>
      <c r="I37" s="613">
        <v>18.132</v>
      </c>
      <c r="J37" s="613">
        <v>18.203</v>
      </c>
      <c r="K37" s="613">
        <v>20.931</v>
      </c>
      <c r="L37" s="613">
        <v>21.53</v>
      </c>
      <c r="M37" s="613">
        <v>21.792</v>
      </c>
      <c r="N37" s="613">
        <v>20.643</v>
      </c>
      <c r="O37" s="613">
        <v>17.636</v>
      </c>
      <c r="P37" s="613">
        <v>22.122</v>
      </c>
      <c r="Q37" s="613">
        <v>26.57</v>
      </c>
      <c r="R37" s="613">
        <v>28.451</v>
      </c>
      <c r="S37" s="613">
        <v>26.314</v>
      </c>
      <c r="T37" s="613">
        <v>27.271</v>
      </c>
      <c r="U37" s="613">
        <v>27.217</v>
      </c>
      <c r="V37" s="655">
        <v>30.381</v>
      </c>
      <c r="W37" s="260">
        <f t="shared" si="0"/>
        <v>11.625087261637958</v>
      </c>
    </row>
    <row r="38" spans="1:23" ht="12.75" customHeight="1">
      <c r="A38" s="38"/>
      <c r="B38" s="209">
        <v>31</v>
      </c>
      <c r="C38" s="600"/>
      <c r="D38" s="291" t="s">
        <v>452</v>
      </c>
      <c r="E38" s="598" t="s">
        <v>178</v>
      </c>
      <c r="F38" s="612">
        <v>24.717</v>
      </c>
      <c r="G38" s="612">
        <v>23.863</v>
      </c>
      <c r="H38" s="612">
        <v>23.556</v>
      </c>
      <c r="I38" s="612">
        <v>22.569</v>
      </c>
      <c r="J38" s="612">
        <v>20.302</v>
      </c>
      <c r="K38" s="612">
        <v>22.133</v>
      </c>
      <c r="L38" s="612">
        <v>24.107</v>
      </c>
      <c r="M38" s="612">
        <v>24.988</v>
      </c>
      <c r="N38" s="612">
        <v>26.912</v>
      </c>
      <c r="O38" s="612">
        <v>20.579</v>
      </c>
      <c r="P38" s="612">
        <v>27.572</v>
      </c>
      <c r="Q38" s="612">
        <v>27.343</v>
      </c>
      <c r="R38" s="612">
        <v>25.972</v>
      </c>
      <c r="S38" s="612">
        <v>25.924</v>
      </c>
      <c r="T38" s="612">
        <v>28.788</v>
      </c>
      <c r="U38" s="612">
        <v>26.143</v>
      </c>
      <c r="V38" s="654">
        <v>29.963</v>
      </c>
      <c r="W38" s="656">
        <f t="shared" si="0"/>
        <v>14.611942011245844</v>
      </c>
    </row>
    <row r="39" spans="1:23" ht="12.75" customHeight="1">
      <c r="A39" s="19"/>
      <c r="B39" s="209">
        <v>32</v>
      </c>
      <c r="C39" s="595"/>
      <c r="D39" s="258" t="s">
        <v>138</v>
      </c>
      <c r="E39" s="596" t="s">
        <v>177</v>
      </c>
      <c r="F39" s="613">
        <v>29.686</v>
      </c>
      <c r="G39" s="613">
        <v>28.354</v>
      </c>
      <c r="H39" s="613">
        <v>25.119</v>
      </c>
      <c r="I39" s="613">
        <v>22.282</v>
      </c>
      <c r="J39" s="613">
        <v>23.413</v>
      </c>
      <c r="K39" s="613">
        <v>23.144</v>
      </c>
      <c r="L39" s="613">
        <v>24.37</v>
      </c>
      <c r="M39" s="613">
        <v>25.685</v>
      </c>
      <c r="N39" s="613">
        <v>24.988</v>
      </c>
      <c r="O39" s="613">
        <v>24.267</v>
      </c>
      <c r="P39" s="613">
        <v>25.756</v>
      </c>
      <c r="Q39" s="613">
        <v>26.817</v>
      </c>
      <c r="R39" s="613">
        <v>26.268</v>
      </c>
      <c r="S39" s="613">
        <v>26.214</v>
      </c>
      <c r="T39" s="613">
        <v>28.127</v>
      </c>
      <c r="U39" s="613">
        <v>27.971</v>
      </c>
      <c r="V39" s="655">
        <v>28.202</v>
      </c>
      <c r="W39" s="260">
        <f t="shared" si="0"/>
        <v>0.8258553501841277</v>
      </c>
    </row>
    <row r="40" spans="1:23" ht="12.75" customHeight="1">
      <c r="A40" s="19"/>
      <c r="B40" s="209">
        <v>33</v>
      </c>
      <c r="C40" s="600"/>
      <c r="D40" s="291" t="s">
        <v>137</v>
      </c>
      <c r="E40" s="598" t="s">
        <v>183</v>
      </c>
      <c r="F40" s="612">
        <v>22.492</v>
      </c>
      <c r="G40" s="612">
        <v>22.876</v>
      </c>
      <c r="H40" s="612">
        <v>23.659</v>
      </c>
      <c r="I40" s="612">
        <v>24.839</v>
      </c>
      <c r="J40" s="612">
        <v>25.406</v>
      </c>
      <c r="K40" s="612">
        <v>24.253</v>
      </c>
      <c r="L40" s="612">
        <v>27.639</v>
      </c>
      <c r="M40" s="612">
        <v>27.008</v>
      </c>
      <c r="N40" s="612">
        <v>30.075</v>
      </c>
      <c r="O40" s="612">
        <v>23.848</v>
      </c>
      <c r="P40" s="612">
        <v>22.186</v>
      </c>
      <c r="Q40" s="612">
        <v>22.281</v>
      </c>
      <c r="R40" s="612">
        <v>22.402</v>
      </c>
      <c r="S40" s="612">
        <v>22.522</v>
      </c>
      <c r="T40" s="612">
        <v>24.183</v>
      </c>
      <c r="U40" s="612">
        <v>25.288</v>
      </c>
      <c r="V40" s="654">
        <v>27.503</v>
      </c>
      <c r="W40" s="656">
        <f t="shared" si="0"/>
        <v>8.759095223030684</v>
      </c>
    </row>
    <row r="41" spans="1:23" ht="12.75" customHeight="1">
      <c r="A41" s="19"/>
      <c r="B41" s="209">
        <v>34</v>
      </c>
      <c r="C41" s="595"/>
      <c r="D41" s="258" t="s">
        <v>247</v>
      </c>
      <c r="E41" s="596" t="s">
        <v>177</v>
      </c>
      <c r="F41" s="613">
        <v>41.143</v>
      </c>
      <c r="G41" s="613">
        <v>41.607</v>
      </c>
      <c r="H41" s="613">
        <v>42.202</v>
      </c>
      <c r="I41" s="613">
        <v>38.752</v>
      </c>
      <c r="J41" s="613">
        <v>34.892</v>
      </c>
      <c r="K41" s="613">
        <v>34.218</v>
      </c>
      <c r="L41" s="613">
        <v>31.556</v>
      </c>
      <c r="M41" s="613">
        <v>36.681</v>
      </c>
      <c r="N41" s="613">
        <v>39.054</v>
      </c>
      <c r="O41" s="613">
        <v>36.69</v>
      </c>
      <c r="P41" s="613">
        <v>34.335</v>
      </c>
      <c r="Q41" s="613">
        <v>27.878</v>
      </c>
      <c r="R41" s="613">
        <v>25.332</v>
      </c>
      <c r="S41" s="613">
        <v>26.365</v>
      </c>
      <c r="T41" s="613">
        <v>24.608</v>
      </c>
      <c r="U41" s="613">
        <v>27.074</v>
      </c>
      <c r="V41" s="655">
        <v>27.439</v>
      </c>
      <c r="W41" s="260">
        <f t="shared" si="0"/>
        <v>1.3481569033020548</v>
      </c>
    </row>
    <row r="42" spans="1:23" ht="12.75" customHeight="1">
      <c r="A42" s="19"/>
      <c r="B42" s="209">
        <v>35</v>
      </c>
      <c r="C42" s="600"/>
      <c r="D42" s="291" t="s">
        <v>100</v>
      </c>
      <c r="E42" s="598" t="s">
        <v>177</v>
      </c>
      <c r="F42" s="612">
        <v>17.434</v>
      </c>
      <c r="G42" s="612">
        <v>19.074</v>
      </c>
      <c r="H42" s="612">
        <v>20.212</v>
      </c>
      <c r="I42" s="612">
        <v>18.796</v>
      </c>
      <c r="J42" s="612">
        <v>20.753</v>
      </c>
      <c r="K42" s="612">
        <v>21.145</v>
      </c>
      <c r="L42" s="612">
        <v>23.805</v>
      </c>
      <c r="M42" s="612">
        <v>25.144</v>
      </c>
      <c r="N42" s="612">
        <v>24.344</v>
      </c>
      <c r="O42" s="612">
        <v>25.087</v>
      </c>
      <c r="P42" s="612">
        <v>24.093</v>
      </c>
      <c r="Q42" s="612">
        <v>24.251</v>
      </c>
      <c r="R42" s="612">
        <v>22.902</v>
      </c>
      <c r="S42" s="612">
        <v>25.295</v>
      </c>
      <c r="T42" s="612">
        <v>27.605</v>
      </c>
      <c r="U42" s="612">
        <v>27.299</v>
      </c>
      <c r="V42" s="654">
        <v>27.326</v>
      </c>
      <c r="W42" s="656">
        <f t="shared" si="0"/>
        <v>0.09890472178469167</v>
      </c>
    </row>
    <row r="43" spans="1:23" ht="12.75" customHeight="1">
      <c r="A43" s="19"/>
      <c r="B43" s="209">
        <v>36</v>
      </c>
      <c r="C43" s="595"/>
      <c r="D43" s="258" t="s">
        <v>204</v>
      </c>
      <c r="E43" s="596" t="s">
        <v>183</v>
      </c>
      <c r="F43" s="613">
        <v>19.785</v>
      </c>
      <c r="G43" s="613">
        <v>20.818</v>
      </c>
      <c r="H43" s="613">
        <v>22.374</v>
      </c>
      <c r="I43" s="613">
        <v>22.436</v>
      </c>
      <c r="J43" s="613">
        <v>21.24</v>
      </c>
      <c r="K43" s="613">
        <v>24.048</v>
      </c>
      <c r="L43" s="613">
        <v>24.55</v>
      </c>
      <c r="M43" s="613">
        <v>29.798</v>
      </c>
      <c r="N43" s="613">
        <v>28.667</v>
      </c>
      <c r="O43" s="613">
        <v>22.176</v>
      </c>
      <c r="P43" s="613">
        <v>22.662</v>
      </c>
      <c r="Q43" s="613">
        <v>21.268</v>
      </c>
      <c r="R43" s="613">
        <v>20.515</v>
      </c>
      <c r="S43" s="613">
        <v>23.877</v>
      </c>
      <c r="T43" s="613">
        <v>24.476</v>
      </c>
      <c r="U43" s="613">
        <v>29.303</v>
      </c>
      <c r="V43" s="655">
        <v>27.008</v>
      </c>
      <c r="W43" s="260">
        <f t="shared" si="0"/>
        <v>-7.831962597686243</v>
      </c>
    </row>
    <row r="44" spans="1:23" ht="12.75" customHeight="1">
      <c r="A44" s="19"/>
      <c r="B44" s="209">
        <v>37</v>
      </c>
      <c r="C44" s="600"/>
      <c r="D44" s="291" t="s">
        <v>143</v>
      </c>
      <c r="E44" s="598" t="s">
        <v>183</v>
      </c>
      <c r="F44" s="612">
        <v>21.638</v>
      </c>
      <c r="G44" s="612">
        <v>21.204</v>
      </c>
      <c r="H44" s="612">
        <v>25.538</v>
      </c>
      <c r="I44" s="612">
        <v>25.284</v>
      </c>
      <c r="J44" s="612">
        <v>29.403</v>
      </c>
      <c r="K44" s="612">
        <v>29.634</v>
      </c>
      <c r="L44" s="612">
        <v>28.685</v>
      </c>
      <c r="M44" s="612">
        <v>30.639</v>
      </c>
      <c r="N44" s="612">
        <v>31.527</v>
      </c>
      <c r="O44" s="612">
        <v>34.394</v>
      </c>
      <c r="P44" s="612">
        <v>35.371</v>
      </c>
      <c r="Q44" s="612">
        <v>28.014</v>
      </c>
      <c r="R44" s="612">
        <v>27.399</v>
      </c>
      <c r="S44" s="612">
        <v>27.447</v>
      </c>
      <c r="T44" s="612">
        <v>27.272</v>
      </c>
      <c r="U44" s="612">
        <v>26.137</v>
      </c>
      <c r="V44" s="654">
        <v>26.966</v>
      </c>
      <c r="W44" s="656">
        <f t="shared" si="0"/>
        <v>3.171748861766858</v>
      </c>
    </row>
    <row r="45" spans="1:23" ht="12.75" customHeight="1">
      <c r="A45" s="19"/>
      <c r="B45" s="209">
        <v>38</v>
      </c>
      <c r="C45" s="595"/>
      <c r="D45" s="258" t="s">
        <v>246</v>
      </c>
      <c r="E45" s="596" t="s">
        <v>177</v>
      </c>
      <c r="F45" s="613">
        <v>51.472</v>
      </c>
      <c r="G45" s="613">
        <v>50.842</v>
      </c>
      <c r="H45" s="613">
        <v>50.447</v>
      </c>
      <c r="I45" s="613">
        <v>53.842</v>
      </c>
      <c r="J45" s="613">
        <v>53.819</v>
      </c>
      <c r="K45" s="613">
        <v>55.79</v>
      </c>
      <c r="L45" s="613">
        <v>53.348</v>
      </c>
      <c r="M45" s="613">
        <v>49.779</v>
      </c>
      <c r="N45" s="613">
        <v>45.436</v>
      </c>
      <c r="O45" s="613">
        <v>39.163</v>
      </c>
      <c r="P45" s="613">
        <v>35.697</v>
      </c>
      <c r="Q45" s="613">
        <v>35.198</v>
      </c>
      <c r="R45" s="613">
        <v>33.967</v>
      </c>
      <c r="S45" s="613">
        <v>37.641</v>
      </c>
      <c r="T45" s="613">
        <v>39.537</v>
      </c>
      <c r="U45" s="613">
        <v>35.849</v>
      </c>
      <c r="V45" s="655">
        <v>26.873</v>
      </c>
      <c r="W45" s="260">
        <f t="shared" si="0"/>
        <v>-25.038355323718918</v>
      </c>
    </row>
    <row r="46" spans="1:23" ht="12.75" customHeight="1">
      <c r="A46" s="19"/>
      <c r="B46" s="209">
        <v>39</v>
      </c>
      <c r="C46" s="600"/>
      <c r="D46" s="291" t="s">
        <v>157</v>
      </c>
      <c r="E46" s="598" t="s">
        <v>176</v>
      </c>
      <c r="F46" s="612">
        <v>26.293</v>
      </c>
      <c r="G46" s="612">
        <v>25.974</v>
      </c>
      <c r="H46" s="612">
        <v>27.248</v>
      </c>
      <c r="I46" s="612">
        <v>28.22</v>
      </c>
      <c r="J46" s="612">
        <v>28.883</v>
      </c>
      <c r="K46" s="612">
        <v>30.547</v>
      </c>
      <c r="L46" s="612">
        <v>32.01</v>
      </c>
      <c r="M46" s="612">
        <v>32.042</v>
      </c>
      <c r="N46" s="612">
        <v>29.92</v>
      </c>
      <c r="O46" s="612">
        <v>26.64</v>
      </c>
      <c r="P46" s="612">
        <v>26.212</v>
      </c>
      <c r="Q46" s="612">
        <v>25.457</v>
      </c>
      <c r="R46" s="612">
        <v>24.598</v>
      </c>
      <c r="S46" s="612">
        <v>23.152</v>
      </c>
      <c r="T46" s="612">
        <v>20.18</v>
      </c>
      <c r="U46" s="612">
        <v>25.142</v>
      </c>
      <c r="V46" s="654">
        <v>25.221</v>
      </c>
      <c r="W46" s="656">
        <f t="shared" si="0"/>
        <v>0.31421525733831857</v>
      </c>
    </row>
    <row r="47" spans="1:23" ht="12.75" customHeight="1">
      <c r="A47" s="19"/>
      <c r="B47" s="209">
        <v>40</v>
      </c>
      <c r="C47" s="595"/>
      <c r="D47" s="258" t="s">
        <v>248</v>
      </c>
      <c r="E47" s="596" t="s">
        <v>181</v>
      </c>
      <c r="F47" s="613">
        <v>31.263</v>
      </c>
      <c r="G47" s="613">
        <v>29.775</v>
      </c>
      <c r="H47" s="613">
        <v>31.105</v>
      </c>
      <c r="I47" s="613">
        <v>30.298</v>
      </c>
      <c r="J47" s="613">
        <v>32.008</v>
      </c>
      <c r="K47" s="613">
        <v>34.043</v>
      </c>
      <c r="L47" s="613">
        <v>33.87</v>
      </c>
      <c r="M47" s="613">
        <v>33.299</v>
      </c>
      <c r="N47" s="613">
        <v>32.918</v>
      </c>
      <c r="O47" s="613">
        <v>29.297</v>
      </c>
      <c r="P47" s="613">
        <v>30.582</v>
      </c>
      <c r="Q47" s="613">
        <v>30.002</v>
      </c>
      <c r="R47" s="613">
        <v>29.228</v>
      </c>
      <c r="S47" s="613">
        <v>27.561</v>
      </c>
      <c r="T47" s="613">
        <v>25.875</v>
      </c>
      <c r="U47" s="613">
        <v>24.878</v>
      </c>
      <c r="V47" s="655">
        <v>24.842</v>
      </c>
      <c r="W47" s="260">
        <f t="shared" si="0"/>
        <v>-0.1447061660905291</v>
      </c>
    </row>
    <row r="48" spans="1:23" ht="12.75" customHeight="1">
      <c r="A48" s="19"/>
      <c r="B48" s="209">
        <v>41</v>
      </c>
      <c r="C48" s="599"/>
      <c r="D48" s="624" t="s">
        <v>453</v>
      </c>
      <c r="E48" s="597" t="s">
        <v>187</v>
      </c>
      <c r="F48" s="625">
        <v>12.8</v>
      </c>
      <c r="G48" s="625">
        <v>16.523</v>
      </c>
      <c r="H48" s="625">
        <v>17.581</v>
      </c>
      <c r="I48" s="625">
        <v>17.453</v>
      </c>
      <c r="J48" s="625">
        <v>19.248</v>
      </c>
      <c r="K48" s="625">
        <v>17.362</v>
      </c>
      <c r="L48" s="625">
        <v>19.739</v>
      </c>
      <c r="M48" s="625">
        <v>19.76</v>
      </c>
      <c r="N48" s="625">
        <v>21.55</v>
      </c>
      <c r="O48" s="625">
        <v>20.787</v>
      </c>
      <c r="P48" s="625">
        <v>20.545</v>
      </c>
      <c r="Q48" s="625">
        <v>22.155</v>
      </c>
      <c r="R48" s="625">
        <v>23.207</v>
      </c>
      <c r="S48" s="625">
        <v>23.121</v>
      </c>
      <c r="T48" s="625">
        <v>22.465</v>
      </c>
      <c r="U48" s="625">
        <v>20.637</v>
      </c>
      <c r="V48" s="764">
        <v>24.836</v>
      </c>
      <c r="W48" s="657">
        <f t="shared" si="0"/>
        <v>20.346949653534892</v>
      </c>
    </row>
    <row r="49" spans="1:23" ht="12.75" customHeight="1">
      <c r="A49" s="19"/>
      <c r="B49" s="209">
        <v>42</v>
      </c>
      <c r="C49" s="595"/>
      <c r="D49" s="258" t="s">
        <v>252</v>
      </c>
      <c r="E49" s="596" t="s">
        <v>183</v>
      </c>
      <c r="F49" s="613">
        <v>23.751</v>
      </c>
      <c r="G49" s="613">
        <v>21.521</v>
      </c>
      <c r="H49" s="613">
        <v>24.203</v>
      </c>
      <c r="I49" s="613">
        <v>26.106</v>
      </c>
      <c r="J49" s="613">
        <v>25.212</v>
      </c>
      <c r="K49" s="613">
        <v>22.76</v>
      </c>
      <c r="L49" s="613">
        <v>27.111</v>
      </c>
      <c r="M49" s="613">
        <v>26.744</v>
      </c>
      <c r="N49" s="613">
        <v>26.407</v>
      </c>
      <c r="O49" s="613">
        <v>23.597</v>
      </c>
      <c r="P49" s="613">
        <v>23.935</v>
      </c>
      <c r="Q49" s="613">
        <v>25.297</v>
      </c>
      <c r="R49" s="613">
        <v>24.635</v>
      </c>
      <c r="S49" s="613">
        <v>24.797</v>
      </c>
      <c r="T49" s="613">
        <v>20.805</v>
      </c>
      <c r="U49" s="613">
        <v>24.644</v>
      </c>
      <c r="V49" s="655">
        <v>24.672</v>
      </c>
      <c r="W49" s="260">
        <f t="shared" si="0"/>
        <v>0.11361791916897346</v>
      </c>
    </row>
    <row r="50" spans="1:23" ht="12.75" customHeight="1">
      <c r="A50" s="19"/>
      <c r="B50" s="209">
        <v>43</v>
      </c>
      <c r="C50" s="600"/>
      <c r="D50" s="291" t="s">
        <v>123</v>
      </c>
      <c r="E50" s="598" t="s">
        <v>179</v>
      </c>
      <c r="F50" s="612">
        <v>43.402</v>
      </c>
      <c r="G50" s="612">
        <v>40.85</v>
      </c>
      <c r="H50" s="612">
        <v>38.798</v>
      </c>
      <c r="I50" s="612">
        <v>39.427</v>
      </c>
      <c r="J50" s="612">
        <v>44.956</v>
      </c>
      <c r="K50" s="612">
        <v>45.977</v>
      </c>
      <c r="L50" s="612">
        <v>43.106</v>
      </c>
      <c r="M50" s="612">
        <v>42.643</v>
      </c>
      <c r="N50" s="612">
        <v>40.556</v>
      </c>
      <c r="O50" s="612">
        <v>34.196</v>
      </c>
      <c r="P50" s="612">
        <v>24.728</v>
      </c>
      <c r="Q50" s="612">
        <v>24.388</v>
      </c>
      <c r="R50" s="612">
        <v>26.242</v>
      </c>
      <c r="S50" s="612">
        <v>24.694</v>
      </c>
      <c r="T50" s="612">
        <v>24.099</v>
      </c>
      <c r="U50" s="612">
        <v>27.395</v>
      </c>
      <c r="V50" s="654">
        <v>24.474</v>
      </c>
      <c r="W50" s="656">
        <f t="shared" si="0"/>
        <v>-10.66252965869684</v>
      </c>
    </row>
    <row r="51" spans="1:23" ht="12.75" customHeight="1">
      <c r="A51" s="19"/>
      <c r="B51" s="209">
        <v>44</v>
      </c>
      <c r="C51" s="595"/>
      <c r="D51" s="258" t="s">
        <v>325</v>
      </c>
      <c r="E51" s="596" t="s">
        <v>182</v>
      </c>
      <c r="F51" s="613">
        <v>15.892</v>
      </c>
      <c r="G51" s="613">
        <v>15.782</v>
      </c>
      <c r="H51" s="613">
        <v>15.557</v>
      </c>
      <c r="I51" s="613">
        <v>16.682</v>
      </c>
      <c r="J51" s="613">
        <v>17.93</v>
      </c>
      <c r="K51" s="613">
        <v>19.227</v>
      </c>
      <c r="L51" s="613">
        <v>20.795</v>
      </c>
      <c r="M51" s="613">
        <v>21.801</v>
      </c>
      <c r="N51" s="613">
        <v>21.127</v>
      </c>
      <c r="O51" s="613">
        <v>18.606</v>
      </c>
      <c r="P51" s="613">
        <v>19.548</v>
      </c>
      <c r="Q51" s="613">
        <v>19.467</v>
      </c>
      <c r="R51" s="613">
        <v>19.898</v>
      </c>
      <c r="S51" s="613">
        <v>19.865</v>
      </c>
      <c r="T51" s="613">
        <v>21.078</v>
      </c>
      <c r="U51" s="613">
        <v>22.205</v>
      </c>
      <c r="V51" s="655">
        <v>23.849</v>
      </c>
      <c r="W51" s="260">
        <f t="shared" si="0"/>
        <v>7.4037378968700835</v>
      </c>
    </row>
    <row r="52" spans="1:23" ht="12.75" customHeight="1">
      <c r="A52" s="19"/>
      <c r="B52" s="209">
        <v>45</v>
      </c>
      <c r="C52" s="600"/>
      <c r="D52" s="291" t="s">
        <v>505</v>
      </c>
      <c r="E52" s="598" t="s">
        <v>175</v>
      </c>
      <c r="F52" s="612">
        <v>11.209</v>
      </c>
      <c r="G52" s="612">
        <v>11.031</v>
      </c>
      <c r="H52" s="612">
        <v>11.825</v>
      </c>
      <c r="I52" s="612">
        <v>11.918</v>
      </c>
      <c r="J52" s="612">
        <v>12.29</v>
      </c>
      <c r="K52" s="612">
        <v>12.995</v>
      </c>
      <c r="L52" s="612">
        <v>14.904</v>
      </c>
      <c r="M52" s="612">
        <v>14.165</v>
      </c>
      <c r="N52" s="612">
        <v>14.697</v>
      </c>
      <c r="O52" s="612">
        <v>16.426</v>
      </c>
      <c r="P52" s="612">
        <v>17.381</v>
      </c>
      <c r="Q52" s="612">
        <v>19.222</v>
      </c>
      <c r="R52" s="612">
        <v>21.22</v>
      </c>
      <c r="S52" s="612">
        <v>21.586</v>
      </c>
      <c r="T52" s="612">
        <v>22.998</v>
      </c>
      <c r="U52" s="612">
        <v>23.441</v>
      </c>
      <c r="V52" s="654">
        <v>23.8</v>
      </c>
      <c r="W52" s="656">
        <f t="shared" si="0"/>
        <v>1.5315046286421392</v>
      </c>
    </row>
    <row r="53" spans="1:23" ht="12.75">
      <c r="A53" s="19"/>
      <c r="B53" s="209">
        <v>46</v>
      </c>
      <c r="C53" s="595"/>
      <c r="D53" s="258" t="s">
        <v>134</v>
      </c>
      <c r="E53" s="596" t="s">
        <v>178</v>
      </c>
      <c r="F53" s="613">
        <v>32.66</v>
      </c>
      <c r="G53" s="613">
        <v>28.921</v>
      </c>
      <c r="H53" s="613">
        <v>29.419</v>
      </c>
      <c r="I53" s="613">
        <v>25.051</v>
      </c>
      <c r="J53" s="613">
        <v>24.893</v>
      </c>
      <c r="K53" s="613">
        <v>28.442</v>
      </c>
      <c r="L53" s="613">
        <v>32.763</v>
      </c>
      <c r="M53" s="613">
        <v>34.843</v>
      </c>
      <c r="N53" s="613">
        <v>34.768</v>
      </c>
      <c r="O53" s="613">
        <v>33.943</v>
      </c>
      <c r="P53" s="613">
        <v>33.878</v>
      </c>
      <c r="Q53" s="613">
        <v>31.5</v>
      </c>
      <c r="R53" s="613">
        <v>28.908</v>
      </c>
      <c r="S53" s="613">
        <v>27.355</v>
      </c>
      <c r="T53" s="613">
        <v>26.947</v>
      </c>
      <c r="U53" s="613">
        <v>23.815</v>
      </c>
      <c r="V53" s="655">
        <v>23.092</v>
      </c>
      <c r="W53" s="260">
        <f t="shared" si="0"/>
        <v>-3.035901742599208</v>
      </c>
    </row>
    <row r="54" spans="1:23" ht="12.75" customHeight="1">
      <c r="A54" s="38"/>
      <c r="B54" s="209">
        <v>47</v>
      </c>
      <c r="C54" s="600"/>
      <c r="D54" s="291" t="s">
        <v>141</v>
      </c>
      <c r="E54" s="598" t="s">
        <v>172</v>
      </c>
      <c r="F54" s="612"/>
      <c r="G54" s="612">
        <v>9.11</v>
      </c>
      <c r="H54" s="612">
        <v>9.246</v>
      </c>
      <c r="I54" s="612">
        <v>10.72</v>
      </c>
      <c r="J54" s="612">
        <v>11.986</v>
      </c>
      <c r="K54" s="612">
        <v>12.54</v>
      </c>
      <c r="L54" s="612">
        <v>15.391</v>
      </c>
      <c r="M54" s="612">
        <v>15.805</v>
      </c>
      <c r="N54" s="612">
        <v>16.499</v>
      </c>
      <c r="O54" s="612">
        <v>13.322</v>
      </c>
      <c r="P54" s="612">
        <v>14.591</v>
      </c>
      <c r="Q54" s="612">
        <v>16.198</v>
      </c>
      <c r="R54" s="612">
        <v>16.907</v>
      </c>
      <c r="S54" s="612">
        <v>17.184</v>
      </c>
      <c r="T54" s="612">
        <v>18.012</v>
      </c>
      <c r="U54" s="612">
        <v>19.931</v>
      </c>
      <c r="V54" s="654">
        <v>21.171</v>
      </c>
      <c r="W54" s="656">
        <f t="shared" si="0"/>
        <v>6.221464050975854</v>
      </c>
    </row>
    <row r="55" spans="1:23" ht="12.75">
      <c r="A55" s="19"/>
      <c r="B55" s="209">
        <v>48</v>
      </c>
      <c r="C55" s="595"/>
      <c r="D55" s="258" t="s">
        <v>124</v>
      </c>
      <c r="E55" s="596" t="s">
        <v>183</v>
      </c>
      <c r="F55" s="613">
        <v>33.117</v>
      </c>
      <c r="G55" s="613">
        <v>33.625</v>
      </c>
      <c r="H55" s="613">
        <v>32.462</v>
      </c>
      <c r="I55" s="613">
        <v>35.305</v>
      </c>
      <c r="J55" s="613">
        <v>39.368</v>
      </c>
      <c r="K55" s="613">
        <v>47.869</v>
      </c>
      <c r="L55" s="613">
        <v>50.871</v>
      </c>
      <c r="M55" s="613">
        <v>49.24</v>
      </c>
      <c r="N55" s="613">
        <v>49.522</v>
      </c>
      <c r="O55" s="613">
        <v>38.079</v>
      </c>
      <c r="P55" s="613">
        <v>34.209</v>
      </c>
      <c r="Q55" s="613">
        <v>41.229</v>
      </c>
      <c r="R55" s="613">
        <v>35.21</v>
      </c>
      <c r="S55" s="613">
        <v>24.496</v>
      </c>
      <c r="T55" s="613">
        <v>23.281</v>
      </c>
      <c r="U55" s="613">
        <v>18.484</v>
      </c>
      <c r="V55" s="655">
        <v>20.982</v>
      </c>
      <c r="W55" s="260">
        <f t="shared" si="0"/>
        <v>13.514390824496857</v>
      </c>
    </row>
    <row r="56" spans="1:23" ht="12.75" customHeight="1">
      <c r="A56" s="19"/>
      <c r="B56" s="209">
        <v>49</v>
      </c>
      <c r="C56" s="600"/>
      <c r="D56" s="291" t="s">
        <v>319</v>
      </c>
      <c r="E56" s="598" t="s">
        <v>179</v>
      </c>
      <c r="F56" s="612">
        <v>18.634</v>
      </c>
      <c r="G56" s="612">
        <v>17.065</v>
      </c>
      <c r="H56" s="612">
        <v>17.347</v>
      </c>
      <c r="I56" s="612">
        <v>16.712</v>
      </c>
      <c r="J56" s="612">
        <v>16.367</v>
      </c>
      <c r="K56" s="612">
        <v>17.147</v>
      </c>
      <c r="L56" s="612">
        <v>19.058</v>
      </c>
      <c r="M56" s="612">
        <v>19.585</v>
      </c>
      <c r="N56" s="612">
        <v>21.278</v>
      </c>
      <c r="O56" s="612">
        <v>17.384</v>
      </c>
      <c r="P56" s="612">
        <v>19.489</v>
      </c>
      <c r="Q56" s="612">
        <v>18.085</v>
      </c>
      <c r="R56" s="612">
        <v>16.87</v>
      </c>
      <c r="S56" s="612">
        <v>17.785</v>
      </c>
      <c r="T56" s="612">
        <v>19.474</v>
      </c>
      <c r="U56" s="612">
        <v>20.328</v>
      </c>
      <c r="V56" s="654">
        <v>20.964</v>
      </c>
      <c r="W56" s="656">
        <f t="shared" si="0"/>
        <v>3.1286894923258473</v>
      </c>
    </row>
    <row r="57" spans="1:23" ht="12.75" customHeight="1">
      <c r="A57" s="19"/>
      <c r="B57" s="209">
        <v>50</v>
      </c>
      <c r="C57" s="623"/>
      <c r="D57" s="593" t="s">
        <v>139</v>
      </c>
      <c r="E57" s="594" t="s">
        <v>181</v>
      </c>
      <c r="F57" s="626">
        <v>22.645</v>
      </c>
      <c r="G57" s="626">
        <v>20.554</v>
      </c>
      <c r="H57" s="626">
        <v>19.407</v>
      </c>
      <c r="I57" s="626">
        <v>21.688</v>
      </c>
      <c r="J57" s="626">
        <v>19.883</v>
      </c>
      <c r="K57" s="626">
        <v>21.646</v>
      </c>
      <c r="L57" s="626">
        <v>23.066</v>
      </c>
      <c r="M57" s="626">
        <v>22.027</v>
      </c>
      <c r="N57" s="626">
        <v>22.498</v>
      </c>
      <c r="O57" s="626">
        <v>23.148</v>
      </c>
      <c r="P57" s="626">
        <v>26.522</v>
      </c>
      <c r="Q57" s="626">
        <v>25.235</v>
      </c>
      <c r="R57" s="626">
        <v>21.004</v>
      </c>
      <c r="S57" s="626">
        <v>22.264</v>
      </c>
      <c r="T57" s="626">
        <v>21.469</v>
      </c>
      <c r="U57" s="626">
        <v>22.29</v>
      </c>
      <c r="V57" s="765">
        <v>20.835</v>
      </c>
      <c r="W57" s="601">
        <f t="shared" si="0"/>
        <v>-6.5275908479138565</v>
      </c>
    </row>
    <row r="58" spans="1:22" ht="12.75">
      <c r="A58" s="19"/>
      <c r="D58" s="966" t="s">
        <v>245</v>
      </c>
      <c r="E58" s="966"/>
      <c r="F58" s="966"/>
      <c r="G58" s="966"/>
      <c r="H58" s="966"/>
      <c r="I58" s="966"/>
      <c r="J58" s="966"/>
      <c r="K58" s="966"/>
      <c r="L58" s="966"/>
      <c r="M58" s="966"/>
      <c r="N58" s="966"/>
      <c r="O58" s="966"/>
      <c r="P58" s="966"/>
      <c r="Q58" s="966"/>
      <c r="R58" s="966"/>
      <c r="S58" s="966"/>
      <c r="T58" s="966"/>
      <c r="U58" s="966"/>
      <c r="V58" s="685"/>
    </row>
    <row r="59" ht="12.75" customHeight="1">
      <c r="A59" s="19"/>
    </row>
    <row r="60" spans="1:22" ht="12.75" customHeight="1">
      <c r="A60" s="19"/>
      <c r="D60" s="966"/>
      <c r="E60" s="966"/>
      <c r="F60" s="966"/>
      <c r="G60" s="966"/>
      <c r="H60" s="966"/>
      <c r="I60" s="966"/>
      <c r="J60" s="966"/>
      <c r="K60" s="966"/>
      <c r="L60" s="966"/>
      <c r="M60" s="966"/>
      <c r="N60" s="966"/>
      <c r="O60" s="966"/>
      <c r="P60" s="966"/>
      <c r="Q60" s="966"/>
      <c r="R60" s="966"/>
      <c r="S60" s="966"/>
      <c r="T60" s="966"/>
      <c r="U60" s="966"/>
      <c r="V60" s="685"/>
    </row>
    <row r="61" ht="12.75">
      <c r="A61" s="19"/>
    </row>
    <row r="62" ht="12.75">
      <c r="A62" s="19"/>
    </row>
    <row r="63" ht="12.75">
      <c r="A63" s="19"/>
    </row>
    <row r="64" ht="12.75">
      <c r="A64" s="19"/>
    </row>
    <row r="65" ht="12.75">
      <c r="A65" s="19"/>
    </row>
    <row r="66" ht="12.75">
      <c r="A66" s="19"/>
    </row>
    <row r="67" spans="1:22" ht="12.75">
      <c r="A67" s="19"/>
      <c r="U67" s="5"/>
      <c r="V67" s="5"/>
    </row>
    <row r="68" ht="12.75">
      <c r="A68" s="19"/>
    </row>
    <row r="77" ht="15" customHeight="1"/>
  </sheetData>
  <sheetProtection/>
  <mergeCells count="8">
    <mergeCell ref="D60:U60"/>
    <mergeCell ref="B5:B7"/>
    <mergeCell ref="D5:E6"/>
    <mergeCell ref="D1:E1"/>
    <mergeCell ref="D58:U58"/>
    <mergeCell ref="C4:V4"/>
    <mergeCell ref="C3:V3"/>
    <mergeCell ref="C2:V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W22" sqref="W22"/>
    </sheetView>
  </sheetViews>
  <sheetFormatPr defaultColWidth="9.140625" defaultRowHeight="12.75"/>
  <cols>
    <col min="1" max="1" width="2.7109375" style="0" customWidth="1"/>
    <col min="2" max="2" width="4.00390625" style="0" customWidth="1"/>
    <col min="3" max="4" width="9.7109375" style="0" customWidth="1"/>
    <col min="5" max="5" width="7.28125" style="0" customWidth="1"/>
    <col min="6" max="7" width="9.7109375" style="0" customWidth="1"/>
    <col min="8" max="8" width="7.28125" style="0" customWidth="1"/>
    <col min="9" max="9" width="11.421875" style="0" customWidth="1"/>
    <col min="10" max="10" width="10.28125" style="0" customWidth="1"/>
    <col min="11" max="11" width="7.28125" style="0" customWidth="1"/>
    <col min="12" max="12" width="4.00390625" style="0" customWidth="1"/>
    <col min="13" max="13" width="9.140625" style="0" customWidth="1"/>
  </cols>
  <sheetData>
    <row r="1" ht="15.75">
      <c r="L1" s="32" t="s">
        <v>404</v>
      </c>
    </row>
    <row r="2" spans="2:12" ht="30" customHeight="1">
      <c r="B2" s="999" t="s">
        <v>259</v>
      </c>
      <c r="C2" s="999"/>
      <c r="D2" s="999"/>
      <c r="E2" s="999"/>
      <c r="F2" s="999"/>
      <c r="G2" s="999"/>
      <c r="H2" s="999"/>
      <c r="I2" s="999"/>
      <c r="J2" s="999"/>
      <c r="K2" s="999"/>
      <c r="L2" s="999"/>
    </row>
    <row r="3" spans="2:12" ht="15" customHeight="1">
      <c r="B3" s="927" t="s">
        <v>17</v>
      </c>
      <c r="C3" s="927"/>
      <c r="D3" s="927"/>
      <c r="E3" s="927"/>
      <c r="F3" s="927"/>
      <c r="G3" s="927"/>
      <c r="H3" s="927"/>
      <c r="I3" s="927"/>
      <c r="J3" s="927"/>
      <c r="K3" s="927"/>
      <c r="L3" s="927"/>
    </row>
    <row r="4" spans="2:12" ht="15" customHeight="1">
      <c r="B4" s="1000">
        <v>2016</v>
      </c>
      <c r="C4" s="1000"/>
      <c r="D4" s="1000"/>
      <c r="E4" s="1000"/>
      <c r="F4" s="1000"/>
      <c r="G4" s="1000"/>
      <c r="H4" s="1000"/>
      <c r="I4" s="1000"/>
      <c r="J4" s="1000"/>
      <c r="K4" s="1000"/>
      <c r="L4" s="1000"/>
    </row>
    <row r="5" spans="3:11" ht="24.75" customHeight="1">
      <c r="C5" s="1002" t="s">
        <v>270</v>
      </c>
      <c r="D5" s="1003"/>
      <c r="E5" s="1004"/>
      <c r="F5" s="1002" t="s">
        <v>271</v>
      </c>
      <c r="G5" s="1003"/>
      <c r="H5" s="1004"/>
      <c r="I5" s="1002" t="s">
        <v>269</v>
      </c>
      <c r="J5" s="1003"/>
      <c r="K5" s="1004"/>
    </row>
    <row r="6" spans="3:11" ht="35.25" customHeight="1">
      <c r="C6" s="129" t="s">
        <v>13</v>
      </c>
      <c r="D6" s="138" t="s">
        <v>262</v>
      </c>
      <c r="E6" s="136" t="s">
        <v>264</v>
      </c>
      <c r="F6" s="137" t="s">
        <v>16</v>
      </c>
      <c r="G6" s="138" t="s">
        <v>263</v>
      </c>
      <c r="H6" s="136" t="s">
        <v>264</v>
      </c>
      <c r="I6" s="137" t="s">
        <v>14</v>
      </c>
      <c r="J6" s="138" t="s">
        <v>15</v>
      </c>
      <c r="K6" s="136" t="s">
        <v>264</v>
      </c>
    </row>
    <row r="7" spans="3:11" ht="19.5" customHeight="1">
      <c r="C7" s="1005" t="s">
        <v>148</v>
      </c>
      <c r="D7" s="1006"/>
      <c r="E7" s="135" t="s">
        <v>260</v>
      </c>
      <c r="F7" s="1005" t="s">
        <v>148</v>
      </c>
      <c r="G7" s="1006"/>
      <c r="H7" s="135" t="s">
        <v>260</v>
      </c>
      <c r="I7" s="1005" t="s">
        <v>148</v>
      </c>
      <c r="J7" s="1006"/>
      <c r="K7" s="135" t="s">
        <v>260</v>
      </c>
    </row>
    <row r="8" spans="1:12" ht="12.75" customHeight="1">
      <c r="A8" s="19"/>
      <c r="B8" s="298" t="s">
        <v>178</v>
      </c>
      <c r="C8" s="299">
        <v>138.139</v>
      </c>
      <c r="D8" s="300">
        <v>48.866</v>
      </c>
      <c r="E8" s="301">
        <f>D8/C8</f>
        <v>0.35374514076401303</v>
      </c>
      <c r="F8" s="299">
        <v>114.886</v>
      </c>
      <c r="G8" s="300">
        <v>41.585</v>
      </c>
      <c r="H8" s="301">
        <f>G8/F8</f>
        <v>0.361967515624184</v>
      </c>
      <c r="I8" s="299">
        <v>252.994</v>
      </c>
      <c r="J8" s="300">
        <v>90.422</v>
      </c>
      <c r="K8" s="301">
        <f>J8/I8</f>
        <v>0.35740768555776026</v>
      </c>
      <c r="L8" s="298" t="s">
        <v>178</v>
      </c>
    </row>
    <row r="9" spans="1:12" ht="12.75" customHeight="1">
      <c r="A9" s="19"/>
      <c r="B9" s="293" t="s">
        <v>161</v>
      </c>
      <c r="C9" s="294">
        <v>13.114</v>
      </c>
      <c r="D9" s="295">
        <v>1.132</v>
      </c>
      <c r="E9" s="296">
        <f aca="true" t="shared" si="0" ref="E9:E30">D9/C9</f>
        <v>0.08631996339789537</v>
      </c>
      <c r="F9" s="294">
        <v>15.57</v>
      </c>
      <c r="G9" s="295">
        <v>4.939</v>
      </c>
      <c r="H9" s="296">
        <f aca="true" t="shared" si="1" ref="H9:H30">G9/F9</f>
        <v>0.3172125883108542</v>
      </c>
      <c r="I9" s="294">
        <v>28.685</v>
      </c>
      <c r="J9" s="295">
        <v>6.07</v>
      </c>
      <c r="K9" s="296">
        <f aca="true" t="shared" si="2" ref="K9:K30">J9/I9</f>
        <v>0.21160885480216143</v>
      </c>
      <c r="L9" s="293" t="s">
        <v>161</v>
      </c>
    </row>
    <row r="10" spans="1:12" ht="12.75" customHeight="1">
      <c r="A10" s="19"/>
      <c r="B10" s="302" t="s">
        <v>174</v>
      </c>
      <c r="C10" s="292">
        <v>49.765</v>
      </c>
      <c r="D10" s="303">
        <v>31.482</v>
      </c>
      <c r="E10" s="304">
        <f t="shared" si="0"/>
        <v>0.6326132824274088</v>
      </c>
      <c r="F10" s="292">
        <v>35.152</v>
      </c>
      <c r="G10" s="303">
        <v>28.08</v>
      </c>
      <c r="H10" s="304">
        <f t="shared" si="1"/>
        <v>0.7988165680473372</v>
      </c>
      <c r="I10" s="292">
        <v>82.721</v>
      </c>
      <c r="J10" s="303">
        <v>57.365</v>
      </c>
      <c r="K10" s="304">
        <f t="shared" si="2"/>
        <v>0.6934756591433856</v>
      </c>
      <c r="L10" s="302" t="s">
        <v>174</v>
      </c>
    </row>
    <row r="11" spans="1:12" ht="12.75" customHeight="1">
      <c r="A11" s="19"/>
      <c r="B11" s="293" t="s">
        <v>179</v>
      </c>
      <c r="C11" s="294">
        <v>175.224</v>
      </c>
      <c r="D11" s="295">
        <v>71.485</v>
      </c>
      <c r="E11" s="296">
        <f t="shared" si="0"/>
        <v>0.40796352097886135</v>
      </c>
      <c r="F11" s="294">
        <v>121.912</v>
      </c>
      <c r="G11" s="295">
        <v>54.302</v>
      </c>
      <c r="H11" s="296">
        <f t="shared" si="1"/>
        <v>0.4454196469584618</v>
      </c>
      <c r="I11" s="294">
        <v>293.636</v>
      </c>
      <c r="J11" s="295">
        <v>122.287</v>
      </c>
      <c r="K11" s="296">
        <f t="shared" si="2"/>
        <v>0.41645779127899846</v>
      </c>
      <c r="L11" s="293" t="s">
        <v>179</v>
      </c>
    </row>
    <row r="12" spans="1:12" ht="12.75" customHeight="1">
      <c r="A12" s="19"/>
      <c r="B12" s="302" t="s">
        <v>164</v>
      </c>
      <c r="C12" s="292">
        <v>9.601</v>
      </c>
      <c r="D12" s="303">
        <v>6.069</v>
      </c>
      <c r="E12" s="304">
        <f t="shared" si="0"/>
        <v>0.6321216539943755</v>
      </c>
      <c r="F12" s="292">
        <v>20.625</v>
      </c>
      <c r="G12" s="303">
        <v>12.938</v>
      </c>
      <c r="H12" s="304">
        <f t="shared" si="1"/>
        <v>0.6272969696969697</v>
      </c>
      <c r="I12" s="292">
        <v>30.196</v>
      </c>
      <c r="J12" s="303">
        <v>18.977</v>
      </c>
      <c r="K12" s="304">
        <f t="shared" si="2"/>
        <v>0.6284607232746059</v>
      </c>
      <c r="L12" s="302" t="s">
        <v>164</v>
      </c>
    </row>
    <row r="13" spans="1:12" ht="12.75" customHeight="1">
      <c r="A13" s="19"/>
      <c r="B13" s="293" t="s">
        <v>182</v>
      </c>
      <c r="C13" s="294">
        <v>32.715</v>
      </c>
      <c r="D13" s="295">
        <v>21.827</v>
      </c>
      <c r="E13" s="296">
        <f t="shared" si="0"/>
        <v>0.667186305975852</v>
      </c>
      <c r="F13" s="294">
        <v>16.813</v>
      </c>
      <c r="G13" s="295">
        <v>16.164</v>
      </c>
      <c r="H13" s="296">
        <f t="shared" si="1"/>
        <v>0.9613989175043123</v>
      </c>
      <c r="I13" s="294">
        <v>48.928</v>
      </c>
      <c r="J13" s="295">
        <v>37.392</v>
      </c>
      <c r="K13" s="296">
        <f t="shared" si="2"/>
        <v>0.7642249836494441</v>
      </c>
      <c r="L13" s="293" t="s">
        <v>182</v>
      </c>
    </row>
    <row r="14" spans="1:12" ht="12.75" customHeight="1">
      <c r="A14" s="19"/>
      <c r="B14" s="302" t="s">
        <v>175</v>
      </c>
      <c r="C14" s="292">
        <v>83.341</v>
      </c>
      <c r="D14" s="303">
        <v>36.731</v>
      </c>
      <c r="E14" s="304">
        <f t="shared" si="0"/>
        <v>0.44073145270635106</v>
      </c>
      <c r="F14" s="292">
        <v>73.774</v>
      </c>
      <c r="G14" s="303">
        <v>42.473</v>
      </c>
      <c r="H14" s="304">
        <f t="shared" si="1"/>
        <v>0.5757177325344972</v>
      </c>
      <c r="I14" s="292">
        <v>134.656</v>
      </c>
      <c r="J14" s="303">
        <v>56.745</v>
      </c>
      <c r="K14" s="304">
        <f t="shared" si="2"/>
        <v>0.4214071411596958</v>
      </c>
      <c r="L14" s="302" t="s">
        <v>175</v>
      </c>
    </row>
    <row r="15" spans="1:12" ht="12.75" customHeight="1">
      <c r="A15" s="19"/>
      <c r="B15" s="293" t="s">
        <v>180</v>
      </c>
      <c r="C15" s="294">
        <v>253.71</v>
      </c>
      <c r="D15" s="295">
        <v>93.907</v>
      </c>
      <c r="E15" s="296">
        <f t="shared" si="0"/>
        <v>0.3701351937251192</v>
      </c>
      <c r="F15" s="294">
        <v>197.338</v>
      </c>
      <c r="G15" s="295">
        <v>63.786</v>
      </c>
      <c r="H15" s="296">
        <f t="shared" si="1"/>
        <v>0.32323222085964187</v>
      </c>
      <c r="I15" s="294">
        <v>424.361</v>
      </c>
      <c r="J15" s="295">
        <v>131.006</v>
      </c>
      <c r="K15" s="296">
        <f t="shared" si="2"/>
        <v>0.30871357169956715</v>
      </c>
      <c r="L15" s="293" t="s">
        <v>180</v>
      </c>
    </row>
    <row r="16" spans="1:12" ht="12" customHeight="1">
      <c r="A16" s="19"/>
      <c r="B16" s="302" t="s">
        <v>181</v>
      </c>
      <c r="C16" s="292">
        <v>194.381</v>
      </c>
      <c r="D16" s="303">
        <v>60.439</v>
      </c>
      <c r="E16" s="304">
        <f t="shared" si="0"/>
        <v>0.31093059506844806</v>
      </c>
      <c r="F16" s="292">
        <v>95.073</v>
      </c>
      <c r="G16" s="303">
        <v>51.26</v>
      </c>
      <c r="H16" s="304">
        <f t="shared" si="1"/>
        <v>0.5391646419067454</v>
      </c>
      <c r="I16" s="292">
        <v>283.907</v>
      </c>
      <c r="J16" s="303">
        <v>106.155</v>
      </c>
      <c r="K16" s="304">
        <f t="shared" si="2"/>
        <v>0.3739076528581543</v>
      </c>
      <c r="L16" s="302" t="s">
        <v>181</v>
      </c>
    </row>
    <row r="17" spans="1:12" ht="12" customHeight="1">
      <c r="A17" s="19"/>
      <c r="B17" s="297" t="s">
        <v>202</v>
      </c>
      <c r="C17" s="294">
        <v>12.072</v>
      </c>
      <c r="D17" s="295">
        <v>2.616</v>
      </c>
      <c r="E17" s="296">
        <f t="shared" si="0"/>
        <v>0.21669980119284296</v>
      </c>
      <c r="F17" s="294">
        <v>4.39</v>
      </c>
      <c r="G17" s="295">
        <v>2.117</v>
      </c>
      <c r="H17" s="296">
        <f t="shared" si="1"/>
        <v>0.4822323462414579</v>
      </c>
      <c r="I17" s="294">
        <v>15.845</v>
      </c>
      <c r="J17" s="295">
        <v>4.114</v>
      </c>
      <c r="K17" s="296">
        <f t="shared" si="2"/>
        <v>0.2596402650678447</v>
      </c>
      <c r="L17" s="297" t="s">
        <v>202</v>
      </c>
    </row>
    <row r="18" spans="1:12" ht="12.75" customHeight="1">
      <c r="A18" s="19"/>
      <c r="B18" s="302" t="s">
        <v>183</v>
      </c>
      <c r="C18" s="303">
        <v>290.182</v>
      </c>
      <c r="D18" s="303">
        <v>126.707</v>
      </c>
      <c r="E18" s="304">
        <f t="shared" si="0"/>
        <v>0.4366466562364309</v>
      </c>
      <c r="F18" s="292">
        <v>163.302</v>
      </c>
      <c r="G18" s="303">
        <v>124.098</v>
      </c>
      <c r="H18" s="304">
        <f t="shared" si="1"/>
        <v>0.7599294558547967</v>
      </c>
      <c r="I18" s="292">
        <v>365.766</v>
      </c>
      <c r="J18" s="303">
        <v>163.086</v>
      </c>
      <c r="K18" s="304">
        <f t="shared" si="2"/>
        <v>0.44587523170551663</v>
      </c>
      <c r="L18" s="302" t="s">
        <v>183</v>
      </c>
    </row>
    <row r="19" spans="1:12" ht="12.75" customHeight="1">
      <c r="A19" s="19"/>
      <c r="B19" s="293" t="s">
        <v>375</v>
      </c>
      <c r="C19" s="294">
        <v>6.566</v>
      </c>
      <c r="D19" s="295">
        <v>4.557</v>
      </c>
      <c r="E19" s="296">
        <f t="shared" si="0"/>
        <v>0.6940298507462688</v>
      </c>
      <c r="F19" s="294">
        <v>3.693</v>
      </c>
      <c r="G19" s="295">
        <v>0.46</v>
      </c>
      <c r="H19" s="296">
        <f t="shared" si="1"/>
        <v>0.12455997833739507</v>
      </c>
      <c r="I19" s="294">
        <v>10.258</v>
      </c>
      <c r="J19" s="295">
        <v>5.017</v>
      </c>
      <c r="K19" s="296">
        <f t="shared" si="2"/>
        <v>0.4890816923376877</v>
      </c>
      <c r="L19" s="293" t="s">
        <v>162</v>
      </c>
    </row>
    <row r="20" spans="1:12" ht="12.75" customHeight="1">
      <c r="A20" s="19"/>
      <c r="B20" s="302" t="s">
        <v>166</v>
      </c>
      <c r="C20" s="292">
        <v>6.225</v>
      </c>
      <c r="D20" s="303">
        <v>4.652</v>
      </c>
      <c r="E20" s="304">
        <f t="shared" si="0"/>
        <v>0.7473092369477913</v>
      </c>
      <c r="F20" s="292">
        <v>53.202</v>
      </c>
      <c r="G20" s="303">
        <v>40.551</v>
      </c>
      <c r="H20" s="304">
        <f t="shared" si="1"/>
        <v>0.7622081876621181</v>
      </c>
      <c r="I20" s="292">
        <v>59.349</v>
      </c>
      <c r="J20" s="303">
        <v>45.123</v>
      </c>
      <c r="K20" s="304">
        <f t="shared" si="2"/>
        <v>0.7602992468280847</v>
      </c>
      <c r="L20" s="302" t="s">
        <v>166</v>
      </c>
    </row>
    <row r="21" spans="1:12" ht="12.75" customHeight="1">
      <c r="A21" s="19"/>
      <c r="B21" s="293" t="s">
        <v>167</v>
      </c>
      <c r="C21" s="294">
        <v>16.717</v>
      </c>
      <c r="D21" s="295">
        <v>4.744</v>
      </c>
      <c r="E21" s="296">
        <f t="shared" si="0"/>
        <v>0.28378297541424896</v>
      </c>
      <c r="F21" s="294">
        <v>29.52</v>
      </c>
      <c r="G21" s="295">
        <v>15.665</v>
      </c>
      <c r="H21" s="296">
        <f t="shared" si="1"/>
        <v>0.5306571815718157</v>
      </c>
      <c r="I21" s="294">
        <v>46.236</v>
      </c>
      <c r="J21" s="295">
        <v>20.41</v>
      </c>
      <c r="K21" s="296">
        <f t="shared" si="2"/>
        <v>0.4414309196297258</v>
      </c>
      <c r="L21" s="293" t="s">
        <v>167</v>
      </c>
    </row>
    <row r="22" spans="1:12" ht="12.75" customHeight="1">
      <c r="A22" s="19"/>
      <c r="B22" s="302" t="s">
        <v>168</v>
      </c>
      <c r="C22" s="292">
        <v>3.366</v>
      </c>
      <c r="D22" s="303">
        <v>2.121</v>
      </c>
      <c r="E22" s="304">
        <f t="shared" si="0"/>
        <v>0.6301247771836007</v>
      </c>
      <c r="F22" s="292">
        <v>0.416</v>
      </c>
      <c r="G22" s="303">
        <v>0.199</v>
      </c>
      <c r="H22" s="304">
        <f t="shared" si="1"/>
        <v>0.47836538461538464</v>
      </c>
      <c r="I22" s="292">
        <v>3.78</v>
      </c>
      <c r="J22" s="303">
        <v>2.318</v>
      </c>
      <c r="K22" s="304">
        <f t="shared" si="2"/>
        <v>0.6132275132275132</v>
      </c>
      <c r="L22" s="302" t="s">
        <v>168</v>
      </c>
    </row>
    <row r="23" spans="1:12" ht="12.75" customHeight="1">
      <c r="A23" s="19"/>
      <c r="B23" s="293" t="s">
        <v>176</v>
      </c>
      <c r="C23" s="294">
        <v>398.284</v>
      </c>
      <c r="D23" s="295">
        <v>90.331</v>
      </c>
      <c r="E23" s="296">
        <f t="shared" si="0"/>
        <v>0.22680047403360418</v>
      </c>
      <c r="F23" s="294">
        <v>190.489</v>
      </c>
      <c r="G23" s="295">
        <v>57.424</v>
      </c>
      <c r="H23" s="296">
        <f t="shared" si="1"/>
        <v>0.30145572710235236</v>
      </c>
      <c r="I23" s="294">
        <v>588.729</v>
      </c>
      <c r="J23" s="295">
        <v>147.712</v>
      </c>
      <c r="K23" s="296">
        <f t="shared" si="2"/>
        <v>0.2508998197812575</v>
      </c>
      <c r="L23" s="293" t="s">
        <v>176</v>
      </c>
    </row>
    <row r="24" spans="1:12" ht="12.75" customHeight="1">
      <c r="A24" s="19"/>
      <c r="B24" s="302" t="s">
        <v>169</v>
      </c>
      <c r="C24" s="292">
        <v>40.793</v>
      </c>
      <c r="D24" s="303">
        <v>16.736</v>
      </c>
      <c r="E24" s="304">
        <f t="shared" si="0"/>
        <v>0.410266467286054</v>
      </c>
      <c r="F24" s="292">
        <v>31.746</v>
      </c>
      <c r="G24" s="303">
        <v>22.432</v>
      </c>
      <c r="H24" s="304">
        <f t="shared" si="1"/>
        <v>0.7066087066087066</v>
      </c>
      <c r="I24" s="292">
        <v>71.583</v>
      </c>
      <c r="J24" s="303">
        <v>38.209</v>
      </c>
      <c r="K24" s="304">
        <f t="shared" si="2"/>
        <v>0.5337719849684982</v>
      </c>
      <c r="L24" s="302" t="s">
        <v>169</v>
      </c>
    </row>
    <row r="25" spans="1:12" ht="12.75" customHeight="1">
      <c r="A25" s="19"/>
      <c r="B25" s="293" t="s">
        <v>186</v>
      </c>
      <c r="C25" s="294">
        <v>51.313</v>
      </c>
      <c r="D25" s="295">
        <v>19.962</v>
      </c>
      <c r="E25" s="296">
        <f t="shared" si="0"/>
        <v>0.38902422388088786</v>
      </c>
      <c r="F25" s="294">
        <v>35.747</v>
      </c>
      <c r="G25" s="295">
        <v>17.955</v>
      </c>
      <c r="H25" s="296">
        <f t="shared" si="1"/>
        <v>0.5022799116009735</v>
      </c>
      <c r="I25" s="294">
        <v>80.711</v>
      </c>
      <c r="J25" s="295">
        <v>31.566</v>
      </c>
      <c r="K25" s="296">
        <f t="shared" si="2"/>
        <v>0.39109910668929887</v>
      </c>
      <c r="L25" s="293" t="s">
        <v>186</v>
      </c>
    </row>
    <row r="26" spans="1:12" ht="12.75" customHeight="1">
      <c r="A26" s="19"/>
      <c r="B26" s="302" t="s">
        <v>376</v>
      </c>
      <c r="C26" s="292">
        <v>20.166</v>
      </c>
      <c r="D26" s="303">
        <v>1.317</v>
      </c>
      <c r="E26" s="304">
        <f t="shared" si="0"/>
        <v>0.06530794406426658</v>
      </c>
      <c r="F26" s="292">
        <v>25.311</v>
      </c>
      <c r="G26" s="303">
        <v>7.222</v>
      </c>
      <c r="H26" s="304">
        <f t="shared" si="1"/>
        <v>0.28533048872031924</v>
      </c>
      <c r="I26" s="292">
        <v>45.478</v>
      </c>
      <c r="J26" s="303">
        <v>8.541</v>
      </c>
      <c r="K26" s="304">
        <f t="shared" si="2"/>
        <v>0.18780509257223274</v>
      </c>
      <c r="L26" s="302" t="s">
        <v>170</v>
      </c>
    </row>
    <row r="27" spans="1:12" ht="12.75" customHeight="1">
      <c r="A27" s="19"/>
      <c r="B27" s="293" t="s">
        <v>172</v>
      </c>
      <c r="C27" s="294">
        <v>14.074</v>
      </c>
      <c r="D27" s="295">
        <v>3.369</v>
      </c>
      <c r="E27" s="296">
        <f t="shared" si="0"/>
        <v>0.23937757567145093</v>
      </c>
      <c r="F27" s="294">
        <v>7.097</v>
      </c>
      <c r="G27" s="295">
        <v>2.546</v>
      </c>
      <c r="H27" s="296">
        <f t="shared" si="1"/>
        <v>0.3587431309003804</v>
      </c>
      <c r="I27" s="294">
        <v>21.171</v>
      </c>
      <c r="J27" s="295">
        <v>5.915</v>
      </c>
      <c r="K27" s="296">
        <f t="shared" si="2"/>
        <v>0.27939162061310285</v>
      </c>
      <c r="L27" s="293" t="s">
        <v>172</v>
      </c>
    </row>
    <row r="28" spans="1:12" ht="12.75" customHeight="1">
      <c r="A28" s="19"/>
      <c r="B28" s="302" t="s">
        <v>187</v>
      </c>
      <c r="C28" s="292">
        <v>50.128</v>
      </c>
      <c r="D28" s="303">
        <v>31.043</v>
      </c>
      <c r="E28" s="304">
        <f t="shared" si="0"/>
        <v>0.6192746568783913</v>
      </c>
      <c r="F28" s="292">
        <v>52.522</v>
      </c>
      <c r="G28" s="303">
        <v>44.73</v>
      </c>
      <c r="H28" s="304">
        <f t="shared" si="1"/>
        <v>0.8516431209778759</v>
      </c>
      <c r="I28" s="292">
        <v>98.758</v>
      </c>
      <c r="J28" s="303">
        <v>71.879</v>
      </c>
      <c r="K28" s="304">
        <f t="shared" si="2"/>
        <v>0.7278296441807247</v>
      </c>
      <c r="L28" s="302" t="s">
        <v>187</v>
      </c>
    </row>
    <row r="29" spans="1:12" ht="12.75" customHeight="1">
      <c r="A29" s="19"/>
      <c r="B29" s="293" t="s">
        <v>188</v>
      </c>
      <c r="C29" s="294">
        <v>93.137</v>
      </c>
      <c r="D29" s="295">
        <v>66.925</v>
      </c>
      <c r="E29" s="296">
        <f t="shared" si="0"/>
        <v>0.7185651244940249</v>
      </c>
      <c r="F29" s="294">
        <v>78.188</v>
      </c>
      <c r="G29" s="295">
        <v>66.75</v>
      </c>
      <c r="H29" s="296">
        <f t="shared" si="1"/>
        <v>0.8537115669923773</v>
      </c>
      <c r="I29" s="294">
        <v>166.658</v>
      </c>
      <c r="J29" s="295">
        <v>129.008</v>
      </c>
      <c r="K29" s="296">
        <f t="shared" si="2"/>
        <v>0.7740882525891347</v>
      </c>
      <c r="L29" s="293" t="s">
        <v>188</v>
      </c>
    </row>
    <row r="30" spans="1:12" ht="12.75" customHeight="1">
      <c r="A30" s="19"/>
      <c r="B30" s="305" t="s">
        <v>177</v>
      </c>
      <c r="C30" s="306">
        <v>295.314</v>
      </c>
      <c r="D30" s="307">
        <v>173.629</v>
      </c>
      <c r="E30" s="308">
        <f t="shared" si="0"/>
        <v>0.5879470665122547</v>
      </c>
      <c r="F30" s="306">
        <v>177.457</v>
      </c>
      <c r="G30" s="307">
        <v>132.082</v>
      </c>
      <c r="H30" s="308">
        <f t="shared" si="1"/>
        <v>0.7443042539882901</v>
      </c>
      <c r="I30" s="306">
        <v>436.796</v>
      </c>
      <c r="J30" s="307">
        <v>269.737</v>
      </c>
      <c r="K30" s="308">
        <f t="shared" si="2"/>
        <v>0.6175354169909981</v>
      </c>
      <c r="L30" s="305" t="s">
        <v>177</v>
      </c>
    </row>
    <row r="31" ht="12.75" customHeight="1">
      <c r="A31" s="19"/>
    </row>
    <row r="32" spans="1:11" ht="12.75" customHeight="1">
      <c r="A32" s="19"/>
      <c r="B32" s="230"/>
      <c r="C32" s="230"/>
      <c r="D32" s="230"/>
      <c r="E32" s="230"/>
      <c r="F32" s="230"/>
      <c r="G32" s="230"/>
      <c r="H32" s="230"/>
      <c r="I32" s="230"/>
      <c r="J32" s="230"/>
      <c r="K32" s="230"/>
    </row>
    <row r="33" spans="1:2" ht="15" customHeight="1">
      <c r="A33" s="19"/>
      <c r="B33" s="4" t="s">
        <v>317</v>
      </c>
    </row>
    <row r="34" spans="1:12" ht="15" customHeight="1">
      <c r="A34" s="19"/>
      <c r="B34" s="1001" t="s">
        <v>281</v>
      </c>
      <c r="C34" s="1001"/>
      <c r="D34" s="1001"/>
      <c r="E34" s="1001"/>
      <c r="F34" s="1001"/>
      <c r="G34" s="1001"/>
      <c r="H34" s="1001"/>
      <c r="I34" s="1001"/>
      <c r="J34" s="1001"/>
      <c r="K34" s="1001"/>
      <c r="L34" s="1001"/>
    </row>
    <row r="35" spans="1:12" ht="12.75" customHeight="1">
      <c r="A35" s="19"/>
      <c r="B35" s="998" t="s">
        <v>381</v>
      </c>
      <c r="C35" s="998"/>
      <c r="D35" s="998"/>
      <c r="E35" s="998"/>
      <c r="F35" s="998"/>
      <c r="G35" s="998"/>
      <c r="H35" s="998"/>
      <c r="I35" s="998"/>
      <c r="J35" s="998"/>
      <c r="K35" s="998"/>
      <c r="L35" s="998"/>
    </row>
    <row r="36" spans="1:12" ht="23.25" customHeight="1">
      <c r="A36" s="19"/>
      <c r="B36" s="998" t="s">
        <v>282</v>
      </c>
      <c r="C36" s="998"/>
      <c r="D36" s="998"/>
      <c r="E36" s="998"/>
      <c r="F36" s="998"/>
      <c r="G36" s="998"/>
      <c r="H36" s="998"/>
      <c r="I36" s="998"/>
      <c r="J36" s="998"/>
      <c r="K36" s="998"/>
      <c r="L36" s="998"/>
    </row>
    <row r="37" spans="1:12" ht="23.25" customHeight="1">
      <c r="A37" s="19"/>
      <c r="B37" s="959" t="s">
        <v>377</v>
      </c>
      <c r="C37" s="959"/>
      <c r="D37" s="959"/>
      <c r="E37" s="959"/>
      <c r="F37" s="959"/>
      <c r="G37" s="959"/>
      <c r="H37" s="959"/>
      <c r="I37" s="959"/>
      <c r="J37" s="959"/>
      <c r="K37" s="959"/>
      <c r="L37" s="959"/>
    </row>
    <row r="38" ht="12.75">
      <c r="A38" s="19"/>
    </row>
  </sheetData>
  <sheetProtection/>
  <mergeCells count="13">
    <mergeCell ref="C7:D7"/>
    <mergeCell ref="F7:G7"/>
    <mergeCell ref="I7:J7"/>
    <mergeCell ref="B37:L37"/>
    <mergeCell ref="B35:L35"/>
    <mergeCell ref="B36:L36"/>
    <mergeCell ref="B2:L2"/>
    <mergeCell ref="B3:L3"/>
    <mergeCell ref="B4:L4"/>
    <mergeCell ref="B34:L34"/>
    <mergeCell ref="C5:E5"/>
    <mergeCell ref="F5:H5"/>
    <mergeCell ref="I5:K5"/>
  </mergeCells>
  <printOptions/>
  <pageMargins left="0.6692913385826772"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P15" sqref="P15"/>
    </sheetView>
  </sheetViews>
  <sheetFormatPr defaultColWidth="9.140625" defaultRowHeight="12.75"/>
  <cols>
    <col min="1" max="1" width="2.140625" style="460" customWidth="1"/>
    <col min="2" max="2" width="3.7109375" style="3" customWidth="1"/>
    <col min="3" max="3" width="1.7109375" style="0" customWidth="1"/>
    <col min="4" max="4" width="16.7109375" style="177" customWidth="1"/>
    <col min="5" max="5" width="0.9921875" style="0" customWidth="1"/>
    <col min="6" max="6" width="16.7109375" style="177" customWidth="1"/>
    <col min="7" max="7" width="17.7109375" style="0" customWidth="1"/>
    <col min="9" max="16384" width="9.140625" style="460" customWidth="1"/>
  </cols>
  <sheetData>
    <row r="1" spans="1:7" ht="15.75">
      <c r="A1"/>
      <c r="G1" s="32" t="s">
        <v>405</v>
      </c>
    </row>
    <row r="2" spans="1:7" ht="15" customHeight="1">
      <c r="A2"/>
      <c r="B2" s="1008" t="s">
        <v>300</v>
      </c>
      <c r="C2" s="1008"/>
      <c r="D2" s="1008"/>
      <c r="E2" s="1008"/>
      <c r="F2" s="1008"/>
      <c r="G2" s="1008"/>
    </row>
    <row r="3" spans="1:7" ht="15" customHeight="1">
      <c r="A3"/>
      <c r="B3" s="223"/>
      <c r="C3" s="694"/>
      <c r="D3" s="178"/>
      <c r="E3" s="694"/>
      <c r="F3" s="178"/>
      <c r="G3" s="694"/>
    </row>
    <row r="4" spans="1:7" ht="15" customHeight="1">
      <c r="A4"/>
      <c r="B4" s="1000">
        <v>2016</v>
      </c>
      <c r="C4" s="1000"/>
      <c r="D4" s="1000"/>
      <c r="E4" s="1000"/>
      <c r="F4" s="1000"/>
      <c r="G4" s="1000"/>
    </row>
    <row r="5" spans="1:7" ht="24" customHeight="1">
      <c r="A5"/>
      <c r="B5" s="224" t="s">
        <v>261</v>
      </c>
      <c r="C5" s="1009" t="s">
        <v>265</v>
      </c>
      <c r="D5" s="1010"/>
      <c r="E5" s="1011" t="s">
        <v>266</v>
      </c>
      <c r="F5" s="1010"/>
      <c r="G5" s="461" t="s">
        <v>299</v>
      </c>
    </row>
    <row r="6" spans="1:7" ht="8.25" customHeight="1">
      <c r="A6"/>
      <c r="B6" s="224"/>
      <c r="C6" s="462"/>
      <c r="D6" s="463"/>
      <c r="E6" s="464"/>
      <c r="F6" s="463"/>
      <c r="G6" s="465"/>
    </row>
    <row r="7" spans="1:7" ht="12.75" customHeight="1">
      <c r="A7"/>
      <c r="B7" s="213">
        <v>1</v>
      </c>
      <c r="C7" s="466"/>
      <c r="D7" s="281" t="s">
        <v>286</v>
      </c>
      <c r="E7" s="467"/>
      <c r="F7" s="281" t="s">
        <v>286</v>
      </c>
      <c r="G7" s="468">
        <v>96.767867</v>
      </c>
    </row>
    <row r="8" spans="1:7" ht="12.75" customHeight="1">
      <c r="A8"/>
      <c r="B8" s="213">
        <v>2</v>
      </c>
      <c r="C8" s="469"/>
      <c r="D8" s="283" t="s">
        <v>285</v>
      </c>
      <c r="E8" s="470"/>
      <c r="F8" s="283" t="s">
        <v>285</v>
      </c>
      <c r="G8" s="471">
        <v>62.584101</v>
      </c>
    </row>
    <row r="9" spans="1:7" ht="12.75" customHeight="1">
      <c r="A9"/>
      <c r="B9" s="213">
        <v>3</v>
      </c>
      <c r="C9" s="466"/>
      <c r="D9" s="281" t="s">
        <v>287</v>
      </c>
      <c r="E9" s="467"/>
      <c r="F9" s="281" t="s">
        <v>287</v>
      </c>
      <c r="G9" s="468">
        <v>45.051747</v>
      </c>
    </row>
    <row r="10" spans="1:7" ht="12.75" customHeight="1">
      <c r="A10"/>
      <c r="B10" s="213">
        <v>4</v>
      </c>
      <c r="C10" s="469"/>
      <c r="D10" s="283" t="s">
        <v>288</v>
      </c>
      <c r="E10" s="470"/>
      <c r="F10" s="283" t="s">
        <v>285</v>
      </c>
      <c r="G10" s="471">
        <v>43.953518</v>
      </c>
    </row>
    <row r="11" spans="1:7" ht="12.75" customHeight="1">
      <c r="A11"/>
      <c r="B11" s="213">
        <v>5</v>
      </c>
      <c r="C11" s="466"/>
      <c r="D11" s="281" t="s">
        <v>285</v>
      </c>
      <c r="E11" s="467"/>
      <c r="F11" s="281" t="s">
        <v>288</v>
      </c>
      <c r="G11" s="468">
        <v>35.788299</v>
      </c>
    </row>
    <row r="12" spans="1:7" ht="12.75" customHeight="1">
      <c r="A12"/>
      <c r="B12" s="213">
        <v>6</v>
      </c>
      <c r="C12" s="469"/>
      <c r="D12" s="283" t="s">
        <v>290</v>
      </c>
      <c r="E12" s="470"/>
      <c r="F12" s="283" t="s">
        <v>290</v>
      </c>
      <c r="G12" s="471">
        <v>28.649512</v>
      </c>
    </row>
    <row r="13" spans="1:7" ht="12.75" customHeight="1">
      <c r="A13"/>
      <c r="B13" s="213">
        <v>7</v>
      </c>
      <c r="C13" s="466"/>
      <c r="D13" s="281" t="s">
        <v>289</v>
      </c>
      <c r="E13" s="467"/>
      <c r="F13" s="281" t="s">
        <v>285</v>
      </c>
      <c r="G13" s="468">
        <v>21.613478963</v>
      </c>
    </row>
    <row r="14" spans="1:7" ht="12.75" customHeight="1">
      <c r="A14"/>
      <c r="B14" s="213">
        <v>8</v>
      </c>
      <c r="C14" s="472"/>
      <c r="D14" s="283" t="s">
        <v>285</v>
      </c>
      <c r="E14" s="473"/>
      <c r="F14" s="283" t="s">
        <v>289</v>
      </c>
      <c r="G14" s="474">
        <v>17.666415669</v>
      </c>
    </row>
    <row r="15" spans="1:7" ht="12.75" customHeight="1">
      <c r="A15"/>
      <c r="B15" s="213">
        <v>9</v>
      </c>
      <c r="C15" s="466"/>
      <c r="D15" s="281" t="s">
        <v>292</v>
      </c>
      <c r="E15" s="467"/>
      <c r="F15" s="281" t="s">
        <v>292</v>
      </c>
      <c r="G15" s="468">
        <v>17.661462</v>
      </c>
    </row>
    <row r="16" spans="1:7" ht="12.75" customHeight="1">
      <c r="A16"/>
      <c r="B16" s="213">
        <v>10</v>
      </c>
      <c r="C16" s="472"/>
      <c r="D16" s="283" t="s">
        <v>292</v>
      </c>
      <c r="E16" s="473"/>
      <c r="F16" s="283" t="s">
        <v>291</v>
      </c>
      <c r="G16" s="474">
        <v>15.746394</v>
      </c>
    </row>
    <row r="17" spans="1:7" ht="12.75" customHeight="1">
      <c r="A17"/>
      <c r="B17" s="213">
        <v>11</v>
      </c>
      <c r="C17" s="466"/>
      <c r="D17" s="281" t="s">
        <v>294</v>
      </c>
      <c r="E17" s="467"/>
      <c r="F17" s="281" t="s">
        <v>285</v>
      </c>
      <c r="G17" s="468">
        <v>15.518156</v>
      </c>
    </row>
    <row r="18" spans="1:7" ht="12.75" customHeight="1">
      <c r="A18"/>
      <c r="B18" s="213">
        <v>12</v>
      </c>
      <c r="C18" s="472"/>
      <c r="D18" s="283" t="s">
        <v>296</v>
      </c>
      <c r="E18" s="473"/>
      <c r="F18" s="283" t="s">
        <v>291</v>
      </c>
      <c r="G18" s="474">
        <v>15.254906</v>
      </c>
    </row>
    <row r="19" spans="1:7" ht="12.75" customHeight="1">
      <c r="A19"/>
      <c r="B19" s="213">
        <v>13</v>
      </c>
      <c r="C19" s="466"/>
      <c r="D19" s="281" t="s">
        <v>289</v>
      </c>
      <c r="E19" s="467"/>
      <c r="F19" s="281" t="s">
        <v>289</v>
      </c>
      <c r="G19" s="468">
        <v>14.138266841</v>
      </c>
    </row>
    <row r="20" spans="1:7" ht="12.75" customHeight="1">
      <c r="A20"/>
      <c r="B20" s="213">
        <v>14</v>
      </c>
      <c r="C20" s="472"/>
      <c r="D20" s="283" t="s">
        <v>293</v>
      </c>
      <c r="E20" s="473"/>
      <c r="F20" s="283" t="s">
        <v>293</v>
      </c>
      <c r="G20" s="474">
        <v>13.623271</v>
      </c>
    </row>
    <row r="21" spans="1:7" ht="12.75" customHeight="1">
      <c r="A21"/>
      <c r="B21" s="213">
        <v>15</v>
      </c>
      <c r="C21" s="466"/>
      <c r="D21" s="281" t="s">
        <v>293</v>
      </c>
      <c r="E21" s="467"/>
      <c r="F21" s="281" t="s">
        <v>292</v>
      </c>
      <c r="G21" s="468">
        <v>12.473557</v>
      </c>
    </row>
    <row r="22" spans="1:7" ht="12.75" customHeight="1">
      <c r="A22"/>
      <c r="B22" s="213">
        <v>16</v>
      </c>
      <c r="C22" s="472"/>
      <c r="D22" s="283" t="s">
        <v>285</v>
      </c>
      <c r="E22" s="473"/>
      <c r="F22" s="283" t="s">
        <v>294</v>
      </c>
      <c r="G22" s="474">
        <v>12.424551</v>
      </c>
    </row>
    <row r="23" spans="1:7" ht="12.75" customHeight="1">
      <c r="A23"/>
      <c r="B23" s="213">
        <v>17</v>
      </c>
      <c r="C23" s="466"/>
      <c r="D23" s="281" t="s">
        <v>286</v>
      </c>
      <c r="E23" s="467"/>
      <c r="F23" s="281" t="s">
        <v>287</v>
      </c>
      <c r="G23" s="468">
        <v>12.204371</v>
      </c>
    </row>
    <row r="24" spans="1:7" ht="12.75" customHeight="1">
      <c r="A24"/>
      <c r="B24" s="213">
        <v>18</v>
      </c>
      <c r="C24" s="472"/>
      <c r="D24" s="283" t="s">
        <v>285</v>
      </c>
      <c r="E24" s="473"/>
      <c r="F24" s="283" t="s">
        <v>291</v>
      </c>
      <c r="G24" s="474">
        <v>11.913483</v>
      </c>
    </row>
    <row r="25" spans="1:7" ht="12.75" customHeight="1">
      <c r="A25"/>
      <c r="B25" s="213">
        <v>19</v>
      </c>
      <c r="C25" s="466"/>
      <c r="D25" s="281" t="s">
        <v>285</v>
      </c>
      <c r="E25" s="467"/>
      <c r="F25" s="281" t="s">
        <v>297</v>
      </c>
      <c r="G25" s="468">
        <v>11.659223</v>
      </c>
    </row>
    <row r="26" spans="1:7" ht="12.75" customHeight="1">
      <c r="A26"/>
      <c r="B26" s="213">
        <v>20</v>
      </c>
      <c r="C26" s="472"/>
      <c r="D26" s="283" t="s">
        <v>292</v>
      </c>
      <c r="E26" s="473"/>
      <c r="F26" s="283" t="s">
        <v>285</v>
      </c>
      <c r="G26" s="474">
        <v>11.625933</v>
      </c>
    </row>
    <row r="27" spans="1:7" ht="12.75" customHeight="1">
      <c r="A27"/>
      <c r="B27" s="213">
        <v>21</v>
      </c>
      <c r="C27" s="466"/>
      <c r="D27" s="281" t="s">
        <v>291</v>
      </c>
      <c r="E27" s="467"/>
      <c r="F27" s="281" t="s">
        <v>292</v>
      </c>
      <c r="G27" s="468">
        <v>11.58152</v>
      </c>
    </row>
    <row r="28" spans="1:7" ht="12.75" customHeight="1">
      <c r="A28"/>
      <c r="B28" s="211">
        <v>22</v>
      </c>
      <c r="C28" s="472"/>
      <c r="D28" s="283" t="s">
        <v>288</v>
      </c>
      <c r="E28" s="473"/>
      <c r="F28" s="283" t="s">
        <v>289</v>
      </c>
      <c r="G28" s="474">
        <v>11.549397999</v>
      </c>
    </row>
    <row r="29" spans="1:7" ht="12.75" customHeight="1">
      <c r="A29"/>
      <c r="B29" s="213">
        <v>23</v>
      </c>
      <c r="C29" s="466"/>
      <c r="D29" s="281" t="s">
        <v>287</v>
      </c>
      <c r="E29" s="467"/>
      <c r="F29" s="281" t="s">
        <v>286</v>
      </c>
      <c r="G29" s="468">
        <v>10.457724</v>
      </c>
    </row>
    <row r="30" spans="1:7" ht="12.75" customHeight="1">
      <c r="A30"/>
      <c r="B30" s="213">
        <v>24</v>
      </c>
      <c r="C30" s="472"/>
      <c r="D30" s="283" t="s">
        <v>295</v>
      </c>
      <c r="E30" s="473"/>
      <c r="F30" s="283" t="s">
        <v>288</v>
      </c>
      <c r="G30" s="474">
        <v>9.991723</v>
      </c>
    </row>
    <row r="31" spans="1:7" ht="12.75" customHeight="1">
      <c r="A31"/>
      <c r="B31" s="213">
        <v>25</v>
      </c>
      <c r="C31" s="466"/>
      <c r="D31" s="281" t="s">
        <v>292</v>
      </c>
      <c r="E31" s="467"/>
      <c r="F31" s="281" t="s">
        <v>296</v>
      </c>
      <c r="G31" s="468">
        <v>9.632857</v>
      </c>
    </row>
    <row r="32" spans="1:7" ht="12.75" customHeight="1">
      <c r="A32"/>
      <c r="B32" s="213">
        <v>26</v>
      </c>
      <c r="C32" s="472"/>
      <c r="D32" s="283" t="s">
        <v>297</v>
      </c>
      <c r="E32" s="473"/>
      <c r="F32" s="283" t="s">
        <v>285</v>
      </c>
      <c r="G32" s="474">
        <v>9.147638</v>
      </c>
    </row>
    <row r="33" spans="1:7" ht="12.75" customHeight="1">
      <c r="A33"/>
      <c r="B33" s="213">
        <v>27</v>
      </c>
      <c r="C33" s="466"/>
      <c r="D33" s="281" t="s">
        <v>288</v>
      </c>
      <c r="E33" s="467"/>
      <c r="F33" s="281" t="s">
        <v>287</v>
      </c>
      <c r="G33" s="468">
        <v>9.063311</v>
      </c>
    </row>
    <row r="34" spans="1:7" ht="12.75" customHeight="1">
      <c r="A34"/>
      <c r="B34" s="213">
        <v>28</v>
      </c>
      <c r="C34" s="472"/>
      <c r="D34" s="283" t="s">
        <v>287</v>
      </c>
      <c r="E34" s="473"/>
      <c r="F34" s="283" t="s">
        <v>285</v>
      </c>
      <c r="G34" s="474">
        <v>8.515543</v>
      </c>
    </row>
    <row r="35" spans="1:7" ht="12.75" customHeight="1">
      <c r="A35"/>
      <c r="B35" s="213">
        <v>29</v>
      </c>
      <c r="C35" s="466"/>
      <c r="D35" s="281" t="s">
        <v>291</v>
      </c>
      <c r="E35" s="467"/>
      <c r="F35" s="281" t="s">
        <v>293</v>
      </c>
      <c r="G35" s="468">
        <v>7.759344</v>
      </c>
    </row>
    <row r="36" spans="1:7" ht="12.75" customHeight="1">
      <c r="A36"/>
      <c r="B36" s="213">
        <v>30</v>
      </c>
      <c r="C36" s="472"/>
      <c r="D36" s="283" t="s">
        <v>288</v>
      </c>
      <c r="E36" s="473"/>
      <c r="F36" s="283" t="s">
        <v>292</v>
      </c>
      <c r="G36" s="474">
        <v>7.59113</v>
      </c>
    </row>
    <row r="37" spans="1:7" ht="12.75" customHeight="1">
      <c r="A37"/>
      <c r="B37" s="213">
        <v>31</v>
      </c>
      <c r="C37" s="466"/>
      <c r="D37" s="281" t="s">
        <v>291</v>
      </c>
      <c r="E37" s="467"/>
      <c r="F37" s="281" t="s">
        <v>285</v>
      </c>
      <c r="G37" s="468">
        <v>7.551024</v>
      </c>
    </row>
    <row r="38" spans="1:7" ht="12.75" customHeight="1">
      <c r="A38"/>
      <c r="B38" s="213">
        <v>32</v>
      </c>
      <c r="C38" s="472"/>
      <c r="D38" s="283" t="s">
        <v>290</v>
      </c>
      <c r="E38" s="473"/>
      <c r="F38" s="283" t="s">
        <v>286</v>
      </c>
      <c r="G38" s="474">
        <v>7.522932</v>
      </c>
    </row>
    <row r="39" spans="1:7" ht="12.75" customHeight="1">
      <c r="A39"/>
      <c r="B39" s="213">
        <v>33</v>
      </c>
      <c r="C39" s="466"/>
      <c r="D39" s="281" t="s">
        <v>292</v>
      </c>
      <c r="E39" s="467"/>
      <c r="F39" s="281" t="s">
        <v>293</v>
      </c>
      <c r="G39" s="468">
        <v>7.471675</v>
      </c>
    </row>
    <row r="40" spans="1:7" ht="12.75" customHeight="1">
      <c r="A40"/>
      <c r="B40" s="213">
        <v>34</v>
      </c>
      <c r="C40" s="472"/>
      <c r="D40" s="283" t="s">
        <v>285</v>
      </c>
      <c r="E40" s="473"/>
      <c r="F40" s="283" t="s">
        <v>287</v>
      </c>
      <c r="G40" s="474">
        <v>7.364623</v>
      </c>
    </row>
    <row r="41" spans="1:7" ht="12.75" customHeight="1">
      <c r="A41"/>
      <c r="B41" s="213">
        <v>35</v>
      </c>
      <c r="C41" s="466"/>
      <c r="D41" s="281" t="s">
        <v>296</v>
      </c>
      <c r="E41" s="467"/>
      <c r="F41" s="281" t="s">
        <v>288</v>
      </c>
      <c r="G41" s="468">
        <v>7.358098</v>
      </c>
    </row>
    <row r="42" spans="1:7" ht="12.75" customHeight="1">
      <c r="A42"/>
      <c r="B42" s="213">
        <v>36</v>
      </c>
      <c r="C42" s="472"/>
      <c r="D42" s="283" t="s">
        <v>288</v>
      </c>
      <c r="E42" s="473"/>
      <c r="F42" s="283" t="s">
        <v>291</v>
      </c>
      <c r="G42" s="474">
        <v>7.176316</v>
      </c>
    </row>
    <row r="43" spans="1:7" ht="12.75" customHeight="1">
      <c r="A43"/>
      <c r="B43" s="213">
        <v>37</v>
      </c>
      <c r="C43" s="466"/>
      <c r="D43" s="281" t="s">
        <v>298</v>
      </c>
      <c r="E43" s="467"/>
      <c r="F43" s="281" t="s">
        <v>298</v>
      </c>
      <c r="G43" s="468">
        <v>7.108251</v>
      </c>
    </row>
    <row r="44" spans="1:7" ht="12.75" customHeight="1">
      <c r="A44"/>
      <c r="B44" s="213">
        <v>38</v>
      </c>
      <c r="C44" s="472"/>
      <c r="D44" s="283" t="s">
        <v>289</v>
      </c>
      <c r="E44" s="473"/>
      <c r="F44" s="283" t="s">
        <v>288</v>
      </c>
      <c r="G44" s="474">
        <v>7.055480466</v>
      </c>
    </row>
    <row r="45" spans="1:7" ht="12.75" customHeight="1">
      <c r="A45"/>
      <c r="B45" s="213">
        <v>39</v>
      </c>
      <c r="C45" s="466"/>
      <c r="D45" s="281" t="s">
        <v>292</v>
      </c>
      <c r="E45" s="467"/>
      <c r="F45" s="281" t="s">
        <v>288</v>
      </c>
      <c r="G45" s="468">
        <v>6.90438</v>
      </c>
    </row>
    <row r="46" spans="1:7" ht="12.75" customHeight="1">
      <c r="A46"/>
      <c r="B46" s="213">
        <v>40</v>
      </c>
      <c r="C46" s="472"/>
      <c r="D46" s="283" t="s">
        <v>291</v>
      </c>
      <c r="E46" s="473"/>
      <c r="F46" s="283" t="s">
        <v>296</v>
      </c>
      <c r="G46" s="474">
        <v>6.823866</v>
      </c>
    </row>
    <row r="47" spans="1:7" ht="12.75" customHeight="1">
      <c r="A47"/>
      <c r="B47" s="213">
        <v>41</v>
      </c>
      <c r="C47" s="466"/>
      <c r="D47" s="281" t="s">
        <v>296</v>
      </c>
      <c r="E47" s="467"/>
      <c r="F47" s="281" t="s">
        <v>292</v>
      </c>
      <c r="G47" s="468">
        <v>6.636441</v>
      </c>
    </row>
    <row r="48" spans="1:7" ht="12.75" customHeight="1">
      <c r="A48"/>
      <c r="B48" s="213">
        <v>42</v>
      </c>
      <c r="C48" s="472"/>
      <c r="D48" s="283" t="s">
        <v>289</v>
      </c>
      <c r="E48" s="473"/>
      <c r="F48" s="283" t="s">
        <v>287</v>
      </c>
      <c r="G48" s="474">
        <v>6.342528953</v>
      </c>
    </row>
    <row r="49" spans="1:7" ht="12.75" customHeight="1">
      <c r="A49"/>
      <c r="B49" s="213">
        <v>43</v>
      </c>
      <c r="C49" s="466"/>
      <c r="D49" s="281" t="s">
        <v>293</v>
      </c>
      <c r="E49" s="467"/>
      <c r="F49" s="281" t="s">
        <v>291</v>
      </c>
      <c r="G49" s="468">
        <v>6.310399</v>
      </c>
    </row>
    <row r="50" spans="1:7" ht="12.75" customHeight="1">
      <c r="A50"/>
      <c r="B50" s="213">
        <v>44</v>
      </c>
      <c r="C50" s="472"/>
      <c r="D50" s="283" t="s">
        <v>287</v>
      </c>
      <c r="E50" s="473"/>
      <c r="F50" s="283" t="s">
        <v>289</v>
      </c>
      <c r="G50" s="474">
        <v>6.226657624</v>
      </c>
    </row>
    <row r="51" spans="1:7" ht="12.75" customHeight="1">
      <c r="A51"/>
      <c r="B51" s="213">
        <v>45</v>
      </c>
      <c r="C51" s="466"/>
      <c r="D51" s="281" t="s">
        <v>296</v>
      </c>
      <c r="E51" s="467"/>
      <c r="F51" s="281" t="s">
        <v>296</v>
      </c>
      <c r="G51" s="468">
        <v>6.204973</v>
      </c>
    </row>
    <row r="52" spans="1:7" ht="12.75" customHeight="1">
      <c r="A52"/>
      <c r="B52" s="213">
        <v>46</v>
      </c>
      <c r="C52" s="472"/>
      <c r="D52" s="283" t="s">
        <v>296</v>
      </c>
      <c r="E52" s="473"/>
      <c r="F52" s="283" t="s">
        <v>285</v>
      </c>
      <c r="G52" s="474">
        <v>6.151556</v>
      </c>
    </row>
    <row r="53" spans="1:7" ht="12.75" customHeight="1">
      <c r="A53"/>
      <c r="B53" s="213">
        <v>47</v>
      </c>
      <c r="C53" s="466"/>
      <c r="D53" s="281" t="s">
        <v>287</v>
      </c>
      <c r="E53" s="467"/>
      <c r="F53" s="281" t="s">
        <v>288</v>
      </c>
      <c r="G53" s="468">
        <v>6.074851</v>
      </c>
    </row>
    <row r="54" spans="1:7" ht="12.75" customHeight="1">
      <c r="A54"/>
      <c r="B54" s="213">
        <v>48</v>
      </c>
      <c r="C54" s="472"/>
      <c r="D54" s="283" t="s">
        <v>287</v>
      </c>
      <c r="E54" s="473"/>
      <c r="F54" s="283" t="s">
        <v>294</v>
      </c>
      <c r="G54" s="474">
        <v>5.981202</v>
      </c>
    </row>
    <row r="55" spans="1:7" ht="12.75" customHeight="1">
      <c r="A55"/>
      <c r="B55" s="213">
        <v>49</v>
      </c>
      <c r="C55" s="466"/>
      <c r="D55" s="281" t="s">
        <v>288</v>
      </c>
      <c r="E55" s="467"/>
      <c r="F55" s="281" t="s">
        <v>296</v>
      </c>
      <c r="G55" s="468">
        <v>5.677511</v>
      </c>
    </row>
    <row r="56" spans="1:7" ht="12.75" customHeight="1">
      <c r="A56"/>
      <c r="B56" s="213">
        <v>50</v>
      </c>
      <c r="C56" s="472"/>
      <c r="D56" s="283" t="s">
        <v>286</v>
      </c>
      <c r="E56" s="473"/>
      <c r="F56" s="283" t="s">
        <v>290</v>
      </c>
      <c r="G56" s="474">
        <v>5.575067</v>
      </c>
    </row>
    <row r="57" spans="1:7" ht="12.75" customHeight="1">
      <c r="A57"/>
      <c r="B57" s="213">
        <v>51</v>
      </c>
      <c r="C57" s="466"/>
      <c r="D57" s="281" t="s">
        <v>298</v>
      </c>
      <c r="E57" s="467"/>
      <c r="F57" s="281" t="s">
        <v>287</v>
      </c>
      <c r="G57" s="468">
        <v>5.52435</v>
      </c>
    </row>
    <row r="58" spans="1:7" ht="12.75" customHeight="1">
      <c r="A58"/>
      <c r="B58" s="213">
        <v>52</v>
      </c>
      <c r="C58" s="472"/>
      <c r="D58" s="283" t="s">
        <v>295</v>
      </c>
      <c r="E58" s="473"/>
      <c r="F58" s="283" t="s">
        <v>292</v>
      </c>
      <c r="G58" s="474">
        <v>5.518854</v>
      </c>
    </row>
    <row r="59" spans="1:7" ht="12.75" customHeight="1">
      <c r="A59"/>
      <c r="B59" s="213">
        <v>53</v>
      </c>
      <c r="C59" s="475"/>
      <c r="D59" s="282" t="s">
        <v>292</v>
      </c>
      <c r="E59" s="476"/>
      <c r="F59" s="282" t="s">
        <v>294</v>
      </c>
      <c r="G59" s="477">
        <v>5.338691</v>
      </c>
    </row>
    <row r="60" spans="1:7" ht="17.25" customHeight="1">
      <c r="A60"/>
      <c r="B60" s="8"/>
      <c r="C60" s="467"/>
      <c r="D60" s="478"/>
      <c r="E60" s="467"/>
      <c r="F60" s="478"/>
      <c r="G60" s="479"/>
    </row>
    <row r="61" spans="1:7" ht="12.75" customHeight="1">
      <c r="A61"/>
      <c r="B61" s="8"/>
      <c r="C61" s="20" t="s">
        <v>245</v>
      </c>
      <c r="D61" s="480"/>
      <c r="E61" s="481"/>
      <c r="F61" s="480"/>
      <c r="G61" s="482"/>
    </row>
    <row r="62" spans="1:7" ht="70.5" customHeight="1">
      <c r="A62"/>
      <c r="B62" s="225"/>
      <c r="C62" s="1007" t="s">
        <v>454</v>
      </c>
      <c r="D62" s="1007"/>
      <c r="E62" s="1007"/>
      <c r="F62" s="1007"/>
      <c r="G62" s="1007"/>
    </row>
  </sheetData>
  <sheetProtection/>
  <mergeCells count="5">
    <mergeCell ref="C62:G62"/>
    <mergeCell ref="B2:G2"/>
    <mergeCell ref="B4:G4"/>
    <mergeCell ref="C5:D5"/>
    <mergeCell ref="E5:F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91"/>
  <sheetViews>
    <sheetView zoomScalePageLayoutView="0" workbookViewId="0" topLeftCell="A1">
      <selection activeCell="R17" sqref="A15:R17"/>
    </sheetView>
  </sheetViews>
  <sheetFormatPr defaultColWidth="9.140625" defaultRowHeight="12.75"/>
  <cols>
    <col min="1" max="1" width="3.7109375" style="0" customWidth="1"/>
    <col min="2" max="2" width="0.85546875" style="0" customWidth="1"/>
    <col min="3" max="3" width="20.7109375" style="0" customWidth="1"/>
    <col min="4" max="4" width="4.00390625" style="0" customWidth="1"/>
    <col min="5" max="16" width="8.7109375" style="0" customWidth="1"/>
    <col min="17" max="17" width="7.421875" style="0" customWidth="1"/>
    <col min="18" max="18" width="9.140625" style="0" customWidth="1"/>
  </cols>
  <sheetData>
    <row r="1" spans="2:17" ht="15.75">
      <c r="B1" s="994"/>
      <c r="C1" s="994"/>
      <c r="D1" s="22"/>
      <c r="E1" s="11"/>
      <c r="F1" s="11"/>
      <c r="G1" s="11"/>
      <c r="H1" s="11"/>
      <c r="I1" s="11"/>
      <c r="J1" s="11"/>
      <c r="K1" s="11"/>
      <c r="L1" s="11"/>
      <c r="M1" s="11"/>
      <c r="N1" s="11"/>
      <c r="O1" s="11"/>
      <c r="P1" s="11"/>
      <c r="Q1" s="10" t="s">
        <v>406</v>
      </c>
    </row>
    <row r="2" spans="2:17" ht="15.75">
      <c r="B2" s="924" t="s">
        <v>438</v>
      </c>
      <c r="C2" s="924"/>
      <c r="D2" s="924"/>
      <c r="E2" s="924"/>
      <c r="F2" s="924"/>
      <c r="G2" s="924"/>
      <c r="H2" s="924"/>
      <c r="I2" s="924"/>
      <c r="J2" s="924"/>
      <c r="K2" s="924"/>
      <c r="L2" s="924"/>
      <c r="M2" s="924"/>
      <c r="N2" s="924"/>
      <c r="O2" s="924"/>
      <c r="P2" s="924"/>
      <c r="Q2" s="924"/>
    </row>
    <row r="3" spans="3:17" ht="12.75">
      <c r="C3" s="990" t="s">
        <v>142</v>
      </c>
      <c r="D3" s="990"/>
      <c r="E3" s="990"/>
      <c r="F3" s="990"/>
      <c r="G3" s="990"/>
      <c r="H3" s="990"/>
      <c r="I3" s="990"/>
      <c r="J3" s="990"/>
      <c r="K3" s="990"/>
      <c r="L3" s="990"/>
      <c r="M3" s="990"/>
      <c r="N3" s="990"/>
      <c r="O3" s="990"/>
      <c r="P3" s="990"/>
      <c r="Q3" s="990"/>
    </row>
    <row r="4" spans="1:17" ht="12.75" customHeight="1">
      <c r="A4" s="1012" t="s">
        <v>261</v>
      </c>
      <c r="B4" s="238"/>
      <c r="C4" s="1013" t="s">
        <v>99</v>
      </c>
      <c r="D4" s="49"/>
      <c r="E4" s="72"/>
      <c r="F4" s="72"/>
      <c r="G4" s="72"/>
      <c r="H4" s="72"/>
      <c r="I4" s="72"/>
      <c r="J4" s="72"/>
      <c r="K4" s="72"/>
      <c r="L4" s="72"/>
      <c r="M4" s="72"/>
      <c r="N4" s="72"/>
      <c r="O4" s="72"/>
      <c r="P4" s="72"/>
      <c r="Q4" s="77" t="s">
        <v>322</v>
      </c>
    </row>
    <row r="5" spans="1:17" ht="12.75">
      <c r="A5" s="1012"/>
      <c r="B5" s="236"/>
      <c r="C5" s="1014"/>
      <c r="D5" s="237"/>
      <c r="E5" s="70">
        <v>2005</v>
      </c>
      <c r="F5" s="70">
        <v>2006</v>
      </c>
      <c r="G5" s="70">
        <v>2007</v>
      </c>
      <c r="H5" s="70">
        <v>2008</v>
      </c>
      <c r="I5" s="70">
        <v>2009</v>
      </c>
      <c r="J5" s="70">
        <v>2010</v>
      </c>
      <c r="K5" s="70">
        <v>2011</v>
      </c>
      <c r="L5" s="70">
        <v>2012</v>
      </c>
      <c r="M5" s="70">
        <v>2013</v>
      </c>
      <c r="N5" s="70">
        <v>2014</v>
      </c>
      <c r="O5" s="70">
        <v>2015</v>
      </c>
      <c r="P5" s="70">
        <v>2016</v>
      </c>
      <c r="Q5" s="74" t="s">
        <v>577</v>
      </c>
    </row>
    <row r="6" spans="1:17" ht="12.75">
      <c r="A6" s="1012"/>
      <c r="B6" s="58"/>
      <c r="C6" s="55"/>
      <c r="D6" s="62"/>
      <c r="E6" s="75"/>
      <c r="F6" s="75"/>
      <c r="G6" s="75"/>
      <c r="H6" s="75"/>
      <c r="I6" s="75"/>
      <c r="J6" s="75"/>
      <c r="K6" s="75"/>
      <c r="L6" s="75"/>
      <c r="M6" s="75"/>
      <c r="N6" s="75"/>
      <c r="O6" s="75"/>
      <c r="P6" s="75"/>
      <c r="Q6" s="78" t="s">
        <v>192</v>
      </c>
    </row>
    <row r="7" spans="1:17" ht="12.75">
      <c r="A7" s="209">
        <v>1</v>
      </c>
      <c r="B7" s="90"/>
      <c r="C7" s="91" t="s">
        <v>119</v>
      </c>
      <c r="D7" s="92" t="s">
        <v>176</v>
      </c>
      <c r="E7" s="342">
        <v>9194.5895</v>
      </c>
      <c r="F7" s="342">
        <v>9575.40875</v>
      </c>
      <c r="G7" s="342">
        <v>10773.4</v>
      </c>
      <c r="H7" s="342">
        <v>10630.96025</v>
      </c>
      <c r="I7" s="342">
        <v>9579.2835</v>
      </c>
      <c r="J7" s="342">
        <v>11017.46575</v>
      </c>
      <c r="K7" s="342">
        <v>11339.868</v>
      </c>
      <c r="L7" s="342">
        <v>11418.324</v>
      </c>
      <c r="M7" s="344">
        <v>11021.277</v>
      </c>
      <c r="N7" s="344">
        <v>11634.056</v>
      </c>
      <c r="O7" s="344">
        <v>11577.171999999999</v>
      </c>
      <c r="P7" s="344">
        <v>11674.521</v>
      </c>
      <c r="Q7" s="604">
        <f>P7/O7*100-100</f>
        <v>0.8408702919849702</v>
      </c>
    </row>
    <row r="8" spans="1:17" ht="12.75">
      <c r="A8" s="209">
        <v>2</v>
      </c>
      <c r="B8" s="268"/>
      <c r="C8" s="267" t="s">
        <v>18</v>
      </c>
      <c r="D8" s="269" t="s">
        <v>178</v>
      </c>
      <c r="E8" s="343">
        <v>6220.9035</v>
      </c>
      <c r="F8" s="343">
        <v>6718.1965</v>
      </c>
      <c r="G8" s="343">
        <v>7878.91925</v>
      </c>
      <c r="H8" s="343">
        <v>8378.85275</v>
      </c>
      <c r="I8" s="343">
        <v>7014.3395</v>
      </c>
      <c r="J8" s="343">
        <v>8144.3695</v>
      </c>
      <c r="K8" s="343">
        <v>8316.776</v>
      </c>
      <c r="L8" s="343">
        <v>8174.374</v>
      </c>
      <c r="M8" s="343">
        <v>8255.603</v>
      </c>
      <c r="N8" s="343">
        <v>8811.675</v>
      </c>
      <c r="O8" s="343">
        <v>9370.252</v>
      </c>
      <c r="P8" s="343">
        <v>9890.703</v>
      </c>
      <c r="Q8" s="605">
        <f aca="true" t="shared" si="0" ref="Q8:Q57">P8/O8*100-100</f>
        <v>5.554290322181288</v>
      </c>
    </row>
    <row r="9" spans="1:17" ht="12.75">
      <c r="A9" s="209">
        <v>3</v>
      </c>
      <c r="B9" s="93"/>
      <c r="C9" s="94" t="s">
        <v>327</v>
      </c>
      <c r="D9" s="95" t="s">
        <v>179</v>
      </c>
      <c r="E9" s="344">
        <v>8084.307</v>
      </c>
      <c r="F9" s="344">
        <v>8878.093</v>
      </c>
      <c r="G9" s="344">
        <v>9913.5305</v>
      </c>
      <c r="H9" s="344">
        <v>9767.26575</v>
      </c>
      <c r="I9" s="344">
        <v>7030.928</v>
      </c>
      <c r="J9" s="344">
        <v>7905.518</v>
      </c>
      <c r="K9" s="344">
        <v>9035.091</v>
      </c>
      <c r="L9" s="344">
        <v>8890.713</v>
      </c>
      <c r="M9" s="344">
        <v>9302.213</v>
      </c>
      <c r="N9" s="344">
        <v>9775.438</v>
      </c>
      <c r="O9" s="344">
        <v>8847.907</v>
      </c>
      <c r="P9" s="344">
        <v>8928.583</v>
      </c>
      <c r="Q9" s="606">
        <f t="shared" si="0"/>
        <v>0.9118088605587928</v>
      </c>
    </row>
    <row r="10" spans="1:17" ht="12.75">
      <c r="A10" s="209">
        <v>4</v>
      </c>
      <c r="B10" s="268"/>
      <c r="C10" s="267" t="s">
        <v>250</v>
      </c>
      <c r="D10" s="269" t="s">
        <v>179</v>
      </c>
      <c r="E10" s="343">
        <v>3696.067</v>
      </c>
      <c r="F10" s="343">
        <v>4479.31875</v>
      </c>
      <c r="G10" s="343">
        <v>4883.95875</v>
      </c>
      <c r="H10" s="343">
        <v>5451.38725</v>
      </c>
      <c r="I10" s="343">
        <v>4552.027</v>
      </c>
      <c r="J10" s="343">
        <v>4858.3275</v>
      </c>
      <c r="K10" s="343">
        <v>5911.217</v>
      </c>
      <c r="L10" s="343">
        <v>6111.2</v>
      </c>
      <c r="M10" s="343">
        <v>5822.414</v>
      </c>
      <c r="N10" s="343">
        <v>5731.478</v>
      </c>
      <c r="O10" s="343">
        <v>5466.808000000001</v>
      </c>
      <c r="P10" s="343">
        <v>5510.369</v>
      </c>
      <c r="Q10" s="605">
        <f t="shared" si="0"/>
        <v>0.7968269600834503</v>
      </c>
    </row>
    <row r="11" spans="1:17" ht="12.75">
      <c r="A11" s="209">
        <v>5</v>
      </c>
      <c r="B11" s="93"/>
      <c r="C11" s="94" t="s">
        <v>109</v>
      </c>
      <c r="D11" s="95" t="s">
        <v>180</v>
      </c>
      <c r="E11" s="344">
        <v>3183.889</v>
      </c>
      <c r="F11" s="344">
        <v>3262.47</v>
      </c>
      <c r="G11" s="344">
        <v>3419.85</v>
      </c>
      <c r="H11" s="344">
        <v>3297.60975</v>
      </c>
      <c r="I11" s="344">
        <v>2953.08125</v>
      </c>
      <c r="J11" s="344">
        <v>2776.8625</v>
      </c>
      <c r="K11" s="344">
        <v>3592.3019999999997</v>
      </c>
      <c r="L11" s="344">
        <v>4113.113</v>
      </c>
      <c r="M11" s="344">
        <v>3988.184</v>
      </c>
      <c r="N11" s="344">
        <v>4554.897</v>
      </c>
      <c r="O11" s="344">
        <v>4515.768</v>
      </c>
      <c r="P11" s="344">
        <v>4762.07</v>
      </c>
      <c r="Q11" s="606">
        <f t="shared" si="0"/>
        <v>5.454266029610011</v>
      </c>
    </row>
    <row r="12" spans="1:17" ht="12.75">
      <c r="A12" s="209">
        <v>6</v>
      </c>
      <c r="B12" s="268"/>
      <c r="C12" s="267" t="s">
        <v>132</v>
      </c>
      <c r="D12" s="269" t="s">
        <v>180</v>
      </c>
      <c r="E12" s="343">
        <v>2415.193</v>
      </c>
      <c r="F12" s="343">
        <v>2614.911</v>
      </c>
      <c r="G12" s="343">
        <v>3048.90275</v>
      </c>
      <c r="H12" s="343">
        <v>3606.343</v>
      </c>
      <c r="I12" s="343">
        <v>3654.42925</v>
      </c>
      <c r="J12" s="343">
        <v>4211.1755</v>
      </c>
      <c r="K12" s="343">
        <v>4332.004999999999</v>
      </c>
      <c r="L12" s="343">
        <v>4470.506</v>
      </c>
      <c r="M12" s="343">
        <v>4328.275</v>
      </c>
      <c r="N12" s="343">
        <v>4406.627</v>
      </c>
      <c r="O12" s="343">
        <v>4608.656</v>
      </c>
      <c r="P12" s="343">
        <v>4692.985</v>
      </c>
      <c r="Q12" s="605">
        <f t="shared" si="0"/>
        <v>1.8297959318291532</v>
      </c>
    </row>
    <row r="13" spans="1:17" ht="12.75">
      <c r="A13" s="209">
        <v>7</v>
      </c>
      <c r="B13" s="93"/>
      <c r="C13" s="94" t="s">
        <v>138</v>
      </c>
      <c r="D13" s="95" t="s">
        <v>177</v>
      </c>
      <c r="E13" s="344">
        <v>2759.70475</v>
      </c>
      <c r="F13" s="344">
        <v>3029.80675</v>
      </c>
      <c r="G13" s="344">
        <v>3342.2717895625</v>
      </c>
      <c r="H13" s="344">
        <v>3131.4255</v>
      </c>
      <c r="I13" s="344">
        <v>3020.94225</v>
      </c>
      <c r="J13" s="344">
        <v>3415.134</v>
      </c>
      <c r="K13" s="344">
        <v>3248.5930000000003</v>
      </c>
      <c r="L13" s="344">
        <v>3367.668</v>
      </c>
      <c r="M13" s="344">
        <v>3433.838</v>
      </c>
      <c r="N13" s="344">
        <v>4072.229</v>
      </c>
      <c r="O13" s="344">
        <v>4042.695</v>
      </c>
      <c r="P13" s="344">
        <v>4015.817</v>
      </c>
      <c r="Q13" s="606">
        <f t="shared" si="0"/>
        <v>-0.6648535197436303</v>
      </c>
    </row>
    <row r="14" spans="1:17" ht="12.75">
      <c r="A14" s="209">
        <v>8</v>
      </c>
      <c r="B14" s="268"/>
      <c r="C14" s="267" t="s">
        <v>143</v>
      </c>
      <c r="D14" s="269" t="s">
        <v>183</v>
      </c>
      <c r="E14" s="343">
        <v>3123.24125</v>
      </c>
      <c r="F14" s="343">
        <v>2835.23575</v>
      </c>
      <c r="G14" s="343">
        <v>3464.1785</v>
      </c>
      <c r="H14" s="343">
        <v>3164.79275</v>
      </c>
      <c r="I14" s="343">
        <v>2724.705</v>
      </c>
      <c r="J14" s="343">
        <v>3896.66525</v>
      </c>
      <c r="K14" s="343">
        <v>3307.005</v>
      </c>
      <c r="L14" s="343">
        <v>3725.193</v>
      </c>
      <c r="M14" s="343">
        <v>3651.838</v>
      </c>
      <c r="N14" s="343">
        <v>3708.137</v>
      </c>
      <c r="O14" s="343">
        <v>3029.984</v>
      </c>
      <c r="P14" s="343">
        <v>3796.308</v>
      </c>
      <c r="Q14" s="605">
        <f t="shared" si="0"/>
        <v>25.291354673820067</v>
      </c>
    </row>
    <row r="15" spans="1:17" ht="12.75">
      <c r="A15" s="209">
        <v>9</v>
      </c>
      <c r="B15" s="93"/>
      <c r="C15" s="94" t="s">
        <v>104</v>
      </c>
      <c r="D15" s="95" t="s">
        <v>175</v>
      </c>
      <c r="E15" s="344">
        <v>1401.073</v>
      </c>
      <c r="F15" s="344">
        <v>1412.554</v>
      </c>
      <c r="G15" s="344">
        <v>1383.831</v>
      </c>
      <c r="H15" s="344">
        <v>437.301</v>
      </c>
      <c r="I15" s="344">
        <v>667.135</v>
      </c>
      <c r="J15" s="344">
        <v>850.25475</v>
      </c>
      <c r="K15" s="344">
        <v>1680.856</v>
      </c>
      <c r="L15" s="344">
        <v>2815.076</v>
      </c>
      <c r="M15" s="344">
        <v>3199.349</v>
      </c>
      <c r="N15" s="344">
        <v>3492.745</v>
      </c>
      <c r="O15" s="344">
        <v>3359.581</v>
      </c>
      <c r="P15" s="344">
        <v>3735.805</v>
      </c>
      <c r="Q15" s="606">
        <f t="shared" si="0"/>
        <v>11.198539341661956</v>
      </c>
    </row>
    <row r="16" spans="1:17" ht="12.75">
      <c r="A16" s="209">
        <v>10</v>
      </c>
      <c r="B16" s="268"/>
      <c r="C16" s="267" t="s">
        <v>120</v>
      </c>
      <c r="D16" s="269" t="s">
        <v>181</v>
      </c>
      <c r="E16" s="343">
        <v>2144.28975</v>
      </c>
      <c r="F16" s="343">
        <v>2118.862</v>
      </c>
      <c r="G16" s="343">
        <v>2684.697</v>
      </c>
      <c r="H16" s="343">
        <v>2511.612</v>
      </c>
      <c r="I16" s="343">
        <v>2257.23525</v>
      </c>
      <c r="J16" s="343">
        <v>2369.281</v>
      </c>
      <c r="K16" s="343">
        <v>2221.85</v>
      </c>
      <c r="L16" s="343">
        <v>1996.904</v>
      </c>
      <c r="M16" s="343">
        <v>2186.383</v>
      </c>
      <c r="N16" s="343">
        <v>2432.715</v>
      </c>
      <c r="O16" s="343">
        <v>2560.125</v>
      </c>
      <c r="P16" s="343">
        <v>2479.532</v>
      </c>
      <c r="Q16" s="605">
        <f t="shared" si="0"/>
        <v>-3.148010351057067</v>
      </c>
    </row>
    <row r="17" spans="1:17" ht="12.75">
      <c r="A17" s="209">
        <v>11</v>
      </c>
      <c r="B17" s="93"/>
      <c r="C17" s="94" t="s">
        <v>131</v>
      </c>
      <c r="D17" s="95" t="s">
        <v>183</v>
      </c>
      <c r="E17" s="344">
        <v>1037.5655</v>
      </c>
      <c r="F17" s="344">
        <v>1145.74125</v>
      </c>
      <c r="G17" s="344">
        <v>1229.5865</v>
      </c>
      <c r="H17" s="344">
        <v>1461.9085</v>
      </c>
      <c r="I17" s="344">
        <v>1311.20725</v>
      </c>
      <c r="J17" s="344">
        <v>1020.04875</v>
      </c>
      <c r="K17" s="344">
        <v>1276.926</v>
      </c>
      <c r="L17" s="344">
        <v>1577.567</v>
      </c>
      <c r="M17" s="344">
        <v>1545.722</v>
      </c>
      <c r="N17" s="344">
        <v>2013.937</v>
      </c>
      <c r="O17" s="344">
        <v>2079.107</v>
      </c>
      <c r="P17" s="344">
        <v>2356.487</v>
      </c>
      <c r="Q17" s="606">
        <f t="shared" si="0"/>
        <v>13.341304704375489</v>
      </c>
    </row>
    <row r="18" spans="1:17" ht="12.75">
      <c r="A18" s="209">
        <v>12</v>
      </c>
      <c r="B18" s="268"/>
      <c r="C18" s="267" t="s">
        <v>324</v>
      </c>
      <c r="D18" s="269" t="s">
        <v>180</v>
      </c>
      <c r="E18" s="343">
        <v>2071.36075</v>
      </c>
      <c r="F18" s="343">
        <v>2314.5925</v>
      </c>
      <c r="G18" s="343">
        <v>2605.661</v>
      </c>
      <c r="H18" s="343">
        <v>2564.60575</v>
      </c>
      <c r="I18" s="343">
        <v>1846.21125</v>
      </c>
      <c r="J18" s="343">
        <v>1927.96625</v>
      </c>
      <c r="K18" s="343">
        <v>2005.826</v>
      </c>
      <c r="L18" s="343">
        <v>1745.445</v>
      </c>
      <c r="M18" s="343">
        <v>1716.757</v>
      </c>
      <c r="N18" s="343">
        <v>2055.665</v>
      </c>
      <c r="O18" s="343">
        <v>1949.741</v>
      </c>
      <c r="P18" s="343">
        <v>2224.664</v>
      </c>
      <c r="Q18" s="605">
        <f t="shared" si="0"/>
        <v>14.100488218691638</v>
      </c>
    </row>
    <row r="19" spans="1:17" ht="12.75">
      <c r="A19" s="209">
        <v>13</v>
      </c>
      <c r="B19" s="93"/>
      <c r="C19" s="94" t="s">
        <v>125</v>
      </c>
      <c r="D19" s="95" t="s">
        <v>177</v>
      </c>
      <c r="E19" s="344">
        <v>1384.23375</v>
      </c>
      <c r="F19" s="344">
        <v>1502.251</v>
      </c>
      <c r="G19" s="344">
        <v>1905.18640709268</v>
      </c>
      <c r="H19" s="344">
        <v>1616.78625</v>
      </c>
      <c r="I19" s="344">
        <v>1384.6695</v>
      </c>
      <c r="J19" s="344">
        <v>1566.54975</v>
      </c>
      <c r="K19" s="344">
        <v>1590.5200000000002</v>
      </c>
      <c r="L19" s="344">
        <v>1489.268</v>
      </c>
      <c r="M19" s="344">
        <v>1489.217</v>
      </c>
      <c r="N19" s="344">
        <v>1893.772</v>
      </c>
      <c r="O19" s="344">
        <v>1956.4379999999999</v>
      </c>
      <c r="P19" s="344">
        <v>2040.039</v>
      </c>
      <c r="Q19" s="606">
        <f t="shared" si="0"/>
        <v>4.273122889659689</v>
      </c>
    </row>
    <row r="20" spans="1:17" ht="12.75">
      <c r="A20" s="209">
        <v>14</v>
      </c>
      <c r="B20" s="268"/>
      <c r="C20" s="267" t="s">
        <v>144</v>
      </c>
      <c r="D20" s="269" t="s">
        <v>183</v>
      </c>
      <c r="E20" s="343">
        <v>915.59725</v>
      </c>
      <c r="F20" s="343">
        <v>1086.4865</v>
      </c>
      <c r="G20" s="343">
        <v>1130.07125</v>
      </c>
      <c r="H20" s="343">
        <v>1185.92225</v>
      </c>
      <c r="I20" s="343">
        <v>840.36725</v>
      </c>
      <c r="J20" s="343">
        <v>1180.60525</v>
      </c>
      <c r="K20" s="343">
        <v>1205.0009999999997</v>
      </c>
      <c r="L20" s="343">
        <v>1180.751</v>
      </c>
      <c r="M20" s="343">
        <v>1206.679</v>
      </c>
      <c r="N20" s="343">
        <v>1261.702</v>
      </c>
      <c r="O20" s="343">
        <v>1578.9160000000002</v>
      </c>
      <c r="P20" s="343">
        <v>1605.365</v>
      </c>
      <c r="Q20" s="605">
        <f t="shared" si="0"/>
        <v>1.6751366127140273</v>
      </c>
    </row>
    <row r="21" spans="1:17" ht="12.75">
      <c r="A21" s="209">
        <v>15</v>
      </c>
      <c r="B21" s="93"/>
      <c r="C21" s="94" t="s">
        <v>374</v>
      </c>
      <c r="D21" s="95" t="s">
        <v>169</v>
      </c>
      <c r="E21" s="344">
        <v>63.30725</v>
      </c>
      <c r="F21" s="344">
        <v>76.47125</v>
      </c>
      <c r="G21" s="344">
        <v>94.72375</v>
      </c>
      <c r="H21" s="344">
        <v>183.207</v>
      </c>
      <c r="I21" s="344">
        <v>232.88575</v>
      </c>
      <c r="J21" s="344">
        <v>509.88675</v>
      </c>
      <c r="K21" s="344">
        <v>684.711</v>
      </c>
      <c r="L21" s="344">
        <v>933.426</v>
      </c>
      <c r="M21" s="344">
        <v>1189.048</v>
      </c>
      <c r="N21" s="344">
        <v>1232.041</v>
      </c>
      <c r="O21" s="344">
        <v>1041.346</v>
      </c>
      <c r="P21" s="344">
        <v>1559.168</v>
      </c>
      <c r="Q21" s="606">
        <f t="shared" si="0"/>
        <v>49.72621971947845</v>
      </c>
    </row>
    <row r="22" spans="1:17" ht="12.75">
      <c r="A22" s="209">
        <v>16</v>
      </c>
      <c r="B22" s="268"/>
      <c r="C22" s="267" t="s">
        <v>251</v>
      </c>
      <c r="D22" s="269" t="s">
        <v>186</v>
      </c>
      <c r="E22" s="343">
        <v>50.994</v>
      </c>
      <c r="F22" s="343">
        <v>121.9565</v>
      </c>
      <c r="G22" s="343">
        <v>150.038</v>
      </c>
      <c r="H22" s="343">
        <v>220.47</v>
      </c>
      <c r="I22" s="343">
        <v>253.494</v>
      </c>
      <c r="J22" s="343">
        <v>382.08075</v>
      </c>
      <c r="K22" s="343">
        <v>447.497</v>
      </c>
      <c r="L22" s="343">
        <v>553.065</v>
      </c>
      <c r="M22" s="343">
        <v>931.009</v>
      </c>
      <c r="N22" s="343">
        <v>1227.699</v>
      </c>
      <c r="O22" s="343">
        <v>1332.197</v>
      </c>
      <c r="P22" s="343">
        <v>1513.089</v>
      </c>
      <c r="Q22" s="605">
        <f t="shared" si="0"/>
        <v>13.578472252977619</v>
      </c>
    </row>
    <row r="23" spans="1:17" ht="12.75">
      <c r="A23" s="209">
        <v>17</v>
      </c>
      <c r="B23" s="93"/>
      <c r="C23" s="94" t="s">
        <v>121</v>
      </c>
      <c r="D23" s="95" t="s">
        <v>177</v>
      </c>
      <c r="E23" s="344">
        <v>765.05475</v>
      </c>
      <c r="F23" s="344">
        <v>742.5665</v>
      </c>
      <c r="G23" s="344">
        <v>857.7513236041201</v>
      </c>
      <c r="H23" s="344">
        <v>983.46975</v>
      </c>
      <c r="I23" s="344">
        <v>646.41775</v>
      </c>
      <c r="J23" s="344">
        <v>732.6965</v>
      </c>
      <c r="K23" s="344">
        <v>736.938</v>
      </c>
      <c r="L23" s="344">
        <v>686.65</v>
      </c>
      <c r="M23" s="344">
        <v>944.415</v>
      </c>
      <c r="N23" s="344">
        <v>1059.33</v>
      </c>
      <c r="O23" s="344">
        <v>1184.515</v>
      </c>
      <c r="P23" s="344">
        <v>1492.391</v>
      </c>
      <c r="Q23" s="606">
        <f t="shared" si="0"/>
        <v>25.991735013908638</v>
      </c>
    </row>
    <row r="24" spans="1:17" ht="12.75">
      <c r="A24" s="209">
        <v>18</v>
      </c>
      <c r="B24" s="268"/>
      <c r="C24" s="267" t="s">
        <v>5</v>
      </c>
      <c r="D24" s="269" t="s">
        <v>181</v>
      </c>
      <c r="E24" s="343">
        <v>910.551</v>
      </c>
      <c r="F24" s="343">
        <v>950.196</v>
      </c>
      <c r="G24" s="343">
        <v>1058.472</v>
      </c>
      <c r="H24" s="343">
        <v>901.411</v>
      </c>
      <c r="I24" s="343">
        <v>943.244</v>
      </c>
      <c r="J24" s="343">
        <v>1030.938</v>
      </c>
      <c r="K24" s="343">
        <v>1095.219</v>
      </c>
      <c r="L24" s="343">
        <v>1146.954</v>
      </c>
      <c r="M24" s="343">
        <v>1196.875</v>
      </c>
      <c r="N24" s="343">
        <v>1190.459</v>
      </c>
      <c r="O24" s="343">
        <v>1255.83</v>
      </c>
      <c r="P24" s="343">
        <v>1244.121</v>
      </c>
      <c r="Q24" s="605">
        <f t="shared" si="0"/>
        <v>-0.9323714196985122</v>
      </c>
    </row>
    <row r="25" spans="1:17" ht="12.75">
      <c r="A25" s="209">
        <v>19</v>
      </c>
      <c r="B25" s="93"/>
      <c r="C25" s="94" t="s">
        <v>433</v>
      </c>
      <c r="D25" s="95" t="s">
        <v>180</v>
      </c>
      <c r="E25" s="344">
        <v>1222.379</v>
      </c>
      <c r="F25" s="344">
        <v>1302.755</v>
      </c>
      <c r="G25" s="344">
        <v>1318.696</v>
      </c>
      <c r="H25" s="344">
        <v>1312.284</v>
      </c>
      <c r="I25" s="344">
        <v>1006.114</v>
      </c>
      <c r="J25" s="344">
        <v>1118.04</v>
      </c>
      <c r="K25" s="344">
        <v>1269.7289999999998</v>
      </c>
      <c r="L25" s="344">
        <v>1194.346</v>
      </c>
      <c r="M25" s="344">
        <v>1003.632</v>
      </c>
      <c r="N25" s="344">
        <v>960.941</v>
      </c>
      <c r="O25" s="344">
        <v>883.318</v>
      </c>
      <c r="P25" s="344">
        <v>897.949</v>
      </c>
      <c r="Q25" s="606">
        <f t="shared" si="0"/>
        <v>1.6563683746963136</v>
      </c>
    </row>
    <row r="26" spans="1:17" ht="12.75">
      <c r="A26" s="209">
        <v>20</v>
      </c>
      <c r="B26" s="268"/>
      <c r="C26" s="267" t="s">
        <v>141</v>
      </c>
      <c r="D26" s="269" t="s">
        <v>172</v>
      </c>
      <c r="E26" s="343">
        <v>210.3425</v>
      </c>
      <c r="F26" s="343">
        <v>222.04875</v>
      </c>
      <c r="G26" s="343">
        <v>306.942</v>
      </c>
      <c r="H26" s="343">
        <v>356.8845</v>
      </c>
      <c r="I26" s="343">
        <v>334.31575</v>
      </c>
      <c r="J26" s="343">
        <v>480.98075</v>
      </c>
      <c r="K26" s="343">
        <v>586.913</v>
      </c>
      <c r="L26" s="343">
        <v>556.392</v>
      </c>
      <c r="M26" s="343">
        <v>596.43</v>
      </c>
      <c r="N26" s="343">
        <v>676.381</v>
      </c>
      <c r="O26" s="343">
        <v>802.696</v>
      </c>
      <c r="P26" s="343">
        <v>845.547</v>
      </c>
      <c r="Q26" s="605">
        <f t="shared" si="0"/>
        <v>5.338384643750558</v>
      </c>
    </row>
    <row r="27" spans="1:17" ht="12.75">
      <c r="A27" s="209">
        <v>21</v>
      </c>
      <c r="B27" s="93"/>
      <c r="C27" s="94" t="s">
        <v>19</v>
      </c>
      <c r="D27" s="95" t="s">
        <v>188</v>
      </c>
      <c r="E27" s="344">
        <v>771.6785</v>
      </c>
      <c r="F27" s="344">
        <v>811.8425</v>
      </c>
      <c r="G27" s="344">
        <v>840.86775</v>
      </c>
      <c r="H27" s="344">
        <v>863.88</v>
      </c>
      <c r="I27" s="344">
        <v>824.217</v>
      </c>
      <c r="J27" s="344">
        <v>891.49675</v>
      </c>
      <c r="K27" s="344">
        <v>913.885</v>
      </c>
      <c r="L27" s="344">
        <v>921.772</v>
      </c>
      <c r="M27" s="344">
        <v>867.716</v>
      </c>
      <c r="N27" s="344">
        <v>828.935</v>
      </c>
      <c r="O27" s="344">
        <v>809.639</v>
      </c>
      <c r="P27" s="344">
        <v>795.233</v>
      </c>
      <c r="Q27" s="606">
        <f t="shared" si="0"/>
        <v>-1.7793115203195669</v>
      </c>
    </row>
    <row r="28" spans="1:17" ht="12.75">
      <c r="A28" s="209">
        <v>22</v>
      </c>
      <c r="B28" s="268"/>
      <c r="C28" s="267" t="s">
        <v>249</v>
      </c>
      <c r="D28" s="269" t="s">
        <v>177</v>
      </c>
      <c r="E28" s="343">
        <v>613.11</v>
      </c>
      <c r="F28" s="343">
        <v>613.44</v>
      </c>
      <c r="G28" s="343">
        <v>675.6776068209131</v>
      </c>
      <c r="H28" s="343">
        <v>673.8955</v>
      </c>
      <c r="I28" s="343">
        <v>588.849</v>
      </c>
      <c r="J28" s="343">
        <v>661.9725</v>
      </c>
      <c r="K28" s="343">
        <v>664.025</v>
      </c>
      <c r="L28" s="343">
        <v>635.346</v>
      </c>
      <c r="M28" s="343">
        <v>626.825</v>
      </c>
      <c r="N28" s="343">
        <v>666.425</v>
      </c>
      <c r="O28" s="343">
        <v>681.926</v>
      </c>
      <c r="P28" s="343">
        <v>729.056</v>
      </c>
      <c r="Q28" s="605">
        <f t="shared" si="0"/>
        <v>6.91130709197185</v>
      </c>
    </row>
    <row r="29" spans="1:17" ht="12.75">
      <c r="A29" s="209">
        <v>23</v>
      </c>
      <c r="B29" s="93"/>
      <c r="C29" s="94" t="s">
        <v>451</v>
      </c>
      <c r="D29" s="95" t="s">
        <v>170</v>
      </c>
      <c r="E29" s="344">
        <v>867.036</v>
      </c>
      <c r="F29" s="344">
        <v>1170.4335</v>
      </c>
      <c r="G29" s="344">
        <v>1444.655</v>
      </c>
      <c r="H29" s="344">
        <v>1405.3335</v>
      </c>
      <c r="I29" s="344">
        <v>607.48225</v>
      </c>
      <c r="J29" s="344">
        <v>548.056</v>
      </c>
      <c r="K29" s="344">
        <v>653.306</v>
      </c>
      <c r="L29" s="344">
        <v>675.403</v>
      </c>
      <c r="M29" s="344">
        <v>659.375</v>
      </c>
      <c r="N29" s="344">
        <v>663.271</v>
      </c>
      <c r="O29" s="344">
        <v>689.489</v>
      </c>
      <c r="P29" s="344">
        <v>706.157</v>
      </c>
      <c r="Q29" s="606">
        <f t="shared" si="0"/>
        <v>2.4174424827662335</v>
      </c>
    </row>
    <row r="30" spans="1:17" ht="12.75">
      <c r="A30" s="209">
        <v>24</v>
      </c>
      <c r="B30" s="268"/>
      <c r="C30" s="267" t="s">
        <v>325</v>
      </c>
      <c r="D30" s="269" t="s">
        <v>182</v>
      </c>
      <c r="E30" s="343">
        <v>590.1675</v>
      </c>
      <c r="F30" s="343">
        <v>680.6775</v>
      </c>
      <c r="G30" s="343">
        <v>744.1555</v>
      </c>
      <c r="H30" s="343">
        <v>676.5425</v>
      </c>
      <c r="I30" s="343">
        <v>548.466</v>
      </c>
      <c r="J30" s="343">
        <v>553.9765</v>
      </c>
      <c r="K30" s="343">
        <v>523.572</v>
      </c>
      <c r="L30" s="343">
        <v>526.739</v>
      </c>
      <c r="M30" s="343">
        <v>515.778</v>
      </c>
      <c r="N30" s="343">
        <v>569.219</v>
      </c>
      <c r="O30" s="343">
        <v>627.6759999999999</v>
      </c>
      <c r="P30" s="343">
        <v>663.729</v>
      </c>
      <c r="Q30" s="605">
        <f t="shared" si="0"/>
        <v>5.743886973534146</v>
      </c>
    </row>
    <row r="31" spans="1:17" ht="12.75">
      <c r="A31" s="209">
        <v>25</v>
      </c>
      <c r="B31" s="93"/>
      <c r="C31" s="94" t="s">
        <v>435</v>
      </c>
      <c r="D31" s="95" t="s">
        <v>169</v>
      </c>
      <c r="E31" s="344">
        <v>392.947</v>
      </c>
      <c r="F31" s="344">
        <v>458.73025</v>
      </c>
      <c r="G31" s="344">
        <v>611.94675</v>
      </c>
      <c r="H31" s="344">
        <v>610.944</v>
      </c>
      <c r="I31" s="344">
        <v>376.23875</v>
      </c>
      <c r="J31" s="344">
        <v>476.9815</v>
      </c>
      <c r="K31" s="344">
        <v>591.0630000000001</v>
      </c>
      <c r="L31" s="344">
        <v>658.7349999999999</v>
      </c>
      <c r="M31" s="344">
        <v>727.831</v>
      </c>
      <c r="N31" s="344">
        <v>937.245</v>
      </c>
      <c r="O31" s="344">
        <v>676.4429999999999</v>
      </c>
      <c r="P31" s="344">
        <v>656.741</v>
      </c>
      <c r="Q31" s="606">
        <f t="shared" si="0"/>
        <v>-2.9125883481682706</v>
      </c>
    </row>
    <row r="32" spans="1:17" ht="12.75">
      <c r="A32" s="209">
        <v>26</v>
      </c>
      <c r="B32" s="268"/>
      <c r="C32" s="267" t="s">
        <v>204</v>
      </c>
      <c r="D32" s="269" t="s">
        <v>183</v>
      </c>
      <c r="E32" s="343">
        <v>461.3785</v>
      </c>
      <c r="F32" s="343">
        <v>482.43025</v>
      </c>
      <c r="G32" s="343">
        <v>528.8145</v>
      </c>
      <c r="H32" s="343">
        <v>216.054</v>
      </c>
      <c r="I32" s="343">
        <v>425.62</v>
      </c>
      <c r="J32" s="343">
        <v>369.862</v>
      </c>
      <c r="K32" s="343">
        <v>452.64099999999996</v>
      </c>
      <c r="L32" s="343">
        <v>412.419</v>
      </c>
      <c r="M32" s="343">
        <v>513.094</v>
      </c>
      <c r="N32" s="343">
        <v>401.38</v>
      </c>
      <c r="O32" s="343">
        <v>652.7959999999999</v>
      </c>
      <c r="P32" s="343">
        <v>652.651</v>
      </c>
      <c r="Q32" s="605">
        <f t="shared" si="0"/>
        <v>-0.02221214590775844</v>
      </c>
    </row>
    <row r="33" spans="1:17" ht="12.75">
      <c r="A33" s="209">
        <v>27</v>
      </c>
      <c r="B33" s="93"/>
      <c r="C33" s="94" t="s">
        <v>95</v>
      </c>
      <c r="D33" s="95" t="s">
        <v>186</v>
      </c>
      <c r="E33" s="344">
        <v>351.765</v>
      </c>
      <c r="F33" s="344">
        <v>378.23725</v>
      </c>
      <c r="G33" s="344">
        <v>433.71325</v>
      </c>
      <c r="H33" s="344">
        <v>450.1195</v>
      </c>
      <c r="I33" s="344">
        <v>450.1</v>
      </c>
      <c r="J33" s="344">
        <v>481.79025</v>
      </c>
      <c r="K33" s="344">
        <v>514.158</v>
      </c>
      <c r="L33" s="344">
        <v>632.8009999999999</v>
      </c>
      <c r="M33" s="344">
        <v>620.025</v>
      </c>
      <c r="N33" s="344">
        <v>627.137</v>
      </c>
      <c r="O33" s="344">
        <v>568.3480000000001</v>
      </c>
      <c r="P33" s="344">
        <v>602.544</v>
      </c>
      <c r="Q33" s="606">
        <f t="shared" si="0"/>
        <v>6.016736224988904</v>
      </c>
    </row>
    <row r="34" spans="1:17" ht="12.75">
      <c r="A34" s="209">
        <v>28</v>
      </c>
      <c r="B34" s="268"/>
      <c r="C34" s="267" t="s">
        <v>145</v>
      </c>
      <c r="D34" s="269" t="s">
        <v>175</v>
      </c>
      <c r="E34" s="343">
        <v>372.475</v>
      </c>
      <c r="F34" s="343">
        <v>355.18</v>
      </c>
      <c r="G34" s="343">
        <v>459.92</v>
      </c>
      <c r="H34" s="343">
        <v>242.041</v>
      </c>
      <c r="I34" s="343">
        <v>264.014</v>
      </c>
      <c r="J34" s="343">
        <v>289.224</v>
      </c>
      <c r="K34" s="343">
        <v>327.061</v>
      </c>
      <c r="L34" s="343">
        <v>359.26</v>
      </c>
      <c r="M34" s="343">
        <v>378.981</v>
      </c>
      <c r="N34" s="343">
        <v>451.24</v>
      </c>
      <c r="O34" s="343">
        <v>591.373</v>
      </c>
      <c r="P34" s="343">
        <v>598.207</v>
      </c>
      <c r="Q34" s="605">
        <f t="shared" si="0"/>
        <v>1.155615829603306</v>
      </c>
    </row>
    <row r="35" spans="1:17" ht="12.75">
      <c r="A35" s="209">
        <v>29</v>
      </c>
      <c r="B35" s="93"/>
      <c r="C35" s="94" t="s">
        <v>136</v>
      </c>
      <c r="D35" s="95" t="s">
        <v>180</v>
      </c>
      <c r="E35" s="344">
        <v>862.8685</v>
      </c>
      <c r="F35" s="344">
        <v>898.6685</v>
      </c>
      <c r="G35" s="344">
        <v>956.11425</v>
      </c>
      <c r="H35" s="344">
        <v>894.39375</v>
      </c>
      <c r="I35" s="344">
        <v>443.46375</v>
      </c>
      <c r="J35" s="344">
        <v>531.9995</v>
      </c>
      <c r="K35" s="344">
        <v>572.748</v>
      </c>
      <c r="L35" s="344">
        <v>609.996</v>
      </c>
      <c r="M35" s="344">
        <v>605.531</v>
      </c>
      <c r="N35" s="344">
        <v>630.181</v>
      </c>
      <c r="O35" s="344">
        <v>627.87</v>
      </c>
      <c r="P35" s="344">
        <v>598.078</v>
      </c>
      <c r="Q35" s="606">
        <f t="shared" si="0"/>
        <v>-4.74493127558253</v>
      </c>
    </row>
    <row r="36" spans="1:17" ht="12.75">
      <c r="A36" s="209">
        <v>30</v>
      </c>
      <c r="B36" s="268"/>
      <c r="C36" s="267" t="s">
        <v>122</v>
      </c>
      <c r="D36" s="269" t="s">
        <v>183</v>
      </c>
      <c r="E36" s="343">
        <v>182.712</v>
      </c>
      <c r="F36" s="343">
        <v>196.17225</v>
      </c>
      <c r="G36" s="343">
        <v>121.688049999994</v>
      </c>
      <c r="H36" s="343">
        <v>147.3825</v>
      </c>
      <c r="I36" s="343">
        <v>156.21875</v>
      </c>
      <c r="J36" s="343">
        <v>261.05425</v>
      </c>
      <c r="K36" s="343">
        <v>409.979</v>
      </c>
      <c r="L36" s="343">
        <v>427.13899999999995</v>
      </c>
      <c r="M36" s="343">
        <v>438.236</v>
      </c>
      <c r="N36" s="343">
        <v>618.094</v>
      </c>
      <c r="O36" s="343">
        <v>628.022</v>
      </c>
      <c r="P36" s="343">
        <v>579.085</v>
      </c>
      <c r="Q36" s="605">
        <f t="shared" si="0"/>
        <v>-7.792242946903144</v>
      </c>
    </row>
    <row r="37" spans="1:17" ht="12.75">
      <c r="A37" s="209">
        <v>31</v>
      </c>
      <c r="B37" s="93"/>
      <c r="C37" s="94" t="s">
        <v>464</v>
      </c>
      <c r="D37" s="95" t="s">
        <v>187</v>
      </c>
      <c r="E37" s="344">
        <v>376.51175</v>
      </c>
      <c r="F37" s="344">
        <v>460.62225</v>
      </c>
      <c r="G37" s="344">
        <v>576.46925</v>
      </c>
      <c r="H37" s="344">
        <v>627.14925</v>
      </c>
      <c r="I37" s="344">
        <v>349.169</v>
      </c>
      <c r="J37" s="344">
        <v>402.41975</v>
      </c>
      <c r="K37" s="344">
        <v>501.652</v>
      </c>
      <c r="L37" s="344">
        <v>531.762</v>
      </c>
      <c r="M37" s="344">
        <v>546.143</v>
      </c>
      <c r="N37" s="344">
        <v>518.423</v>
      </c>
      <c r="O37" s="344">
        <v>487.374</v>
      </c>
      <c r="P37" s="344">
        <v>566.589</v>
      </c>
      <c r="Q37" s="606">
        <f t="shared" si="0"/>
        <v>16.253431656181917</v>
      </c>
    </row>
    <row r="38" spans="1:17" ht="12.75">
      <c r="A38" s="209">
        <v>32</v>
      </c>
      <c r="B38" s="268"/>
      <c r="C38" s="267" t="s">
        <v>437</v>
      </c>
      <c r="D38" s="269" t="s">
        <v>183</v>
      </c>
      <c r="E38" s="343">
        <v>583.737</v>
      </c>
      <c r="F38" s="343">
        <v>529.977</v>
      </c>
      <c r="G38" s="343">
        <v>461.83413334066</v>
      </c>
      <c r="H38" s="343">
        <v>181.58475</v>
      </c>
      <c r="I38" s="343">
        <v>233.7025</v>
      </c>
      <c r="J38" s="343">
        <v>486.6145</v>
      </c>
      <c r="K38" s="343">
        <v>555.6460000000001</v>
      </c>
      <c r="L38" s="343">
        <v>580.242</v>
      </c>
      <c r="M38" s="343">
        <v>618.95</v>
      </c>
      <c r="N38" s="343">
        <v>623.188</v>
      </c>
      <c r="O38" s="343">
        <v>821.806</v>
      </c>
      <c r="P38" s="343">
        <v>551.995</v>
      </c>
      <c r="Q38" s="605">
        <f t="shared" si="0"/>
        <v>-32.831471174462095</v>
      </c>
    </row>
    <row r="39" spans="1:17" ht="12.75">
      <c r="A39" s="209">
        <v>33</v>
      </c>
      <c r="B39" s="93"/>
      <c r="C39" s="94" t="s">
        <v>123</v>
      </c>
      <c r="D39" s="95" t="s">
        <v>179</v>
      </c>
      <c r="E39" s="344">
        <v>2.681</v>
      </c>
      <c r="F39" s="344">
        <v>0</v>
      </c>
      <c r="G39" s="344">
        <v>0</v>
      </c>
      <c r="H39" s="344">
        <v>0</v>
      </c>
      <c r="I39" s="344">
        <v>0</v>
      </c>
      <c r="J39" s="344">
        <v>0</v>
      </c>
      <c r="K39" s="344">
        <v>0</v>
      </c>
      <c r="L39" s="344">
        <v>20.132</v>
      </c>
      <c r="M39" s="344">
        <v>141.619</v>
      </c>
      <c r="N39" s="344">
        <v>126.716</v>
      </c>
      <c r="O39" s="344">
        <v>610.98</v>
      </c>
      <c r="P39" s="344">
        <v>494.513</v>
      </c>
      <c r="Q39" s="606">
        <f t="shared" si="0"/>
        <v>-19.06232609905399</v>
      </c>
    </row>
    <row r="40" spans="1:17" ht="12.75">
      <c r="A40" s="209">
        <v>34</v>
      </c>
      <c r="B40" s="268"/>
      <c r="C40" s="267" t="s">
        <v>434</v>
      </c>
      <c r="D40" s="269" t="s">
        <v>174</v>
      </c>
      <c r="E40" s="343">
        <v>397.187</v>
      </c>
      <c r="F40" s="343">
        <v>426.69475</v>
      </c>
      <c r="G40" s="343">
        <v>502.00975</v>
      </c>
      <c r="H40" s="343">
        <v>458.4605</v>
      </c>
      <c r="I40" s="343">
        <v>384.70425</v>
      </c>
      <c r="J40" s="343">
        <v>446.3285</v>
      </c>
      <c r="K40" s="343">
        <v>431.35900000000004</v>
      </c>
      <c r="L40" s="343">
        <v>404.288</v>
      </c>
      <c r="M40" s="343">
        <v>405.83</v>
      </c>
      <c r="N40" s="343">
        <v>424.051</v>
      </c>
      <c r="O40" s="343">
        <v>445.17</v>
      </c>
      <c r="P40" s="343">
        <v>455.311</v>
      </c>
      <c r="Q40" s="605">
        <f t="shared" si="0"/>
        <v>2.2780061549520383</v>
      </c>
    </row>
    <row r="41" spans="1:17" ht="12.75">
      <c r="A41" s="209">
        <v>35</v>
      </c>
      <c r="B41" s="93"/>
      <c r="C41" s="94" t="s">
        <v>140</v>
      </c>
      <c r="D41" s="95" t="s">
        <v>167</v>
      </c>
      <c r="E41" s="344">
        <v>214.3215</v>
      </c>
      <c r="F41" s="344">
        <v>231.60325</v>
      </c>
      <c r="G41" s="344">
        <v>321.432</v>
      </c>
      <c r="H41" s="344">
        <v>373.263</v>
      </c>
      <c r="I41" s="344">
        <v>247.9955</v>
      </c>
      <c r="J41" s="344">
        <v>295.22575</v>
      </c>
      <c r="K41" s="344">
        <v>382.194</v>
      </c>
      <c r="L41" s="344">
        <v>381.37100000000004</v>
      </c>
      <c r="M41" s="344">
        <v>402.733</v>
      </c>
      <c r="N41" s="344">
        <v>450.184</v>
      </c>
      <c r="O41" s="344">
        <v>350.392</v>
      </c>
      <c r="P41" s="344">
        <v>441.665</v>
      </c>
      <c r="Q41" s="606">
        <f t="shared" si="0"/>
        <v>26.048825315646468</v>
      </c>
    </row>
    <row r="42" spans="1:17" ht="12.75">
      <c r="A42" s="209">
        <v>36</v>
      </c>
      <c r="B42" s="268"/>
      <c r="C42" s="267" t="s">
        <v>326</v>
      </c>
      <c r="D42" s="269" t="s">
        <v>187</v>
      </c>
      <c r="E42" s="343">
        <v>460.1915</v>
      </c>
      <c r="F42" s="343">
        <v>419.587</v>
      </c>
      <c r="G42" s="343">
        <v>434.63175</v>
      </c>
      <c r="H42" s="343">
        <v>423.9575</v>
      </c>
      <c r="I42" s="343">
        <v>366.5625</v>
      </c>
      <c r="J42" s="343">
        <v>400.6875</v>
      </c>
      <c r="K42" s="343">
        <v>334.21</v>
      </c>
      <c r="L42" s="343">
        <v>360.977</v>
      </c>
      <c r="M42" s="343">
        <v>364.785</v>
      </c>
      <c r="N42" s="343">
        <v>369.294</v>
      </c>
      <c r="O42" s="343">
        <v>411.09400000000005</v>
      </c>
      <c r="P42" s="343">
        <v>426.72</v>
      </c>
      <c r="Q42" s="605">
        <f t="shared" si="0"/>
        <v>3.801077125912798</v>
      </c>
    </row>
    <row r="43" spans="1:17" ht="12.75">
      <c r="A43" s="209">
        <v>37</v>
      </c>
      <c r="B43" s="93"/>
      <c r="C43" s="94" t="s">
        <v>157</v>
      </c>
      <c r="D43" s="95" t="s">
        <v>183</v>
      </c>
      <c r="E43" s="344">
        <v>196.021</v>
      </c>
      <c r="F43" s="344">
        <v>235.73325</v>
      </c>
      <c r="G43" s="344">
        <v>262.58425</v>
      </c>
      <c r="H43" s="344">
        <v>290.9725</v>
      </c>
      <c r="I43" s="344">
        <v>228.9565</v>
      </c>
      <c r="J43" s="344">
        <v>237.68975</v>
      </c>
      <c r="K43" s="344">
        <v>225.087</v>
      </c>
      <c r="L43" s="344">
        <v>272.764</v>
      </c>
      <c r="M43" s="344">
        <v>346.122</v>
      </c>
      <c r="N43" s="344">
        <v>371.687</v>
      </c>
      <c r="O43" s="344">
        <v>475.997</v>
      </c>
      <c r="P43" s="344">
        <v>395.094</v>
      </c>
      <c r="Q43" s="606">
        <f t="shared" si="0"/>
        <v>-16.996535692451843</v>
      </c>
    </row>
    <row r="44" spans="1:17" ht="12.75">
      <c r="A44" s="209">
        <v>38</v>
      </c>
      <c r="B44" s="268"/>
      <c r="C44" s="267" t="s">
        <v>158</v>
      </c>
      <c r="D44" s="269" t="s">
        <v>186</v>
      </c>
      <c r="E44" s="343">
        <v>512.18075</v>
      </c>
      <c r="F44" s="343">
        <v>511.9705</v>
      </c>
      <c r="G44" s="343">
        <v>554.7735</v>
      </c>
      <c r="H44" s="343">
        <v>555.85025</v>
      </c>
      <c r="I44" s="343">
        <v>500.32175</v>
      </c>
      <c r="J44" s="343">
        <v>512.0215</v>
      </c>
      <c r="K44" s="343">
        <v>542.576</v>
      </c>
      <c r="L44" s="343">
        <v>486.52</v>
      </c>
      <c r="M44" s="343">
        <v>550.477</v>
      </c>
      <c r="N44" s="343">
        <v>502.847</v>
      </c>
      <c r="O44" s="343">
        <v>482.606</v>
      </c>
      <c r="P44" s="343">
        <v>392.625</v>
      </c>
      <c r="Q44" s="605">
        <f t="shared" si="0"/>
        <v>-18.64481585392639</v>
      </c>
    </row>
    <row r="45" spans="1:17" ht="12.75">
      <c r="A45" s="209">
        <v>39</v>
      </c>
      <c r="B45" s="93"/>
      <c r="C45" s="94" t="s">
        <v>328</v>
      </c>
      <c r="D45" s="95" t="s">
        <v>166</v>
      </c>
      <c r="E45" s="344">
        <v>157.8465</v>
      </c>
      <c r="F45" s="344">
        <v>168.4365</v>
      </c>
      <c r="G45" s="344">
        <v>206.663</v>
      </c>
      <c r="H45" s="344">
        <v>212.055</v>
      </c>
      <c r="I45" s="344">
        <v>179.82775</v>
      </c>
      <c r="J45" s="344">
        <v>254.55925</v>
      </c>
      <c r="K45" s="344">
        <v>303.00399999999996</v>
      </c>
      <c r="L45" s="344">
        <v>362.283</v>
      </c>
      <c r="M45" s="344">
        <v>381.005</v>
      </c>
      <c r="N45" s="344">
        <v>388.759</v>
      </c>
      <c r="O45" s="344">
        <v>355.417</v>
      </c>
      <c r="P45" s="344">
        <v>387.977</v>
      </c>
      <c r="Q45" s="606">
        <f t="shared" si="0"/>
        <v>9.161069954447882</v>
      </c>
    </row>
    <row r="46" spans="1:17" ht="12.75">
      <c r="A46" s="209">
        <v>40</v>
      </c>
      <c r="B46" s="268"/>
      <c r="C46" s="267" t="s">
        <v>436</v>
      </c>
      <c r="D46" s="269" t="s">
        <v>162</v>
      </c>
      <c r="E46" s="343">
        <v>320.778</v>
      </c>
      <c r="F46" s="343">
        <v>360.8055</v>
      </c>
      <c r="G46" s="343">
        <v>377.0395</v>
      </c>
      <c r="H46" s="343">
        <v>416.96675</v>
      </c>
      <c r="I46" s="343">
        <v>353.6785</v>
      </c>
      <c r="J46" s="343">
        <v>332.4565</v>
      </c>
      <c r="K46" s="343">
        <v>338.418</v>
      </c>
      <c r="L46" s="343">
        <v>301.601</v>
      </c>
      <c r="M46" s="343">
        <v>272.137</v>
      </c>
      <c r="N46" s="343">
        <v>300.209</v>
      </c>
      <c r="O46" s="343">
        <v>308.372</v>
      </c>
      <c r="P46" s="343">
        <v>360.806</v>
      </c>
      <c r="Q46" s="605">
        <f t="shared" si="0"/>
        <v>17.00348929215363</v>
      </c>
    </row>
    <row r="47" spans="1:17" ht="12.75">
      <c r="A47" s="209">
        <v>41</v>
      </c>
      <c r="B47" s="90"/>
      <c r="C47" s="91" t="s">
        <v>246</v>
      </c>
      <c r="D47" s="92" t="s">
        <v>177</v>
      </c>
      <c r="E47" s="342">
        <v>137.50125</v>
      </c>
      <c r="F47" s="342">
        <v>133.84625</v>
      </c>
      <c r="G47" s="342">
        <v>153.92269870628502</v>
      </c>
      <c r="H47" s="342">
        <v>155.7975</v>
      </c>
      <c r="I47" s="342">
        <v>178.46725</v>
      </c>
      <c r="J47" s="342">
        <v>252.43875</v>
      </c>
      <c r="K47" s="342">
        <v>263.55899999999997</v>
      </c>
      <c r="L47" s="342">
        <v>252.68599999999998</v>
      </c>
      <c r="M47" s="342">
        <v>248.812</v>
      </c>
      <c r="N47" s="342">
        <v>303.951</v>
      </c>
      <c r="O47" s="342">
        <v>331.64500000000004</v>
      </c>
      <c r="P47" s="342">
        <v>350.454</v>
      </c>
      <c r="Q47" s="604">
        <f t="shared" si="0"/>
        <v>5.67142577153281</v>
      </c>
    </row>
    <row r="48" spans="1:17" ht="12.75">
      <c r="A48" s="209">
        <v>42</v>
      </c>
      <c r="B48" s="268"/>
      <c r="C48" s="267" t="s">
        <v>450</v>
      </c>
      <c r="D48" s="269" t="s">
        <v>177</v>
      </c>
      <c r="E48" s="343">
        <v>152.701</v>
      </c>
      <c r="F48" s="343">
        <v>137.275</v>
      </c>
      <c r="G48" s="343">
        <v>144.735</v>
      </c>
      <c r="H48" s="343">
        <v>160.077</v>
      </c>
      <c r="I48" s="343">
        <v>133.264</v>
      </c>
      <c r="J48" s="343">
        <v>109.55</v>
      </c>
      <c r="K48" s="343">
        <v>125.58000000000001</v>
      </c>
      <c r="L48" s="343">
        <v>173.31300000000002</v>
      </c>
      <c r="M48" s="343">
        <v>151.894</v>
      </c>
      <c r="N48" s="343">
        <v>229.753</v>
      </c>
      <c r="O48" s="343">
        <v>288.866</v>
      </c>
      <c r="P48" s="343">
        <v>335.446</v>
      </c>
      <c r="Q48" s="605">
        <f t="shared" si="0"/>
        <v>16.12512375980559</v>
      </c>
    </row>
    <row r="49" spans="1:17" ht="12.75">
      <c r="A49" s="209">
        <v>43</v>
      </c>
      <c r="B49" s="93"/>
      <c r="C49" s="94" t="s">
        <v>205</v>
      </c>
      <c r="D49" s="95" t="s">
        <v>181</v>
      </c>
      <c r="E49" s="344">
        <v>201.568</v>
      </c>
      <c r="F49" s="344">
        <v>201.615</v>
      </c>
      <c r="G49" s="344">
        <v>194.777</v>
      </c>
      <c r="H49" s="344">
        <v>214.345</v>
      </c>
      <c r="I49" s="344">
        <v>211.974</v>
      </c>
      <c r="J49" s="344">
        <v>200.826</v>
      </c>
      <c r="K49" s="344">
        <v>270.981</v>
      </c>
      <c r="L49" s="344">
        <v>229.33599999999998</v>
      </c>
      <c r="M49" s="344">
        <v>269.536</v>
      </c>
      <c r="N49" s="344">
        <v>276.185</v>
      </c>
      <c r="O49" s="344">
        <v>292.137</v>
      </c>
      <c r="P49" s="344">
        <v>334.456</v>
      </c>
      <c r="Q49" s="606">
        <f t="shared" si="0"/>
        <v>14.486011699990087</v>
      </c>
    </row>
    <row r="50" spans="1:17" ht="12.75">
      <c r="A50" s="209">
        <v>44</v>
      </c>
      <c r="B50" s="268"/>
      <c r="C50" s="267" t="s">
        <v>383</v>
      </c>
      <c r="D50" s="269" t="s">
        <v>180</v>
      </c>
      <c r="E50" s="343">
        <v>410.562</v>
      </c>
      <c r="F50" s="343">
        <v>377.963</v>
      </c>
      <c r="G50" s="343">
        <v>486.697</v>
      </c>
      <c r="H50" s="343">
        <v>397.788</v>
      </c>
      <c r="I50" s="343">
        <v>346.254</v>
      </c>
      <c r="J50" s="343">
        <v>329.843</v>
      </c>
      <c r="K50" s="343">
        <v>311.047</v>
      </c>
      <c r="L50" s="343">
        <v>284.716</v>
      </c>
      <c r="M50" s="343">
        <v>277.005</v>
      </c>
      <c r="N50" s="343">
        <v>290.661</v>
      </c>
      <c r="O50" s="343">
        <v>308.663</v>
      </c>
      <c r="P50" s="343">
        <v>328.312</v>
      </c>
      <c r="Q50" s="605">
        <f t="shared" si="0"/>
        <v>6.365842358818526</v>
      </c>
    </row>
    <row r="51" spans="1:17" ht="12.75">
      <c r="A51" s="209">
        <v>45</v>
      </c>
      <c r="B51" s="93"/>
      <c r="C51" s="94" t="s">
        <v>247</v>
      </c>
      <c r="D51" s="95" t="s">
        <v>177</v>
      </c>
      <c r="E51" s="344">
        <v>207.253</v>
      </c>
      <c r="F51" s="344">
        <v>261.6235</v>
      </c>
      <c r="G51" s="344">
        <v>256.88494217136497</v>
      </c>
      <c r="H51" s="344">
        <v>274.37325</v>
      </c>
      <c r="I51" s="344">
        <v>231.81125</v>
      </c>
      <c r="J51" s="344">
        <v>216.58175</v>
      </c>
      <c r="K51" s="344">
        <v>245.045</v>
      </c>
      <c r="L51" s="344">
        <v>263.707</v>
      </c>
      <c r="M51" s="344">
        <v>260.619</v>
      </c>
      <c r="N51" s="344">
        <v>258.416</v>
      </c>
      <c r="O51" s="344">
        <v>244.40200000000002</v>
      </c>
      <c r="P51" s="344">
        <v>248.899</v>
      </c>
      <c r="Q51" s="606">
        <f t="shared" si="0"/>
        <v>1.8400013093182537</v>
      </c>
    </row>
    <row r="52" spans="1:17" ht="12.75">
      <c r="A52" s="209">
        <v>46</v>
      </c>
      <c r="B52" s="268"/>
      <c r="C52" s="267" t="s">
        <v>461</v>
      </c>
      <c r="D52" s="269" t="s">
        <v>177</v>
      </c>
      <c r="E52" s="343">
        <v>251.684</v>
      </c>
      <c r="F52" s="343">
        <v>267.166</v>
      </c>
      <c r="G52" s="343">
        <v>303.153</v>
      </c>
      <c r="H52" s="343">
        <v>262.32</v>
      </c>
      <c r="I52" s="343">
        <v>181.956</v>
      </c>
      <c r="J52" s="343">
        <v>202.1185</v>
      </c>
      <c r="K52" s="343">
        <v>219.70000000000002</v>
      </c>
      <c r="L52" s="343">
        <v>239.64100000000002</v>
      </c>
      <c r="M52" s="343">
        <v>254.511</v>
      </c>
      <c r="N52" s="343">
        <v>228.881</v>
      </c>
      <c r="O52" s="343">
        <v>237.893</v>
      </c>
      <c r="P52" s="343">
        <v>236.163</v>
      </c>
      <c r="Q52" s="605">
        <f t="shared" si="0"/>
        <v>-0.7272176987132752</v>
      </c>
    </row>
    <row r="53" spans="1:17" ht="12.75">
      <c r="A53" s="209">
        <v>47</v>
      </c>
      <c r="B53" s="93"/>
      <c r="C53" s="94" t="s">
        <v>462</v>
      </c>
      <c r="D53" s="95" t="s">
        <v>187</v>
      </c>
      <c r="E53" s="344">
        <v>118.557</v>
      </c>
      <c r="F53" s="344">
        <v>168.65</v>
      </c>
      <c r="G53" s="344">
        <v>174.866</v>
      </c>
      <c r="H53" s="344">
        <v>171.064</v>
      </c>
      <c r="I53" s="344">
        <v>143.139</v>
      </c>
      <c r="J53" s="344">
        <v>160.649</v>
      </c>
      <c r="K53" s="344">
        <v>189.778</v>
      </c>
      <c r="L53" s="344">
        <v>206.315</v>
      </c>
      <c r="M53" s="344">
        <v>231.737</v>
      </c>
      <c r="N53" s="344">
        <v>250.708</v>
      </c>
      <c r="O53" s="344">
        <v>235.01800000000003</v>
      </c>
      <c r="P53" s="344">
        <v>233.365</v>
      </c>
      <c r="Q53" s="606">
        <f t="shared" si="0"/>
        <v>-0.7033503816729052</v>
      </c>
    </row>
    <row r="54" spans="1:17" ht="12.75">
      <c r="A54" s="209">
        <v>48</v>
      </c>
      <c r="B54" s="268"/>
      <c r="C54" s="267" t="s">
        <v>584</v>
      </c>
      <c r="D54" s="269" t="s">
        <v>181</v>
      </c>
      <c r="E54" s="343">
        <v>80.089</v>
      </c>
      <c r="F54" s="343">
        <v>132.528</v>
      </c>
      <c r="G54" s="343">
        <v>93.29</v>
      </c>
      <c r="H54" s="343">
        <v>90.764</v>
      </c>
      <c r="I54" s="343">
        <v>87.015</v>
      </c>
      <c r="J54" s="343">
        <v>86.732</v>
      </c>
      <c r="K54" s="343">
        <v>90.926</v>
      </c>
      <c r="L54" s="343">
        <v>58.077</v>
      </c>
      <c r="M54" s="343">
        <v>44.158</v>
      </c>
      <c r="N54" s="343">
        <v>108.725</v>
      </c>
      <c r="O54" s="343">
        <v>113.047</v>
      </c>
      <c r="P54" s="343">
        <v>229.86</v>
      </c>
      <c r="Q54" s="605">
        <f t="shared" si="0"/>
        <v>103.3313577538546</v>
      </c>
    </row>
    <row r="55" spans="1:17" ht="12.75">
      <c r="A55" s="209">
        <v>49</v>
      </c>
      <c r="B55" s="93"/>
      <c r="C55" s="94" t="s">
        <v>463</v>
      </c>
      <c r="D55" s="95" t="s">
        <v>180</v>
      </c>
      <c r="E55" s="344">
        <v>43.773</v>
      </c>
      <c r="F55" s="344">
        <v>71.66</v>
      </c>
      <c r="G55" s="344">
        <v>101.929</v>
      </c>
      <c r="H55" s="344">
        <v>88.208</v>
      </c>
      <c r="I55" s="344">
        <v>67.075</v>
      </c>
      <c r="J55" s="344">
        <v>103.956</v>
      </c>
      <c r="K55" s="344">
        <v>130.963</v>
      </c>
      <c r="L55" s="344">
        <v>160.934</v>
      </c>
      <c r="M55" s="344">
        <v>193.969</v>
      </c>
      <c r="N55" s="344">
        <v>206.551</v>
      </c>
      <c r="O55" s="344">
        <v>214.639</v>
      </c>
      <c r="P55" s="344">
        <v>226.903</v>
      </c>
      <c r="Q55" s="606">
        <f t="shared" si="0"/>
        <v>5.713779881568584</v>
      </c>
    </row>
    <row r="56" spans="1:17" ht="12.75">
      <c r="A56" s="209">
        <v>50</v>
      </c>
      <c r="B56" s="268"/>
      <c r="C56" s="267" t="s">
        <v>430</v>
      </c>
      <c r="D56" s="269" t="s">
        <v>183</v>
      </c>
      <c r="E56" s="343">
        <v>64.118</v>
      </c>
      <c r="F56" s="343">
        <v>79.655</v>
      </c>
      <c r="G56" s="343">
        <v>110.105</v>
      </c>
      <c r="H56" s="343">
        <v>122.175</v>
      </c>
      <c r="I56" s="343">
        <v>167.833</v>
      </c>
      <c r="J56" s="343">
        <v>141.681</v>
      </c>
      <c r="K56" s="343">
        <v>135.63899999999998</v>
      </c>
      <c r="L56" s="343">
        <v>149.017</v>
      </c>
      <c r="M56" s="343">
        <v>158.646</v>
      </c>
      <c r="N56" s="343">
        <v>203.56199999999998</v>
      </c>
      <c r="O56" s="343">
        <v>209.439</v>
      </c>
      <c r="P56" s="393">
        <v>223.892</v>
      </c>
      <c r="Q56" s="605">
        <f t="shared" si="0"/>
        <v>6.900815989381144</v>
      </c>
    </row>
    <row r="57" spans="1:17" ht="12.75">
      <c r="A57" s="211">
        <v>51</v>
      </c>
      <c r="B57" s="766"/>
      <c r="C57" s="659" t="s">
        <v>137</v>
      </c>
      <c r="D57" s="660" t="s">
        <v>183</v>
      </c>
      <c r="E57" s="497">
        <v>152.831</v>
      </c>
      <c r="F57" s="497">
        <v>144.75</v>
      </c>
      <c r="G57" s="497">
        <v>184.195</v>
      </c>
      <c r="H57" s="497">
        <v>202.655</v>
      </c>
      <c r="I57" s="497">
        <v>218.222</v>
      </c>
      <c r="J57" s="497">
        <v>142.337</v>
      </c>
      <c r="K57" s="497">
        <v>102.257</v>
      </c>
      <c r="L57" s="497">
        <v>191.827</v>
      </c>
      <c r="M57" s="497">
        <v>203.455</v>
      </c>
      <c r="N57" s="497">
        <v>177.045</v>
      </c>
      <c r="O57" s="497">
        <v>210.247</v>
      </c>
      <c r="P57" s="497">
        <v>221.878</v>
      </c>
      <c r="Q57" s="661">
        <f t="shared" si="0"/>
        <v>5.532064666796657</v>
      </c>
    </row>
    <row r="58" ht="12.75">
      <c r="C58" s="20" t="s">
        <v>465</v>
      </c>
    </row>
    <row r="79" spans="5:6" ht="12.75">
      <c r="E79" s="261"/>
      <c r="F79" s="262"/>
    </row>
    <row r="80" spans="5:6" ht="12.75">
      <c r="E80" s="261"/>
      <c r="F80" s="261"/>
    </row>
    <row r="82" spans="5:6" ht="12.75">
      <c r="E82" s="261"/>
      <c r="F82" s="261"/>
    </row>
    <row r="83" spans="5:6" ht="12.75">
      <c r="E83" s="261"/>
      <c r="F83" s="261"/>
    </row>
    <row r="84" spans="5:6" ht="12.75">
      <c r="E84" s="261"/>
      <c r="F84" s="261"/>
    </row>
    <row r="85" spans="5:6" ht="12.75">
      <c r="E85" s="261"/>
      <c r="F85" s="261"/>
    </row>
    <row r="86" spans="5:6" ht="12.75">
      <c r="E86" s="261"/>
      <c r="F86" s="261"/>
    </row>
    <row r="89" spans="6:16" ht="12.75">
      <c r="F89" s="658"/>
      <c r="G89" s="658"/>
      <c r="H89" s="658"/>
      <c r="I89" s="658"/>
      <c r="J89" s="658"/>
      <c r="K89" s="658"/>
      <c r="L89" s="658"/>
      <c r="M89" s="658"/>
      <c r="N89" s="658"/>
      <c r="O89" s="658"/>
      <c r="P89" s="658"/>
    </row>
    <row r="90" spans="6:16" ht="12.75">
      <c r="F90" s="658"/>
      <c r="G90" s="658"/>
      <c r="H90" s="658"/>
      <c r="I90" s="658"/>
      <c r="J90" s="658"/>
      <c r="K90" s="658"/>
      <c r="L90" s="658"/>
      <c r="M90" s="658"/>
      <c r="N90" s="658"/>
      <c r="O90" s="658"/>
      <c r="P90" s="658"/>
    </row>
    <row r="91" spans="6:16" ht="12.75">
      <c r="F91" s="658"/>
      <c r="G91" s="658"/>
      <c r="H91" s="658"/>
      <c r="I91" s="658"/>
      <c r="J91" s="658"/>
      <c r="K91" s="658"/>
      <c r="L91" s="658"/>
      <c r="M91" s="658"/>
      <c r="N91" s="658"/>
      <c r="O91" s="658"/>
      <c r="P91" s="658"/>
    </row>
  </sheetData>
  <sheetProtection/>
  <mergeCells count="5">
    <mergeCell ref="B1:C1"/>
    <mergeCell ref="A4:A6"/>
    <mergeCell ref="C4:C5"/>
    <mergeCell ref="B2:Q2"/>
    <mergeCell ref="C3:Q3"/>
  </mergeCells>
  <printOptions horizontalCentered="1"/>
  <pageMargins left="0.6692913385826772" right="0.6692913385826772" top="0.5118110236220472" bottom="0.2755905511811024" header="0" footer="0"/>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T33"/>
  <sheetViews>
    <sheetView tabSelected="1" zoomScalePageLayoutView="0" workbookViewId="0" topLeftCell="A1">
      <selection activeCell="O21" sqref="O21"/>
    </sheetView>
  </sheetViews>
  <sheetFormatPr defaultColWidth="9.140625" defaultRowHeight="12.75"/>
  <cols>
    <col min="1" max="1" width="3.00390625" style="0" customWidth="1"/>
    <col min="2" max="2" width="5.7109375" style="0" customWidth="1"/>
  </cols>
  <sheetData>
    <row r="1" spans="9:11" ht="14.25" customHeight="1">
      <c r="I1" s="32" t="s">
        <v>407</v>
      </c>
      <c r="J1" s="32"/>
      <c r="K1" s="32"/>
    </row>
    <row r="2" spans="1:11" ht="30" customHeight="1">
      <c r="A2" s="151"/>
      <c r="B2" s="1016" t="s">
        <v>275</v>
      </c>
      <c r="C2" s="1016"/>
      <c r="D2" s="1016"/>
      <c r="E2" s="1016"/>
      <c r="F2" s="1016"/>
      <c r="G2" s="1016"/>
      <c r="H2" s="1016"/>
      <c r="I2" s="1016"/>
      <c r="J2" s="151"/>
      <c r="K2" s="151"/>
    </row>
    <row r="3" spans="2:9" ht="24.75" customHeight="1">
      <c r="B3" s="943" t="s">
        <v>276</v>
      </c>
      <c r="C3" s="1013"/>
      <c r="D3" s="1013"/>
      <c r="E3" s="1013"/>
      <c r="F3" s="1013"/>
      <c r="G3" s="1013"/>
      <c r="H3" s="1013"/>
      <c r="I3" s="1017"/>
    </row>
    <row r="4" spans="2:9" ht="15" customHeight="1">
      <c r="B4" s="159" t="s">
        <v>146</v>
      </c>
      <c r="C4" s="1023" t="s">
        <v>258</v>
      </c>
      <c r="D4" s="1024"/>
      <c r="E4" s="1024"/>
      <c r="F4" s="1025"/>
      <c r="G4" s="1023" t="s">
        <v>11</v>
      </c>
      <c r="H4" s="1024"/>
      <c r="I4" s="1025"/>
    </row>
    <row r="5" spans="2:9" ht="15" customHeight="1">
      <c r="B5" s="105"/>
      <c r="C5" s="494"/>
      <c r="D5" s="495"/>
      <c r="E5" s="155"/>
      <c r="F5" s="155"/>
      <c r="G5" s="977" t="s">
        <v>458</v>
      </c>
      <c r="H5" s="1021"/>
      <c r="I5" s="1022"/>
    </row>
    <row r="6" spans="2:9" ht="14.25" customHeight="1">
      <c r="B6" s="105"/>
      <c r="C6" s="109"/>
      <c r="D6" s="1026" t="s">
        <v>512</v>
      </c>
      <c r="E6" s="1027"/>
      <c r="F6" s="1028"/>
      <c r="G6" s="1029" t="s">
        <v>147</v>
      </c>
      <c r="H6" s="1031" t="s">
        <v>508</v>
      </c>
      <c r="I6" s="1033" t="s">
        <v>585</v>
      </c>
    </row>
    <row r="7" spans="2:9" ht="38.25" customHeight="1">
      <c r="B7" s="104"/>
      <c r="C7" s="317" t="s">
        <v>513</v>
      </c>
      <c r="D7" s="489" t="s">
        <v>509</v>
      </c>
      <c r="E7" s="490" t="s">
        <v>510</v>
      </c>
      <c r="F7" s="490" t="s">
        <v>511</v>
      </c>
      <c r="G7" s="1030"/>
      <c r="H7" s="1032"/>
      <c r="I7" s="1034"/>
    </row>
    <row r="8" spans="2:9" ht="12.75" customHeight="1">
      <c r="B8" s="107">
        <v>1990</v>
      </c>
      <c r="C8" s="242">
        <v>18.68</v>
      </c>
      <c r="D8" s="491">
        <v>0.01</v>
      </c>
      <c r="E8" s="491">
        <v>0.6799999999999999</v>
      </c>
      <c r="F8" s="491">
        <v>0.31</v>
      </c>
      <c r="G8" s="243">
        <v>0.20434677161069192</v>
      </c>
      <c r="H8" s="244">
        <v>0.18106900599225426</v>
      </c>
      <c r="I8" s="245">
        <v>0.6145842223970538</v>
      </c>
    </row>
    <row r="9" spans="2:9" ht="12.75" customHeight="1">
      <c r="B9" s="106">
        <v>1995</v>
      </c>
      <c r="C9" s="103">
        <v>24.97</v>
      </c>
      <c r="D9" s="483">
        <v>0.02</v>
      </c>
      <c r="E9" s="483">
        <v>0.56</v>
      </c>
      <c r="F9" s="483">
        <v>0.42</v>
      </c>
      <c r="G9" s="100">
        <v>0.1386863889501066</v>
      </c>
      <c r="H9" s="101">
        <v>0.19336570580995985</v>
      </c>
      <c r="I9" s="102">
        <v>0.6679479052399335</v>
      </c>
    </row>
    <row r="10" spans="2:11" ht="12.75" customHeight="1">
      <c r="B10" s="106">
        <v>2000</v>
      </c>
      <c r="C10" s="103">
        <v>35.18</v>
      </c>
      <c r="D10" s="483">
        <v>0.02</v>
      </c>
      <c r="E10" s="483">
        <v>0.71</v>
      </c>
      <c r="F10" s="483">
        <v>0.27</v>
      </c>
      <c r="G10" s="100">
        <v>0.0875794073628215</v>
      </c>
      <c r="H10" s="101">
        <v>0.2340636234972589</v>
      </c>
      <c r="I10" s="102">
        <v>0.6783569691399197</v>
      </c>
      <c r="J10" s="483"/>
      <c r="K10" s="483"/>
    </row>
    <row r="11" spans="2:11" ht="12.75" customHeight="1">
      <c r="B11" s="106">
        <v>2005</v>
      </c>
      <c r="C11" s="103">
        <v>38.84</v>
      </c>
      <c r="D11" s="483">
        <v>0.03</v>
      </c>
      <c r="E11" s="483">
        <v>0.63</v>
      </c>
      <c r="F11" s="483">
        <v>0.34</v>
      </c>
      <c r="G11" s="100">
        <v>0.06684179837148674</v>
      </c>
      <c r="H11" s="101">
        <v>0.12845161844237765</v>
      </c>
      <c r="I11" s="102">
        <v>0.8047065831861356</v>
      </c>
      <c r="J11" s="483"/>
      <c r="K11" s="483"/>
    </row>
    <row r="12" spans="2:11" ht="12.75" customHeight="1">
      <c r="B12" s="160">
        <v>2006</v>
      </c>
      <c r="C12" s="103">
        <v>45.39</v>
      </c>
      <c r="D12" s="483">
        <v>0.03</v>
      </c>
      <c r="E12" s="483">
        <v>0.53</v>
      </c>
      <c r="F12" s="483">
        <v>0.44</v>
      </c>
      <c r="G12" s="100">
        <v>0.07351666874559148</v>
      </c>
      <c r="H12" s="101">
        <v>0.14054819591640294</v>
      </c>
      <c r="I12" s="102">
        <v>0.7859351353380056</v>
      </c>
      <c r="J12" s="483"/>
      <c r="K12" s="483"/>
    </row>
    <row r="13" spans="2:11" ht="12.75" customHeight="1">
      <c r="B13" s="160">
        <v>2007</v>
      </c>
      <c r="C13" s="103">
        <v>46.07</v>
      </c>
      <c r="D13" s="483">
        <v>0.03</v>
      </c>
      <c r="E13" s="483">
        <v>0.5599999999999999</v>
      </c>
      <c r="F13" s="483">
        <v>0.41</v>
      </c>
      <c r="G13" s="100">
        <v>0.07484056963776649</v>
      </c>
      <c r="H13" s="101">
        <v>0.13204989732579678</v>
      </c>
      <c r="I13" s="102">
        <v>0.7931095330364367</v>
      </c>
      <c r="J13" s="483"/>
      <c r="K13" s="483"/>
    </row>
    <row r="14" spans="2:11" ht="12.75" customHeight="1">
      <c r="B14" s="160">
        <v>2008</v>
      </c>
      <c r="C14" s="103">
        <v>45.97</v>
      </c>
      <c r="D14" s="483">
        <v>0.03</v>
      </c>
      <c r="E14" s="483">
        <v>0.52</v>
      </c>
      <c r="F14" s="483">
        <v>0.45</v>
      </c>
      <c r="G14" s="100">
        <v>0.08237759318779479</v>
      </c>
      <c r="H14" s="101">
        <v>0.14323830195767417</v>
      </c>
      <c r="I14" s="102">
        <v>0.774384104854531</v>
      </c>
      <c r="J14" s="483"/>
      <c r="K14" s="483"/>
    </row>
    <row r="15" spans="2:11" ht="12.75" customHeight="1">
      <c r="B15" s="160">
        <v>2009</v>
      </c>
      <c r="C15" s="103">
        <v>38.9</v>
      </c>
      <c r="D15" s="483">
        <v>0.04</v>
      </c>
      <c r="E15" s="483">
        <v>0.52</v>
      </c>
      <c r="F15" s="483">
        <v>0.44</v>
      </c>
      <c r="G15" s="100">
        <v>0.07798892188298893</v>
      </c>
      <c r="H15" s="101">
        <v>0.1475970506136749</v>
      </c>
      <c r="I15" s="102">
        <v>0.7744140275033362</v>
      </c>
      <c r="J15" s="483"/>
      <c r="K15" s="483"/>
    </row>
    <row r="16" spans="2:11" ht="12.75" customHeight="1">
      <c r="B16" s="160">
        <v>2010</v>
      </c>
      <c r="C16" s="103">
        <v>42.37</v>
      </c>
      <c r="D16" s="483">
        <v>0.05</v>
      </c>
      <c r="E16" s="483">
        <v>0.58</v>
      </c>
      <c r="F16" s="483">
        <v>0.37</v>
      </c>
      <c r="G16" s="100">
        <v>0.09926770080488573</v>
      </c>
      <c r="H16" s="101">
        <v>0.14789573273636406</v>
      </c>
      <c r="I16" s="102">
        <v>0.7528365664587501</v>
      </c>
      <c r="J16" s="483"/>
      <c r="K16" s="483"/>
    </row>
    <row r="17" spans="2:20" ht="12.75" customHeight="1" thickBot="1">
      <c r="B17" s="160">
        <v>2011</v>
      </c>
      <c r="C17" s="492">
        <v>42.58</v>
      </c>
      <c r="D17" s="493">
        <v>0.07</v>
      </c>
      <c r="E17" s="483">
        <v>0.56</v>
      </c>
      <c r="F17" s="483">
        <v>0.37</v>
      </c>
      <c r="G17" s="100">
        <v>0.10357180942373516</v>
      </c>
      <c r="H17" s="101">
        <v>0.1386052055264828</v>
      </c>
      <c r="I17" s="102">
        <v>0.757822985049782</v>
      </c>
      <c r="J17" s="483"/>
      <c r="K17" s="483"/>
      <c r="L17" s="658"/>
      <c r="M17" s="658"/>
      <c r="N17" s="658"/>
      <c r="O17" s="658"/>
      <c r="P17" s="658"/>
      <c r="Q17" s="658"/>
      <c r="R17" s="658"/>
      <c r="S17" s="658"/>
      <c r="T17" s="658"/>
    </row>
    <row r="18" spans="2:11" ht="12.75" customHeight="1" thickTop="1">
      <c r="B18" s="628">
        <v>2012</v>
      </c>
      <c r="C18" s="496">
        <v>39.09</v>
      </c>
      <c r="D18" s="629">
        <v>0.03</v>
      </c>
      <c r="E18" s="630">
        <v>0.59</v>
      </c>
      <c r="F18" s="630">
        <v>0.38</v>
      </c>
      <c r="G18" s="631">
        <v>0.13189489116201392</v>
      </c>
      <c r="H18" s="484">
        <v>0.05067837916484796</v>
      </c>
      <c r="I18" s="632">
        <v>0.8174267296731381</v>
      </c>
      <c r="J18" s="483"/>
      <c r="K18" s="483"/>
    </row>
    <row r="19" spans="2:11" ht="12.75" customHeight="1">
      <c r="B19" s="160">
        <v>2013</v>
      </c>
      <c r="C19" s="492">
        <v>40.74</v>
      </c>
      <c r="D19" s="493">
        <v>0.02</v>
      </c>
      <c r="E19" s="483">
        <v>0.6</v>
      </c>
      <c r="F19" s="483">
        <v>0.38</v>
      </c>
      <c r="G19" s="627">
        <v>0.14188930251894405</v>
      </c>
      <c r="H19" s="101">
        <v>0.05159356752773106</v>
      </c>
      <c r="I19" s="102">
        <v>0.8065171299533249</v>
      </c>
      <c r="J19" s="483"/>
      <c r="K19" s="483"/>
    </row>
    <row r="20" spans="2:11" ht="12.75" customHeight="1">
      <c r="B20" s="160">
        <v>2014</v>
      </c>
      <c r="C20" s="492">
        <v>52.17</v>
      </c>
      <c r="D20" s="493">
        <v>0.02</v>
      </c>
      <c r="E20" s="483">
        <v>0.53</v>
      </c>
      <c r="F20" s="483">
        <v>0.45</v>
      </c>
      <c r="G20" s="627">
        <v>0.12861867934739818</v>
      </c>
      <c r="H20" s="101">
        <v>0.05466047383925272</v>
      </c>
      <c r="I20" s="102">
        <v>0.8167208468133491</v>
      </c>
      <c r="J20" s="483"/>
      <c r="K20" s="483"/>
    </row>
    <row r="21" spans="2:11" ht="12.75" customHeight="1">
      <c r="B21" s="160">
        <v>2015</v>
      </c>
      <c r="C21" s="492">
        <v>54.98</v>
      </c>
      <c r="D21" s="493">
        <v>0.01</v>
      </c>
      <c r="E21" s="483">
        <v>0.5</v>
      </c>
      <c r="F21" s="483">
        <v>0.49</v>
      </c>
      <c r="G21" s="627">
        <v>0.13288326261869543</v>
      </c>
      <c r="H21" s="101">
        <v>0.050606187545301114</v>
      </c>
      <c r="I21" s="102">
        <v>0.8165105498360035</v>
      </c>
      <c r="J21" s="483"/>
      <c r="K21" s="483"/>
    </row>
    <row r="22" spans="2:11" ht="12.75" customHeight="1">
      <c r="B22" s="767">
        <v>2016</v>
      </c>
      <c r="C22" s="492">
        <v>58.96</v>
      </c>
      <c r="D22" s="483">
        <v>0.01</v>
      </c>
      <c r="E22" s="488">
        <v>0.46</v>
      </c>
      <c r="F22" s="102">
        <v>0.53</v>
      </c>
      <c r="G22" s="483">
        <v>0.15555595961465984</v>
      </c>
      <c r="H22" s="483">
        <v>0.04454387971674722</v>
      </c>
      <c r="I22" s="102">
        <v>0.7999001606685929</v>
      </c>
      <c r="J22" s="483"/>
      <c r="K22" s="483"/>
    </row>
    <row r="23" spans="2:11" ht="12.75" customHeight="1">
      <c r="B23" s="692">
        <v>2017</v>
      </c>
      <c r="C23" s="485">
        <v>64.09</v>
      </c>
      <c r="D23" s="486">
        <v>0.01</v>
      </c>
      <c r="E23" s="693">
        <v>0.42</v>
      </c>
      <c r="F23" s="487">
        <v>0.57</v>
      </c>
      <c r="G23" s="486">
        <v>0.1398743359730907</v>
      </c>
      <c r="H23" s="486">
        <v>0.04327595279967128</v>
      </c>
      <c r="I23" s="487">
        <v>0.816849711227238</v>
      </c>
      <c r="J23" s="483"/>
      <c r="K23" s="483"/>
    </row>
    <row r="24" spans="2:11" ht="11.25" customHeight="1">
      <c r="B24" s="1018" t="s">
        <v>274</v>
      </c>
      <c r="C24" s="1018"/>
      <c r="D24" s="1018"/>
      <c r="E24" s="1018"/>
      <c r="F24" s="1018"/>
      <c r="G24" s="1018"/>
      <c r="H24" s="1018"/>
      <c r="I24" s="1018"/>
      <c r="J24" s="483"/>
      <c r="K24" s="483"/>
    </row>
    <row r="25" spans="2:11" ht="47.25" customHeight="1">
      <c r="B25" s="1019" t="s">
        <v>507</v>
      </c>
      <c r="C25" s="1020"/>
      <c r="D25" s="1020"/>
      <c r="E25" s="1020"/>
      <c r="F25" s="1020"/>
      <c r="G25" s="1020"/>
      <c r="H25" s="1020"/>
      <c r="I25" s="1020"/>
      <c r="J25" s="483"/>
      <c r="K25" s="483"/>
    </row>
    <row r="26" spans="2:11" ht="12.75" customHeight="1">
      <c r="B26" s="1035" t="s">
        <v>622</v>
      </c>
      <c r="C26" s="1035"/>
      <c r="D26" s="1035"/>
      <c r="E26" s="1035"/>
      <c r="F26" s="1035"/>
      <c r="G26" s="1035"/>
      <c r="H26" s="1035"/>
      <c r="I26" s="1035"/>
      <c r="J26" s="483"/>
      <c r="K26" s="483"/>
    </row>
    <row r="27" spans="2:11" ht="12.75" customHeight="1">
      <c r="B27" s="1015" t="s">
        <v>549</v>
      </c>
      <c r="C27" s="1001"/>
      <c r="D27" s="1001"/>
      <c r="E27" s="1001"/>
      <c r="F27" s="1001"/>
      <c r="G27" s="1001"/>
      <c r="H27" s="1001"/>
      <c r="I27" s="1001"/>
      <c r="J27" s="483"/>
      <c r="K27" s="483"/>
    </row>
    <row r="28" spans="10:11" ht="15" customHeight="1">
      <c r="J28" s="483"/>
      <c r="K28" s="483"/>
    </row>
    <row r="29" spans="10:11" ht="15" customHeight="1">
      <c r="J29" s="483"/>
      <c r="K29" s="483"/>
    </row>
    <row r="30" ht="12.75" customHeight="1"/>
    <row r="31" spans="1:11" ht="12.75" customHeight="1">
      <c r="A31" s="152"/>
      <c r="J31" s="153"/>
      <c r="K31" s="153"/>
    </row>
    <row r="32" spans="1:11" ht="60" customHeight="1">
      <c r="A32" s="153"/>
      <c r="J32" s="456"/>
      <c r="K32" s="456"/>
    </row>
    <row r="33" spans="10:11" ht="12.75">
      <c r="J33" s="152"/>
      <c r="K33" s="152"/>
    </row>
    <row r="34" ht="15.75" customHeight="1"/>
    <row r="35" ht="21" customHeight="1"/>
  </sheetData>
  <sheetProtection/>
  <mergeCells count="13">
    <mergeCell ref="I6:I7"/>
    <mergeCell ref="C4:F4"/>
    <mergeCell ref="B26:I26"/>
    <mergeCell ref="B27:I27"/>
    <mergeCell ref="B2:I2"/>
    <mergeCell ref="B3:I3"/>
    <mergeCell ref="B24:I24"/>
    <mergeCell ref="B25:I25"/>
    <mergeCell ref="G5:I5"/>
    <mergeCell ref="G4:I4"/>
    <mergeCell ref="D6:F6"/>
    <mergeCell ref="G6:G7"/>
    <mergeCell ref="H6:H7"/>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G64"/>
  <sheetViews>
    <sheetView zoomScalePageLayoutView="0" workbookViewId="0" topLeftCell="A16">
      <selection activeCell="I63" sqref="I63"/>
    </sheetView>
  </sheetViews>
  <sheetFormatPr defaultColWidth="9.140625" defaultRowHeight="12.75"/>
  <cols>
    <col min="1" max="1" width="1.1484375" style="0" customWidth="1"/>
    <col min="2" max="2" width="8.28125" style="0" customWidth="1"/>
    <col min="3" max="7" width="10.7109375" style="0" customWidth="1"/>
  </cols>
  <sheetData>
    <row r="1" spans="2:7" ht="14.25" customHeight="1">
      <c r="B1" s="31"/>
      <c r="C1" s="31"/>
      <c r="D1" s="16"/>
      <c r="E1" s="16"/>
      <c r="F1" s="16"/>
      <c r="G1" s="10" t="s">
        <v>0</v>
      </c>
    </row>
    <row r="2" spans="2:7" s="9" customFormat="1" ht="30" customHeight="1">
      <c r="B2" s="933" t="s">
        <v>306</v>
      </c>
      <c r="C2" s="933"/>
      <c r="D2" s="933"/>
      <c r="E2" s="933"/>
      <c r="F2" s="933"/>
      <c r="G2" s="933"/>
    </row>
    <row r="3" spans="2:7" ht="18" customHeight="1">
      <c r="B3" s="34"/>
      <c r="C3" s="943" t="s">
        <v>309</v>
      </c>
      <c r="D3" s="1013"/>
      <c r="E3" s="1013"/>
      <c r="F3" s="1013"/>
      <c r="G3" s="1017"/>
    </row>
    <row r="4" spans="2:7" ht="14.25" customHeight="1">
      <c r="B4" s="111"/>
      <c r="C4" s="1036" t="s">
        <v>117</v>
      </c>
      <c r="D4" s="1037"/>
      <c r="E4" s="1037"/>
      <c r="F4" s="1037"/>
      <c r="G4" s="1038"/>
    </row>
    <row r="5" spans="2:7" ht="15" customHeight="1">
      <c r="B5" s="33"/>
      <c r="C5" s="116" t="s">
        <v>151</v>
      </c>
      <c r="D5" s="117"/>
      <c r="E5" s="118" t="s">
        <v>194</v>
      </c>
      <c r="F5" s="119" t="s">
        <v>195</v>
      </c>
      <c r="G5" s="120" t="s">
        <v>206</v>
      </c>
    </row>
    <row r="6" spans="2:7" ht="12.75" customHeight="1">
      <c r="B6" s="33"/>
      <c r="C6" s="221" t="s">
        <v>149</v>
      </c>
      <c r="D6" s="219" t="s">
        <v>152</v>
      </c>
      <c r="E6" s="222" t="s">
        <v>150</v>
      </c>
      <c r="F6" s="309" t="s">
        <v>379</v>
      </c>
      <c r="G6" s="66"/>
    </row>
    <row r="7" spans="2:7" ht="12.75" customHeight="1">
      <c r="B7" s="33"/>
      <c r="C7" s="221"/>
      <c r="D7" s="218" t="s">
        <v>153</v>
      </c>
      <c r="E7" s="222" t="s">
        <v>378</v>
      </c>
      <c r="F7" s="222" t="s">
        <v>380</v>
      </c>
      <c r="G7" s="66"/>
    </row>
    <row r="8" spans="2:7" ht="12.75" customHeight="1">
      <c r="B8" s="33"/>
      <c r="C8" s="221"/>
      <c r="D8" s="218" t="s">
        <v>308</v>
      </c>
      <c r="E8" s="222"/>
      <c r="F8" s="220" t="s">
        <v>307</v>
      </c>
      <c r="G8" s="78"/>
    </row>
    <row r="9" spans="2:7" ht="12.75" customHeight="1">
      <c r="B9" s="107">
        <v>1985</v>
      </c>
      <c r="C9" s="411">
        <v>1.9</v>
      </c>
      <c r="D9" s="412">
        <v>0.8</v>
      </c>
      <c r="E9" s="412">
        <v>15</v>
      </c>
      <c r="F9" s="413">
        <v>12.3</v>
      </c>
      <c r="G9" s="162">
        <f aca="true" t="shared" si="0" ref="G9:G33">SUM(C9:F9)</f>
        <v>30</v>
      </c>
    </row>
    <row r="10" spans="2:7" ht="12.75" customHeight="1">
      <c r="B10" s="106">
        <v>1990</v>
      </c>
      <c r="C10" s="414">
        <v>3.1</v>
      </c>
      <c r="D10" s="415">
        <v>1.1</v>
      </c>
      <c r="E10" s="415">
        <v>14.6</v>
      </c>
      <c r="F10" s="416">
        <v>21.8</v>
      </c>
      <c r="G10" s="108">
        <f t="shared" si="0"/>
        <v>40.6</v>
      </c>
    </row>
    <row r="11" spans="2:7" ht="12.75" customHeight="1">
      <c r="B11" s="106">
        <v>1994</v>
      </c>
      <c r="C11" s="414">
        <v>5.1</v>
      </c>
      <c r="D11" s="415">
        <v>1.1</v>
      </c>
      <c r="E11" s="415">
        <v>18.4</v>
      </c>
      <c r="F11" s="416">
        <v>26.5</v>
      </c>
      <c r="G11" s="108">
        <f t="shared" si="0"/>
        <v>51.099999999999994</v>
      </c>
    </row>
    <row r="12" spans="2:7" ht="12.75" customHeight="1">
      <c r="B12" s="106">
        <v>1995</v>
      </c>
      <c r="C12" s="414">
        <v>5.5</v>
      </c>
      <c r="D12" s="415">
        <v>1.1</v>
      </c>
      <c r="E12" s="415">
        <v>21</v>
      </c>
      <c r="F12" s="416">
        <v>25.8</v>
      </c>
      <c r="G12" s="108">
        <f t="shared" si="0"/>
        <v>53.400000000000006</v>
      </c>
    </row>
    <row r="13" spans="2:7" ht="12.75" customHeight="1">
      <c r="B13" s="106">
        <v>1996</v>
      </c>
      <c r="C13" s="414">
        <v>5.9</v>
      </c>
      <c r="D13" s="415">
        <v>1.2</v>
      </c>
      <c r="E13" s="415">
        <v>20.1</v>
      </c>
      <c r="F13" s="416">
        <v>25</v>
      </c>
      <c r="G13" s="108">
        <f t="shared" si="0"/>
        <v>52.2</v>
      </c>
    </row>
    <row r="14" spans="2:7" ht="12.75" customHeight="1">
      <c r="B14" s="106">
        <v>1997</v>
      </c>
      <c r="C14" s="414">
        <v>6</v>
      </c>
      <c r="D14" s="415">
        <v>1</v>
      </c>
      <c r="E14" s="415">
        <v>21.3</v>
      </c>
      <c r="F14" s="416">
        <v>25.3</v>
      </c>
      <c r="G14" s="108">
        <f t="shared" si="0"/>
        <v>53.6</v>
      </c>
    </row>
    <row r="15" spans="2:7" ht="12.75" customHeight="1" thickBot="1">
      <c r="B15" s="106">
        <v>1998</v>
      </c>
      <c r="C15" s="414">
        <v>6.5</v>
      </c>
      <c r="D15" s="415">
        <v>1.2</v>
      </c>
      <c r="E15" s="415">
        <v>23.9</v>
      </c>
      <c r="F15" s="416">
        <v>26.3</v>
      </c>
      <c r="G15" s="108">
        <f t="shared" si="0"/>
        <v>57.9</v>
      </c>
    </row>
    <row r="16" spans="2:7" ht="12.75" customHeight="1" thickTop="1">
      <c r="B16" s="106">
        <v>1999</v>
      </c>
      <c r="C16" s="414">
        <v>7</v>
      </c>
      <c r="D16" s="415">
        <v>1.4</v>
      </c>
      <c r="E16" s="415">
        <v>26.4</v>
      </c>
      <c r="F16" s="417">
        <v>27.3</v>
      </c>
      <c r="G16" s="285">
        <f t="shared" si="0"/>
        <v>62.099999999999994</v>
      </c>
    </row>
    <row r="17" spans="2:7" ht="12.75" customHeight="1">
      <c r="B17" s="106">
        <v>2000</v>
      </c>
      <c r="C17" s="414">
        <v>7.6</v>
      </c>
      <c r="D17" s="415">
        <v>1.3</v>
      </c>
      <c r="E17" s="415">
        <v>26.6</v>
      </c>
      <c r="F17" s="416">
        <v>27.2</v>
      </c>
      <c r="G17" s="108">
        <f t="shared" si="0"/>
        <v>62.7</v>
      </c>
    </row>
    <row r="18" spans="2:7" ht="12.75" customHeight="1">
      <c r="B18" s="106">
        <v>2001</v>
      </c>
      <c r="C18" s="414">
        <v>7.4</v>
      </c>
      <c r="D18" s="415">
        <v>3</v>
      </c>
      <c r="E18" s="415">
        <v>26.3</v>
      </c>
      <c r="F18" s="416">
        <v>27.2</v>
      </c>
      <c r="G18" s="108">
        <f t="shared" si="0"/>
        <v>63.900000000000006</v>
      </c>
    </row>
    <row r="19" spans="2:7" ht="12.75" customHeight="1">
      <c r="B19" s="106">
        <v>2002</v>
      </c>
      <c r="C19" s="414">
        <v>7.5</v>
      </c>
      <c r="D19" s="415">
        <v>3</v>
      </c>
      <c r="E19" s="418">
        <v>27.3</v>
      </c>
      <c r="F19" s="419">
        <v>26.3</v>
      </c>
      <c r="G19" s="108">
        <f t="shared" si="0"/>
        <v>64.1</v>
      </c>
    </row>
    <row r="20" spans="2:7" ht="12.75" customHeight="1">
      <c r="B20" s="106">
        <v>2003</v>
      </c>
      <c r="C20" s="414">
        <v>9.2</v>
      </c>
      <c r="D20" s="415">
        <v>2.4</v>
      </c>
      <c r="E20" s="415">
        <v>28.7</v>
      </c>
      <c r="F20" s="416">
        <v>25.8</v>
      </c>
      <c r="G20" s="108">
        <f t="shared" si="0"/>
        <v>66.1</v>
      </c>
    </row>
    <row r="21" spans="2:7" ht="12.75" customHeight="1">
      <c r="B21" s="106">
        <v>2004</v>
      </c>
      <c r="C21" s="414">
        <v>9.9</v>
      </c>
      <c r="D21" s="415">
        <v>2.6</v>
      </c>
      <c r="E21" s="415">
        <v>33.5</v>
      </c>
      <c r="F21" s="416">
        <v>22.3</v>
      </c>
      <c r="G21" s="108">
        <f t="shared" si="0"/>
        <v>68.3</v>
      </c>
    </row>
    <row r="22" spans="2:7" ht="12.75" customHeight="1">
      <c r="B22" s="106">
        <v>2005</v>
      </c>
      <c r="C22" s="414">
        <v>10.2</v>
      </c>
      <c r="D22" s="415">
        <v>2.8</v>
      </c>
      <c r="E22" s="415">
        <v>33.6</v>
      </c>
      <c r="F22" s="416">
        <v>20.8</v>
      </c>
      <c r="G22" s="108">
        <f t="shared" si="0"/>
        <v>67.4</v>
      </c>
    </row>
    <row r="23" spans="2:7" ht="12.75" customHeight="1">
      <c r="B23" s="106">
        <v>2006</v>
      </c>
      <c r="C23" s="414">
        <v>10</v>
      </c>
      <c r="D23" s="415">
        <v>2.9</v>
      </c>
      <c r="E23" s="415">
        <v>36.1</v>
      </c>
      <c r="F23" s="416">
        <v>22.3</v>
      </c>
      <c r="G23" s="108">
        <f t="shared" si="0"/>
        <v>71.3</v>
      </c>
    </row>
    <row r="24" spans="2:7" ht="12.75" customHeight="1">
      <c r="B24" s="106">
        <v>2007</v>
      </c>
      <c r="C24" s="414">
        <v>10.9</v>
      </c>
      <c r="D24" s="415">
        <v>3.3</v>
      </c>
      <c r="E24" s="415">
        <v>36.4</v>
      </c>
      <c r="F24" s="416">
        <v>22.4</v>
      </c>
      <c r="G24" s="108">
        <f t="shared" si="0"/>
        <v>73</v>
      </c>
    </row>
    <row r="25" spans="2:7" ht="12.75" customHeight="1">
      <c r="B25" s="106">
        <v>2008</v>
      </c>
      <c r="C25" s="414">
        <v>10.8</v>
      </c>
      <c r="D25" s="415">
        <v>3.3</v>
      </c>
      <c r="E25" s="415">
        <v>35.1</v>
      </c>
      <c r="F25" s="416">
        <v>21.5</v>
      </c>
      <c r="G25" s="108">
        <f t="shared" si="0"/>
        <v>70.7</v>
      </c>
    </row>
    <row r="26" spans="2:7" ht="15" customHeight="1">
      <c r="B26" s="106">
        <v>2009</v>
      </c>
      <c r="C26" s="414">
        <v>10.2</v>
      </c>
      <c r="D26" s="415">
        <f>0.5+0.8+1.9</f>
        <v>3.2</v>
      </c>
      <c r="E26" s="415">
        <f>25.8+1.2</f>
        <v>27</v>
      </c>
      <c r="F26" s="416">
        <f>0.5+10.2+7.8</f>
        <v>18.5</v>
      </c>
      <c r="G26" s="108">
        <f t="shared" si="0"/>
        <v>58.9</v>
      </c>
    </row>
    <row r="27" spans="2:7" ht="15" customHeight="1">
      <c r="B27" s="106">
        <v>2010</v>
      </c>
      <c r="C27" s="414">
        <f>10.8</f>
        <v>10.8</v>
      </c>
      <c r="D27" s="415">
        <f>0.8+0.6+2.1</f>
        <v>3.5</v>
      </c>
      <c r="E27" s="415">
        <f>27.5+1.2</f>
        <v>28.7</v>
      </c>
      <c r="F27" s="415">
        <f>8.7+11+0.5</f>
        <v>20.2</v>
      </c>
      <c r="G27" s="239">
        <f>SUM(C27:F27)</f>
        <v>63.2</v>
      </c>
    </row>
    <row r="28" spans="2:7" ht="15" customHeight="1">
      <c r="B28" s="106">
        <v>2011</v>
      </c>
      <c r="C28" s="414">
        <v>10.5928</v>
      </c>
      <c r="D28" s="415">
        <v>3.8</v>
      </c>
      <c r="E28" s="415">
        <v>29.3</v>
      </c>
      <c r="F28" s="415">
        <v>20.7</v>
      </c>
      <c r="G28" s="239">
        <f>SUM(C28:F28)</f>
        <v>64.39280000000001</v>
      </c>
    </row>
    <row r="29" spans="2:7" ht="12.75" customHeight="1">
      <c r="B29" s="106">
        <v>2012</v>
      </c>
      <c r="C29" s="414">
        <v>9.9833</v>
      </c>
      <c r="D29" s="415">
        <f>0.6469+1.0056+1.9835</f>
        <v>3.636</v>
      </c>
      <c r="E29" s="415">
        <f>29.5+1</f>
        <v>30.5</v>
      </c>
      <c r="F29" s="415">
        <f>10.2+8.8+0.5</f>
        <v>19.5</v>
      </c>
      <c r="G29" s="239">
        <f t="shared" si="0"/>
        <v>63.619299999999996</v>
      </c>
    </row>
    <row r="30" spans="2:7" ht="12.75" customHeight="1">
      <c r="B30" s="106">
        <v>2013</v>
      </c>
      <c r="C30" s="414">
        <v>9.3364</v>
      </c>
      <c r="D30" s="415">
        <f>0.5885+0.964+1.8995</f>
        <v>3.452</v>
      </c>
      <c r="E30" s="415">
        <f>29.0223+1.0471</f>
        <v>30.0694</v>
      </c>
      <c r="F30" s="415">
        <f>0.536+9.9644+8.3466</f>
        <v>18.847</v>
      </c>
      <c r="G30" s="239">
        <f t="shared" si="0"/>
        <v>61.7048</v>
      </c>
    </row>
    <row r="31" spans="2:7" ht="12.75" customHeight="1">
      <c r="B31" s="642">
        <v>2014</v>
      </c>
      <c r="C31" s="414">
        <v>9.1444</v>
      </c>
      <c r="D31" s="415">
        <f>0.5492+0.936+1.817</f>
        <v>3.3022</v>
      </c>
      <c r="E31" s="415">
        <f>30.2496+1.0963</f>
        <v>31.3459</v>
      </c>
      <c r="F31" s="416">
        <f>0.5766+10.0174+8.415</f>
        <v>19.009</v>
      </c>
      <c r="G31" s="239">
        <f t="shared" si="0"/>
        <v>62.801500000000004</v>
      </c>
    </row>
    <row r="32" spans="2:7" ht="12.75" customHeight="1">
      <c r="B32" s="642">
        <v>2015</v>
      </c>
      <c r="C32" s="414">
        <v>8.6907</v>
      </c>
      <c r="D32" s="415">
        <f>0.9951+0.4668+1.8705</f>
        <v>3.3324</v>
      </c>
      <c r="E32" s="415">
        <f>31.1565+1.0332</f>
        <v>32.1897</v>
      </c>
      <c r="F32" s="416">
        <f>0.5583+10.1742+8.7477</f>
        <v>19.480200000000004</v>
      </c>
      <c r="G32" s="239">
        <f t="shared" si="0"/>
        <v>63.693000000000005</v>
      </c>
    </row>
    <row r="33" spans="2:7" ht="12.75" customHeight="1">
      <c r="B33" s="768">
        <v>2016</v>
      </c>
      <c r="C33" s="420">
        <v>8.4354</v>
      </c>
      <c r="D33" s="421">
        <f>1.7653+1.0874+0.4372</f>
        <v>3.2899</v>
      </c>
      <c r="E33" s="421">
        <f>33.4847+1.1623</f>
        <v>34.647</v>
      </c>
      <c r="F33" s="421">
        <f>0.5328+10.5787+8.7361</f>
        <v>19.8476</v>
      </c>
      <c r="G33" s="239">
        <f t="shared" si="0"/>
        <v>66.2199</v>
      </c>
    </row>
    <row r="34" spans="2:7" ht="12.75" customHeight="1">
      <c r="B34" s="35"/>
      <c r="C34" s="1039" t="s">
        <v>340</v>
      </c>
      <c r="D34" s="1040"/>
      <c r="E34" s="1040"/>
      <c r="F34" s="1040"/>
      <c r="G34" s="1041"/>
    </row>
    <row r="35" spans="2:7" ht="12.75" customHeight="1">
      <c r="B35" s="107" t="s">
        <v>1</v>
      </c>
      <c r="C35" s="422">
        <f>(POWER((C17/C9),1/15)-1)</f>
        <v>0.09682497969462589</v>
      </c>
      <c r="D35" s="422">
        <f>(POWER((D17/D9),1/15)-1)</f>
        <v>0.032896702666538324</v>
      </c>
      <c r="E35" s="422">
        <f>(POWER((E17/E9),1/15)-1)</f>
        <v>0.03892937346143399</v>
      </c>
      <c r="F35" s="422">
        <f>(POWER((F17/F9),1/15)-1)</f>
        <v>0.05433248115769396</v>
      </c>
      <c r="G35" s="217">
        <f>(POWER((G17/G9),1/15)-1)</f>
        <v>0.050371878078876886</v>
      </c>
    </row>
    <row r="36" spans="2:7" ht="15.75" customHeight="1">
      <c r="B36" s="310" t="s">
        <v>554</v>
      </c>
      <c r="C36" s="423">
        <f>(POWER((C32/C17),1/15)-1)</f>
        <v>0.008980433697218793</v>
      </c>
      <c r="D36" s="423">
        <f>(POWER((D32/D17),1/15)-1)</f>
        <v>0.06476618810883616</v>
      </c>
      <c r="E36" s="423">
        <f>(POWER((E32/E17),1/15)-1)</f>
        <v>0.012796875428944032</v>
      </c>
      <c r="F36" s="423">
        <f>(POWER((F32/F17),1/15)-1)</f>
        <v>-0.02200875462496532</v>
      </c>
      <c r="G36" s="662">
        <f>(POWER((G32/G17),1/15)-1)</f>
        <v>0.0010480967893602422</v>
      </c>
    </row>
    <row r="37" spans="2:7" ht="15" customHeight="1">
      <c r="B37" s="270" t="s">
        <v>586</v>
      </c>
      <c r="C37" s="424">
        <f>C33/C32-1</f>
        <v>-0.029376229762849926</v>
      </c>
      <c r="D37" s="424">
        <f>D33/D32-1</f>
        <v>-0.012753570999879948</v>
      </c>
      <c r="E37" s="424">
        <f>E33/E32-1</f>
        <v>0.07633808329993741</v>
      </c>
      <c r="F37" s="424">
        <f>F33/F32-1</f>
        <v>0.018860175973552495</v>
      </c>
      <c r="G37" s="181">
        <f>G33/G32-1</f>
        <v>0.0396731194950779</v>
      </c>
    </row>
    <row r="38" spans="2:7" ht="12.75" customHeight="1">
      <c r="B38" s="150" t="s">
        <v>455</v>
      </c>
      <c r="C38" s="180"/>
      <c r="D38" s="180"/>
      <c r="E38" s="180"/>
      <c r="F38" s="180"/>
      <c r="G38" s="17"/>
    </row>
    <row r="39" ht="12.75" customHeight="1"/>
    <row r="40" spans="2:7" ht="12.75" customHeight="1">
      <c r="B40" s="127"/>
      <c r="C40" s="943" t="s">
        <v>310</v>
      </c>
      <c r="D40" s="1013"/>
      <c r="E40" s="1013"/>
      <c r="F40" s="1013"/>
      <c r="G40" s="1017"/>
    </row>
    <row r="41" spans="2:7" ht="12.75" customHeight="1">
      <c r="B41" s="5"/>
      <c r="C41" s="116" t="s">
        <v>151</v>
      </c>
      <c r="D41" s="117"/>
      <c r="E41" s="118" t="s">
        <v>194</v>
      </c>
      <c r="F41" s="119" t="s">
        <v>195</v>
      </c>
      <c r="G41" s="120" t="s">
        <v>206</v>
      </c>
    </row>
    <row r="42" spans="2:7" ht="12.75" customHeight="1">
      <c r="B42" s="5"/>
      <c r="C42" s="221" t="s">
        <v>149</v>
      </c>
      <c r="D42" s="219" t="s">
        <v>152</v>
      </c>
      <c r="E42" s="222" t="s">
        <v>150</v>
      </c>
      <c r="F42" s="222" t="s">
        <v>379</v>
      </c>
      <c r="G42" s="66"/>
    </row>
    <row r="43" spans="2:7" ht="12.75" customHeight="1">
      <c r="B43" s="5"/>
      <c r="C43" s="221"/>
      <c r="D43" s="218" t="s">
        <v>153</v>
      </c>
      <c r="E43" s="222" t="s">
        <v>378</v>
      </c>
      <c r="F43" s="222" t="s">
        <v>380</v>
      </c>
      <c r="G43" s="66"/>
    </row>
    <row r="44" spans="2:7" ht="12.75" customHeight="1">
      <c r="B44" s="5"/>
      <c r="C44" s="221"/>
      <c r="D44" s="218" t="s">
        <v>308</v>
      </c>
      <c r="E44" s="222"/>
      <c r="F44" s="220" t="s">
        <v>307</v>
      </c>
      <c r="G44" s="78"/>
    </row>
    <row r="45" spans="2:7" ht="12.75" customHeight="1">
      <c r="B45" s="107">
        <v>1999</v>
      </c>
      <c r="C45" s="397">
        <v>1101</v>
      </c>
      <c r="D45" s="398">
        <v>216</v>
      </c>
      <c r="E45" s="398">
        <v>1639</v>
      </c>
      <c r="F45" s="399">
        <v>1674</v>
      </c>
      <c r="G45" s="394">
        <f>SUM(C45:F45)</f>
        <v>4630</v>
      </c>
    </row>
    <row r="46" spans="2:7" ht="12.75" customHeight="1">
      <c r="B46" s="106">
        <v>2000</v>
      </c>
      <c r="C46" s="400">
        <v>1187</v>
      </c>
      <c r="D46" s="401">
        <v>217</v>
      </c>
      <c r="E46" s="401">
        <v>1653</v>
      </c>
      <c r="F46" s="402">
        <v>1672</v>
      </c>
      <c r="G46" s="395">
        <f aca="true" t="shared" si="1" ref="G46:G53">SUM(C46:F46)</f>
        <v>4729</v>
      </c>
    </row>
    <row r="47" spans="2:7" ht="12.75" customHeight="1">
      <c r="B47" s="106">
        <v>2001</v>
      </c>
      <c r="C47" s="400">
        <v>966</v>
      </c>
      <c r="D47" s="401">
        <v>405</v>
      </c>
      <c r="E47" s="401">
        <v>1647</v>
      </c>
      <c r="F47" s="402">
        <v>1673</v>
      </c>
      <c r="G47" s="395">
        <f t="shared" si="1"/>
        <v>4691</v>
      </c>
    </row>
    <row r="48" spans="2:7" ht="12.75" customHeight="1">
      <c r="B48" s="106">
        <v>2002</v>
      </c>
      <c r="C48" s="400">
        <v>858</v>
      </c>
      <c r="D48" s="401">
        <v>391</v>
      </c>
      <c r="E48" s="403">
        <v>1710</v>
      </c>
      <c r="F48" s="404">
        <v>1581</v>
      </c>
      <c r="G48" s="395">
        <f t="shared" si="1"/>
        <v>4540</v>
      </c>
    </row>
    <row r="49" spans="2:7" ht="12.75" customHeight="1">
      <c r="B49" s="106">
        <v>2003</v>
      </c>
      <c r="C49" s="400">
        <v>1004</v>
      </c>
      <c r="D49" s="401">
        <v>287</v>
      </c>
      <c r="E49" s="401">
        <v>1775</v>
      </c>
      <c r="F49" s="402">
        <v>1572</v>
      </c>
      <c r="G49" s="395">
        <f t="shared" si="1"/>
        <v>4638</v>
      </c>
    </row>
    <row r="50" spans="2:7" ht="12.75" customHeight="1">
      <c r="B50" s="106">
        <v>2004</v>
      </c>
      <c r="C50" s="400">
        <v>969</v>
      </c>
      <c r="D50" s="401">
        <v>286</v>
      </c>
      <c r="E50" s="401">
        <v>2118</v>
      </c>
      <c r="F50" s="402">
        <v>1515</v>
      </c>
      <c r="G50" s="395">
        <f t="shared" si="1"/>
        <v>4888</v>
      </c>
    </row>
    <row r="51" spans="2:7" ht="15" customHeight="1">
      <c r="B51" s="106">
        <v>2005</v>
      </c>
      <c r="C51" s="400">
        <v>925</v>
      </c>
      <c r="D51" s="401">
        <v>279</v>
      </c>
      <c r="E51" s="401">
        <v>2121</v>
      </c>
      <c r="F51" s="402">
        <v>1435</v>
      </c>
      <c r="G51" s="395">
        <f t="shared" si="1"/>
        <v>4760</v>
      </c>
    </row>
    <row r="52" spans="2:7" ht="12.75" customHeight="1">
      <c r="B52" s="106">
        <v>2006</v>
      </c>
      <c r="C52" s="400">
        <v>856</v>
      </c>
      <c r="D52" s="401">
        <v>326</v>
      </c>
      <c r="E52" s="401">
        <v>2268</v>
      </c>
      <c r="F52" s="402">
        <v>1529</v>
      </c>
      <c r="G52" s="395">
        <f t="shared" si="1"/>
        <v>4979</v>
      </c>
    </row>
    <row r="53" spans="2:7" ht="15" customHeight="1">
      <c r="B53" s="106">
        <v>2007</v>
      </c>
      <c r="C53" s="400">
        <v>963</v>
      </c>
      <c r="D53" s="401">
        <v>299</v>
      </c>
      <c r="E53" s="401">
        <v>2277</v>
      </c>
      <c r="F53" s="402">
        <v>1531</v>
      </c>
      <c r="G53" s="395">
        <f t="shared" si="1"/>
        <v>5070</v>
      </c>
    </row>
    <row r="54" spans="2:7" ht="14.25" customHeight="1">
      <c r="B54" s="106">
        <v>2008</v>
      </c>
      <c r="C54" s="400">
        <v>973</v>
      </c>
      <c r="D54" s="401">
        <v>302</v>
      </c>
      <c r="E54" s="401">
        <v>2200</v>
      </c>
      <c r="F54" s="402">
        <v>1474</v>
      </c>
      <c r="G54" s="395">
        <f aca="true" t="shared" si="2" ref="G54:G61">SUM(C54:F54)</f>
        <v>4949</v>
      </c>
    </row>
    <row r="55" spans="2:7" ht="15.75" customHeight="1">
      <c r="B55" s="106">
        <v>2009</v>
      </c>
      <c r="C55" s="400">
        <v>900</v>
      </c>
      <c r="D55" s="401">
        <f>46+68+166</f>
        <v>280</v>
      </c>
      <c r="E55" s="401">
        <f>97+1745</f>
        <v>1842</v>
      </c>
      <c r="F55" s="402">
        <f>49+686+518</f>
        <v>1253</v>
      </c>
      <c r="G55" s="395">
        <f t="shared" si="2"/>
        <v>4275</v>
      </c>
    </row>
    <row r="56" spans="2:7" ht="17.25" customHeight="1">
      <c r="B56" s="106">
        <v>2010</v>
      </c>
      <c r="C56" s="405">
        <v>928.4</v>
      </c>
      <c r="D56" s="406">
        <f>47.8+182.1+77.9</f>
        <v>307.79999999999995</v>
      </c>
      <c r="E56" s="406">
        <f>97+1850</f>
        <v>1947</v>
      </c>
      <c r="F56" s="407">
        <f>52+732+572</f>
        <v>1356</v>
      </c>
      <c r="G56" s="395">
        <f t="shared" si="2"/>
        <v>4539.2</v>
      </c>
    </row>
    <row r="57" spans="2:7" ht="12.75" customHeight="1">
      <c r="B57" s="106">
        <v>2011</v>
      </c>
      <c r="C57" s="405">
        <v>898</v>
      </c>
      <c r="D57" s="406">
        <f>57.5+78.9+185.1</f>
        <v>321.5</v>
      </c>
      <c r="E57" s="406">
        <v>1980</v>
      </c>
      <c r="F57" s="407">
        <v>1389</v>
      </c>
      <c r="G57" s="395">
        <f t="shared" si="2"/>
        <v>4588.5</v>
      </c>
    </row>
    <row r="58" spans="2:7" ht="12.75" customHeight="1">
      <c r="B58" s="106">
        <v>2012</v>
      </c>
      <c r="C58" s="405">
        <v>843.4</v>
      </c>
      <c r="D58" s="406">
        <f>169.3+83.7+54.4</f>
        <v>307.4</v>
      </c>
      <c r="E58" s="406">
        <f>1966+92</f>
        <v>2058</v>
      </c>
      <c r="F58" s="407">
        <f>48+678+581</f>
        <v>1307</v>
      </c>
      <c r="G58" s="395">
        <f t="shared" si="2"/>
        <v>4515.8</v>
      </c>
    </row>
    <row r="59" spans="2:7" ht="12.75" customHeight="1">
      <c r="B59" s="106">
        <v>2013</v>
      </c>
      <c r="C59" s="406">
        <v>766.4</v>
      </c>
      <c r="D59" s="406">
        <f>78.2+47.9+156.3</f>
        <v>282.4</v>
      </c>
      <c r="E59" s="406">
        <f>92.5+1935.6</f>
        <v>2028.1</v>
      </c>
      <c r="F59" s="406">
        <f>52+663+549.2</f>
        <v>1264.2</v>
      </c>
      <c r="G59" s="634">
        <f t="shared" si="2"/>
        <v>4341.099999999999</v>
      </c>
    </row>
    <row r="60" spans="2:7" ht="12.75">
      <c r="B60" s="642">
        <v>2014</v>
      </c>
      <c r="C60" s="405">
        <v>758.33</v>
      </c>
      <c r="D60" s="512">
        <f>45.5+77.3+151.5</f>
        <v>274.3</v>
      </c>
      <c r="E60" s="406">
        <f>97.1+2014.4</f>
        <v>2111.5</v>
      </c>
      <c r="F60" s="407">
        <f>56+666.5+553.7</f>
        <v>1276.2</v>
      </c>
      <c r="G60" s="395">
        <f t="shared" si="2"/>
        <v>4420.33</v>
      </c>
    </row>
    <row r="61" spans="2:7" ht="12.75">
      <c r="B61" s="642">
        <v>2015</v>
      </c>
      <c r="C61" s="405">
        <v>729.6</v>
      </c>
      <c r="D61" s="512">
        <f>83+39.6+157.4</f>
        <v>280</v>
      </c>
      <c r="E61" s="406">
        <f>2068.3+91.8</f>
        <v>2160.1000000000004</v>
      </c>
      <c r="F61" s="407">
        <f>54.2+677+575.6</f>
        <v>1306.8000000000002</v>
      </c>
      <c r="G61" s="634">
        <f t="shared" si="2"/>
        <v>4476.5</v>
      </c>
    </row>
    <row r="62" spans="2:7" ht="12.75">
      <c r="B62" s="633">
        <v>2016</v>
      </c>
      <c r="C62" s="408">
        <v>700.7</v>
      </c>
      <c r="D62" s="517">
        <f>148.1+89.1+37.2</f>
        <v>274.4</v>
      </c>
      <c r="E62" s="409">
        <f>2209.9+105</f>
        <v>2314.9</v>
      </c>
      <c r="F62" s="410">
        <f>51.7+703.9+574.8</f>
        <v>1330.4</v>
      </c>
      <c r="G62" s="663">
        <f>SUM(C62:F62)</f>
        <v>4620.4</v>
      </c>
    </row>
    <row r="63" ht="12.75">
      <c r="B63" s="20" t="s">
        <v>550</v>
      </c>
    </row>
    <row r="64" spans="2:7" ht="12.75">
      <c r="B64" s="966" t="s">
        <v>456</v>
      </c>
      <c r="C64" s="966"/>
      <c r="D64" s="966"/>
      <c r="E64" s="966"/>
      <c r="F64" s="966"/>
      <c r="G64" s="966"/>
    </row>
  </sheetData>
  <sheetProtection/>
  <mergeCells count="6">
    <mergeCell ref="B64:G64"/>
    <mergeCell ref="B2:G2"/>
    <mergeCell ref="C3:G3"/>
    <mergeCell ref="C4:G4"/>
    <mergeCell ref="C34:G34"/>
    <mergeCell ref="C40:G4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F112"/>
  <sheetViews>
    <sheetView zoomScale="115" zoomScaleNormal="115" zoomScalePageLayoutView="0" workbookViewId="0" topLeftCell="A19">
      <selection activeCell="J40" sqref="J40"/>
    </sheetView>
  </sheetViews>
  <sheetFormatPr defaultColWidth="9.140625" defaultRowHeight="12.75"/>
  <cols>
    <col min="1" max="1" width="2.8515625" style="0" customWidth="1"/>
    <col min="2" max="2" width="5.7109375" style="0" customWidth="1"/>
    <col min="3" max="6" width="11.7109375" style="0" customWidth="1"/>
  </cols>
  <sheetData>
    <row r="1" spans="2:6" ht="14.25" customHeight="1">
      <c r="B1" s="16"/>
      <c r="C1" s="16"/>
      <c r="D1" s="16"/>
      <c r="E1" s="16"/>
      <c r="F1" s="44" t="s">
        <v>408</v>
      </c>
    </row>
    <row r="2" spans="2:6" ht="30" customHeight="1">
      <c r="B2" s="999" t="s">
        <v>12</v>
      </c>
      <c r="C2" s="999"/>
      <c r="D2" s="999"/>
      <c r="E2" s="999"/>
      <c r="F2" s="999"/>
    </row>
    <row r="3" spans="2:6" ht="19.5" customHeight="1">
      <c r="B3" s="11"/>
      <c r="C3" s="943" t="s">
        <v>97</v>
      </c>
      <c r="D3" s="1013"/>
      <c r="E3" s="1013"/>
      <c r="F3" s="1017"/>
    </row>
    <row r="4" spans="2:6" ht="15" customHeight="1">
      <c r="B4" s="122"/>
      <c r="C4" s="1045" t="s">
        <v>156</v>
      </c>
      <c r="D4" s="1046"/>
      <c r="E4" s="1046"/>
      <c r="F4" s="1047"/>
    </row>
    <row r="5" spans="2:6" ht="12.75" customHeight="1">
      <c r="B5" s="504"/>
      <c r="C5" s="505" t="s">
        <v>154</v>
      </c>
      <c r="D5" s="506" t="s">
        <v>155</v>
      </c>
      <c r="E5" s="1043" t="s">
        <v>215</v>
      </c>
      <c r="F5" s="507" t="s">
        <v>206</v>
      </c>
    </row>
    <row r="6" spans="2:6" ht="12.75" customHeight="1">
      <c r="B6" s="504"/>
      <c r="C6" s="318" t="s">
        <v>490</v>
      </c>
      <c r="D6" s="319" t="s">
        <v>491</v>
      </c>
      <c r="E6" s="1043"/>
      <c r="F6" s="507"/>
    </row>
    <row r="7" spans="2:6" ht="12.75" customHeight="1">
      <c r="B7" s="508"/>
      <c r="C7" s="317" t="s">
        <v>213</v>
      </c>
      <c r="D7" s="320" t="s">
        <v>214</v>
      </c>
      <c r="E7" s="1044"/>
      <c r="F7" s="509"/>
    </row>
    <row r="8" spans="2:6" ht="12.75" customHeight="1">
      <c r="B8" s="510">
        <v>1997</v>
      </c>
      <c r="C8" s="511">
        <v>5657</v>
      </c>
      <c r="D8" s="512">
        <v>6729</v>
      </c>
      <c r="E8" s="513">
        <v>880</v>
      </c>
      <c r="F8" s="513">
        <f aca="true" t="shared" si="0" ref="F8:F17">SUM(C8:E8)</f>
        <v>13266</v>
      </c>
    </row>
    <row r="9" spans="2:6" ht="12.75" customHeight="1">
      <c r="B9" s="514">
        <v>1998</v>
      </c>
      <c r="C9" s="511">
        <v>6447</v>
      </c>
      <c r="D9" s="512">
        <v>7413</v>
      </c>
      <c r="E9" s="513">
        <v>905</v>
      </c>
      <c r="F9" s="513">
        <f t="shared" si="0"/>
        <v>14765</v>
      </c>
    </row>
    <row r="10" spans="2:6" ht="12.75" customHeight="1">
      <c r="B10" s="514">
        <v>1999</v>
      </c>
      <c r="C10" s="511">
        <v>6914</v>
      </c>
      <c r="D10" s="512">
        <v>8018</v>
      </c>
      <c r="E10" s="513">
        <v>914</v>
      </c>
      <c r="F10" s="513">
        <f t="shared" si="0"/>
        <v>15846</v>
      </c>
    </row>
    <row r="11" spans="2:6" ht="12.75" customHeight="1">
      <c r="B11" s="514">
        <v>2000</v>
      </c>
      <c r="C11" s="511">
        <v>8224</v>
      </c>
      <c r="D11" s="512">
        <v>8200</v>
      </c>
      <c r="E11" s="513">
        <v>1519</v>
      </c>
      <c r="F11" s="513">
        <f t="shared" si="0"/>
        <v>17943</v>
      </c>
    </row>
    <row r="12" spans="2:6" ht="12.75" customHeight="1">
      <c r="B12" s="514">
        <v>2001</v>
      </c>
      <c r="C12" s="511">
        <v>8806</v>
      </c>
      <c r="D12" s="512">
        <v>8050</v>
      </c>
      <c r="E12" s="513">
        <v>1172</v>
      </c>
      <c r="F12" s="513">
        <f t="shared" si="0"/>
        <v>18028</v>
      </c>
    </row>
    <row r="13" spans="2:6" ht="12.75" customHeight="1">
      <c r="B13" s="514">
        <v>2002</v>
      </c>
      <c r="C13" s="511">
        <v>8864</v>
      </c>
      <c r="D13" s="512">
        <v>8535</v>
      </c>
      <c r="E13" s="513">
        <v>1505</v>
      </c>
      <c r="F13" s="513">
        <f t="shared" si="0"/>
        <v>18904</v>
      </c>
    </row>
    <row r="14" spans="2:6" ht="12.75" customHeight="1">
      <c r="B14" s="514">
        <v>2003</v>
      </c>
      <c r="C14" s="511">
        <v>9276</v>
      </c>
      <c r="D14" s="512">
        <v>8920</v>
      </c>
      <c r="E14" s="513">
        <v>1758</v>
      </c>
      <c r="F14" s="513">
        <f t="shared" si="0"/>
        <v>19954</v>
      </c>
    </row>
    <row r="15" spans="2:6" ht="12.75" customHeight="1">
      <c r="B15" s="514">
        <v>2004</v>
      </c>
      <c r="C15" s="511">
        <v>10655</v>
      </c>
      <c r="D15" s="512">
        <v>9302</v>
      </c>
      <c r="E15" s="513">
        <v>1875</v>
      </c>
      <c r="F15" s="513">
        <f t="shared" si="0"/>
        <v>21832</v>
      </c>
    </row>
    <row r="16" spans="2:6" ht="12.75" customHeight="1">
      <c r="B16" s="514">
        <v>2005</v>
      </c>
      <c r="C16" s="511">
        <v>9970</v>
      </c>
      <c r="D16" s="512">
        <v>9243</v>
      </c>
      <c r="E16" s="513">
        <v>1825</v>
      </c>
      <c r="F16" s="513">
        <f t="shared" si="0"/>
        <v>21038</v>
      </c>
    </row>
    <row r="17" spans="2:6" ht="12.75" customHeight="1">
      <c r="B17" s="514">
        <v>2006</v>
      </c>
      <c r="C17" s="511">
        <v>10390</v>
      </c>
      <c r="D17" s="512">
        <v>9602</v>
      </c>
      <c r="E17" s="513">
        <v>1939</v>
      </c>
      <c r="F17" s="513">
        <f t="shared" si="0"/>
        <v>21931</v>
      </c>
    </row>
    <row r="18" spans="2:6" ht="12.75" customHeight="1">
      <c r="B18" s="514">
        <v>2008</v>
      </c>
      <c r="C18" s="511">
        <v>10670</v>
      </c>
      <c r="D18" s="512">
        <v>9484</v>
      </c>
      <c r="E18" s="513">
        <v>1334</v>
      </c>
      <c r="F18" s="513">
        <f aca="true" t="shared" si="1" ref="F18:F23">SUM(C18:E18)</f>
        <v>21488</v>
      </c>
    </row>
    <row r="19" spans="2:6" ht="15" customHeight="1">
      <c r="B19" s="514">
        <v>2009</v>
      </c>
      <c r="C19" s="511">
        <v>9711.5</v>
      </c>
      <c r="D19" s="512">
        <v>8609.5</v>
      </c>
      <c r="E19" s="513">
        <v>1367</v>
      </c>
      <c r="F19" s="513">
        <f t="shared" si="1"/>
        <v>19688</v>
      </c>
    </row>
    <row r="20" spans="2:6" ht="15" customHeight="1">
      <c r="B20" s="514">
        <v>2011</v>
      </c>
      <c r="C20" s="512">
        <v>9413.5</v>
      </c>
      <c r="D20" s="512">
        <v>8944.5</v>
      </c>
      <c r="E20" s="512">
        <v>1044</v>
      </c>
      <c r="F20" s="515">
        <f t="shared" si="1"/>
        <v>19402</v>
      </c>
    </row>
    <row r="21" spans="2:6" ht="12.75" customHeight="1">
      <c r="B21" s="514">
        <v>2013</v>
      </c>
      <c r="C21" s="512">
        <v>9164.5</v>
      </c>
      <c r="D21" s="512">
        <v>9163</v>
      </c>
      <c r="E21" s="512">
        <v>1049.5</v>
      </c>
      <c r="F21" s="515">
        <f t="shared" si="1"/>
        <v>19377</v>
      </c>
    </row>
    <row r="22" spans="2:6" ht="12.75" customHeight="1">
      <c r="B22" s="514">
        <v>2014</v>
      </c>
      <c r="C22" s="512">
        <v>8605</v>
      </c>
      <c r="D22" s="512">
        <v>9501</v>
      </c>
      <c r="E22" s="512">
        <v>980.5</v>
      </c>
      <c r="F22" s="515">
        <f t="shared" si="1"/>
        <v>19086.5</v>
      </c>
    </row>
    <row r="23" spans="2:6" ht="12.75" customHeight="1">
      <c r="B23" s="516">
        <v>2015</v>
      </c>
      <c r="C23" s="517">
        <v>9280</v>
      </c>
      <c r="D23" s="517">
        <v>10066</v>
      </c>
      <c r="E23" s="517">
        <v>1101.5</v>
      </c>
      <c r="F23" s="518">
        <f t="shared" si="1"/>
        <v>20447.5</v>
      </c>
    </row>
    <row r="24" spans="2:6" ht="12.75" customHeight="1">
      <c r="B24" s="1"/>
      <c r="C24" s="1"/>
      <c r="D24" s="1"/>
      <c r="E24" s="1"/>
      <c r="F24" s="1"/>
    </row>
    <row r="25" spans="2:6" ht="12.75" customHeight="1">
      <c r="B25" s="11"/>
      <c r="C25" s="943" t="s">
        <v>98</v>
      </c>
      <c r="D25" s="1013"/>
      <c r="E25" s="1013"/>
      <c r="F25" s="1017"/>
    </row>
    <row r="26" spans="2:6" ht="12.75" customHeight="1">
      <c r="B26" s="128"/>
      <c r="C26" s="1048" t="s">
        <v>156</v>
      </c>
      <c r="D26" s="1049"/>
      <c r="E26" s="1049"/>
      <c r="F26" s="1050"/>
    </row>
    <row r="27" spans="2:6" ht="12.75" customHeight="1">
      <c r="B27" s="504"/>
      <c r="C27" s="519" t="s">
        <v>154</v>
      </c>
      <c r="D27" s="520" t="s">
        <v>155</v>
      </c>
      <c r="E27" s="1043" t="s">
        <v>215</v>
      </c>
      <c r="F27" s="507" t="s">
        <v>206</v>
      </c>
    </row>
    <row r="28" spans="2:6" ht="12.75" customHeight="1">
      <c r="B28" s="504"/>
      <c r="C28" s="318" t="s">
        <v>490</v>
      </c>
      <c r="D28" s="319" t="s">
        <v>491</v>
      </c>
      <c r="E28" s="1043"/>
      <c r="F28" s="507"/>
    </row>
    <row r="29" spans="2:6" ht="12.75" customHeight="1">
      <c r="B29" s="36"/>
      <c r="C29" s="317" t="s">
        <v>213</v>
      </c>
      <c r="D29" s="320" t="s">
        <v>214</v>
      </c>
      <c r="E29" s="1044"/>
      <c r="F29" s="80"/>
    </row>
    <row r="30" spans="2:6" ht="12.75" customHeight="1">
      <c r="B30" s="510">
        <v>1997</v>
      </c>
      <c r="C30" s="511">
        <v>30200</v>
      </c>
      <c r="D30" s="512">
        <v>19400</v>
      </c>
      <c r="E30" s="513">
        <v>27800</v>
      </c>
      <c r="F30" s="515">
        <f aca="true" t="shared" si="2" ref="F30:F39">SUM(C30:E30)</f>
        <v>77400</v>
      </c>
    </row>
    <row r="31" spans="2:6" ht="12.75" customHeight="1">
      <c r="B31" s="514">
        <v>1998</v>
      </c>
      <c r="C31" s="511">
        <v>30230</v>
      </c>
      <c r="D31" s="512">
        <v>20601</v>
      </c>
      <c r="E31" s="513">
        <v>33168</v>
      </c>
      <c r="F31" s="515">
        <f t="shared" si="2"/>
        <v>83999</v>
      </c>
    </row>
    <row r="32" spans="2:6" ht="12.75" customHeight="1">
      <c r="B32" s="514">
        <v>1999</v>
      </c>
      <c r="C32" s="511">
        <v>33188</v>
      </c>
      <c r="D32" s="512">
        <v>20678</v>
      </c>
      <c r="E32" s="513">
        <v>33412</v>
      </c>
      <c r="F32" s="515">
        <f t="shared" si="2"/>
        <v>87278</v>
      </c>
    </row>
    <row r="33" spans="2:6" ht="15" customHeight="1">
      <c r="B33" s="514">
        <v>2000</v>
      </c>
      <c r="C33" s="511">
        <v>40923</v>
      </c>
      <c r="D33" s="512">
        <v>24390</v>
      </c>
      <c r="E33" s="513">
        <v>31962</v>
      </c>
      <c r="F33" s="515">
        <f t="shared" si="2"/>
        <v>97275</v>
      </c>
    </row>
    <row r="34" spans="2:6" ht="12.75" customHeight="1">
      <c r="B34" s="514">
        <v>2001</v>
      </c>
      <c r="C34" s="511">
        <v>41847</v>
      </c>
      <c r="D34" s="512">
        <v>25201</v>
      </c>
      <c r="E34" s="513">
        <v>34096</v>
      </c>
      <c r="F34" s="515">
        <f t="shared" si="2"/>
        <v>101144</v>
      </c>
    </row>
    <row r="35" spans="2:6" ht="22.5" customHeight="1">
      <c r="B35" s="514">
        <v>2002</v>
      </c>
      <c r="C35" s="511">
        <v>41812</v>
      </c>
      <c r="D35" s="512">
        <v>28544</v>
      </c>
      <c r="E35" s="513">
        <v>37654</v>
      </c>
      <c r="F35" s="515">
        <f t="shared" si="2"/>
        <v>108010</v>
      </c>
    </row>
    <row r="36" spans="2:6" ht="16.5" customHeight="1">
      <c r="B36" s="514">
        <v>2003</v>
      </c>
      <c r="C36" s="511">
        <v>44165</v>
      </c>
      <c r="D36" s="512">
        <v>29201</v>
      </c>
      <c r="E36" s="513">
        <v>41267</v>
      </c>
      <c r="F36" s="515">
        <f t="shared" si="2"/>
        <v>114633</v>
      </c>
    </row>
    <row r="37" spans="2:6" ht="16.5" customHeight="1">
      <c r="B37" s="514">
        <v>2004</v>
      </c>
      <c r="C37" s="511">
        <v>45041</v>
      </c>
      <c r="D37" s="512">
        <v>30923</v>
      </c>
      <c r="E37" s="513">
        <v>41196</v>
      </c>
      <c r="F37" s="515">
        <f t="shared" si="2"/>
        <v>117160</v>
      </c>
    </row>
    <row r="38" spans="2:6" ht="16.5" customHeight="1">
      <c r="B38" s="514">
        <v>2005</v>
      </c>
      <c r="C38" s="511">
        <v>47142</v>
      </c>
      <c r="D38" s="512">
        <v>31896</v>
      </c>
      <c r="E38" s="513">
        <v>42465</v>
      </c>
      <c r="F38" s="515">
        <f t="shared" si="2"/>
        <v>121503</v>
      </c>
    </row>
    <row r="39" spans="2:6" ht="12" customHeight="1">
      <c r="B39" s="514">
        <v>2006</v>
      </c>
      <c r="C39" s="511">
        <v>47172</v>
      </c>
      <c r="D39" s="512">
        <v>32180</v>
      </c>
      <c r="E39" s="513">
        <v>43228</v>
      </c>
      <c r="F39" s="515">
        <f t="shared" si="2"/>
        <v>122580</v>
      </c>
    </row>
    <row r="40" spans="2:6" ht="24.75" customHeight="1">
      <c r="B40" s="514">
        <v>2008</v>
      </c>
      <c r="C40" s="511">
        <v>47266</v>
      </c>
      <c r="D40" s="512">
        <v>30847</v>
      </c>
      <c r="E40" s="513">
        <v>41924</v>
      </c>
      <c r="F40" s="515">
        <v>120037</v>
      </c>
    </row>
    <row r="41" spans="2:6" ht="12" customHeight="1">
      <c r="B41" s="514">
        <v>2009</v>
      </c>
      <c r="C41" s="511">
        <v>47906.5</v>
      </c>
      <c r="D41" s="512">
        <f>31464.5</f>
        <v>31464.5</v>
      </c>
      <c r="E41" s="513">
        <v>42452</v>
      </c>
      <c r="F41" s="515">
        <f>SUM(C41:E41)</f>
        <v>121823</v>
      </c>
    </row>
    <row r="42" spans="2:6" ht="12" customHeight="1">
      <c r="B42" s="514">
        <v>2011</v>
      </c>
      <c r="C42" s="511">
        <v>48786.5</v>
      </c>
      <c r="D42" s="512">
        <v>30899.5</v>
      </c>
      <c r="E42" s="513">
        <v>40507.5</v>
      </c>
      <c r="F42" s="515">
        <f>SUM(C42:E42)</f>
        <v>120193.5</v>
      </c>
    </row>
    <row r="43" spans="2:6" ht="12" customHeight="1">
      <c r="B43" s="514">
        <v>2013</v>
      </c>
      <c r="C43" s="512">
        <v>47109.5</v>
      </c>
      <c r="D43" s="512">
        <v>30528.5</v>
      </c>
      <c r="E43" s="512">
        <v>38612</v>
      </c>
      <c r="F43" s="515">
        <f>SUM(C43:E43)</f>
        <v>116250</v>
      </c>
    </row>
    <row r="44" spans="2:6" ht="12" customHeight="1">
      <c r="B44" s="514">
        <v>2014</v>
      </c>
      <c r="C44" s="512">
        <v>48780</v>
      </c>
      <c r="D44" s="512">
        <v>31623</v>
      </c>
      <c r="E44" s="512">
        <v>40189.5</v>
      </c>
      <c r="F44" s="515">
        <f>SUM(C44:E44)</f>
        <v>120592.5</v>
      </c>
    </row>
    <row r="45" spans="2:6" ht="12" customHeight="1">
      <c r="B45" s="516">
        <v>2015</v>
      </c>
      <c r="C45" s="517">
        <v>49150</v>
      </c>
      <c r="D45" s="517">
        <v>32458</v>
      </c>
      <c r="E45" s="517">
        <v>41495.5</v>
      </c>
      <c r="F45" s="518">
        <f>SUM(C45:E45)</f>
        <v>123103.5</v>
      </c>
    </row>
    <row r="46" spans="2:6" ht="12" customHeight="1">
      <c r="B46" s="940" t="s">
        <v>2</v>
      </c>
      <c r="C46" s="940"/>
      <c r="D46" s="940"/>
      <c r="E46" s="940"/>
      <c r="F46" s="940"/>
    </row>
    <row r="47" spans="2:6" ht="12" customHeight="1">
      <c r="B47" s="1042"/>
      <c r="C47" s="1042"/>
      <c r="D47" s="1042"/>
      <c r="E47" s="1042"/>
      <c r="F47" s="1042"/>
    </row>
    <row r="48" ht="12" customHeight="1"/>
    <row r="49" spans="2:6" ht="12" customHeight="1">
      <c r="B49" s="521"/>
      <c r="C49" s="231"/>
      <c r="D49" s="521"/>
      <c r="E49" s="521"/>
      <c r="F49" s="521"/>
    </row>
    <row r="50" spans="2:6" ht="12" customHeight="1">
      <c r="B50" s="521"/>
      <c r="C50" s="521"/>
      <c r="D50" s="521"/>
      <c r="E50" s="521"/>
      <c r="F50" s="521"/>
    </row>
    <row r="51" spans="2:6" ht="12" customHeight="1">
      <c r="B51" s="521"/>
      <c r="D51" s="522"/>
      <c r="E51" s="521"/>
      <c r="F51" s="521"/>
    </row>
    <row r="52" spans="2:6" ht="12" customHeight="1">
      <c r="B52" s="521"/>
      <c r="C52" s="521"/>
      <c r="D52" s="521"/>
      <c r="E52" s="521"/>
      <c r="F52" s="521"/>
    </row>
    <row r="53" spans="2:6" ht="12" customHeight="1">
      <c r="B53" s="521"/>
      <c r="C53" s="521"/>
      <c r="D53" s="521"/>
      <c r="E53" s="521"/>
      <c r="F53" s="521"/>
    </row>
    <row r="54" spans="2:6" ht="12" customHeight="1">
      <c r="B54" s="521"/>
      <c r="C54" s="521"/>
      <c r="D54" s="521"/>
      <c r="E54" s="521"/>
      <c r="F54" s="521"/>
    </row>
    <row r="55" spans="2:6" ht="12" customHeight="1">
      <c r="B55" s="521"/>
      <c r="C55" s="521"/>
      <c r="D55" s="521"/>
      <c r="E55" s="521"/>
      <c r="F55" s="521"/>
    </row>
    <row r="56" spans="2:6" ht="12" customHeight="1">
      <c r="B56" s="521"/>
      <c r="C56" s="521"/>
      <c r="D56" s="521"/>
      <c r="E56" s="521"/>
      <c r="F56" s="521"/>
    </row>
    <row r="57" spans="2:6" ht="12" customHeight="1">
      <c r="B57" s="521"/>
      <c r="C57" s="521"/>
      <c r="D57" s="521"/>
      <c r="E57" s="521"/>
      <c r="F57" s="521"/>
    </row>
    <row r="58" spans="2:6" ht="12" customHeight="1">
      <c r="B58" s="521"/>
      <c r="C58" s="521"/>
      <c r="D58" s="521"/>
      <c r="E58" s="521"/>
      <c r="F58" s="521"/>
    </row>
    <row r="59" spans="2:6" ht="12" customHeight="1">
      <c r="B59" s="521"/>
      <c r="C59" s="521"/>
      <c r="D59" s="521"/>
      <c r="E59" s="521"/>
      <c r="F59" s="521"/>
    </row>
    <row r="60" spans="2:6" ht="12" customHeight="1">
      <c r="B60" s="521"/>
      <c r="C60" s="521"/>
      <c r="D60" s="521"/>
      <c r="E60" s="521"/>
      <c r="F60" s="521"/>
    </row>
    <row r="61" spans="2:6" ht="12" customHeight="1">
      <c r="B61" s="521"/>
      <c r="C61" s="521"/>
      <c r="D61" s="521"/>
      <c r="E61" s="521"/>
      <c r="F61" s="521"/>
    </row>
    <row r="62" spans="2:6" ht="12" customHeight="1">
      <c r="B62" s="521"/>
      <c r="C62" s="521"/>
      <c r="D62" s="521"/>
      <c r="E62" s="521"/>
      <c r="F62" s="521"/>
    </row>
    <row r="63" spans="2:6" ht="12" customHeight="1">
      <c r="B63" s="521"/>
      <c r="C63" s="521"/>
      <c r="D63" s="521"/>
      <c r="E63" s="521"/>
      <c r="F63" s="521"/>
    </row>
    <row r="64" spans="2:6" ht="12.75">
      <c r="B64" s="521"/>
      <c r="C64" s="521"/>
      <c r="D64" s="521"/>
      <c r="E64" s="521"/>
      <c r="F64" s="521"/>
    </row>
    <row r="65" spans="2:6" ht="12.75">
      <c r="B65" s="521"/>
      <c r="C65" s="521"/>
      <c r="D65" s="521"/>
      <c r="E65" s="521"/>
      <c r="F65" s="521"/>
    </row>
    <row r="66" spans="2:6" ht="12.75">
      <c r="B66" s="521"/>
      <c r="C66" s="521"/>
      <c r="D66" s="521"/>
      <c r="E66" s="521"/>
      <c r="F66" s="521"/>
    </row>
    <row r="67" spans="2:6" ht="12.75">
      <c r="B67" s="521"/>
      <c r="C67" s="521"/>
      <c r="D67" s="521"/>
      <c r="E67" s="521"/>
      <c r="F67" s="521"/>
    </row>
    <row r="68" spans="2:6" ht="12.75">
      <c r="B68" s="521"/>
      <c r="C68" s="521"/>
      <c r="D68" s="521"/>
      <c r="E68" s="521"/>
      <c r="F68" s="521"/>
    </row>
    <row r="69" spans="2:6" ht="12.75">
      <c r="B69" s="521"/>
      <c r="C69" s="521"/>
      <c r="D69" s="521"/>
      <c r="E69" s="521"/>
      <c r="F69" s="521"/>
    </row>
    <row r="70" spans="2:6" ht="12.75">
      <c r="B70" s="521"/>
      <c r="C70" s="521"/>
      <c r="D70" s="521"/>
      <c r="E70" s="521"/>
      <c r="F70" s="521"/>
    </row>
    <row r="71" spans="2:6" ht="12.75">
      <c r="B71" s="521"/>
      <c r="C71" s="521"/>
      <c r="D71" s="521"/>
      <c r="E71" s="521"/>
      <c r="F71" s="521"/>
    </row>
    <row r="72" spans="2:6" ht="12.75">
      <c r="B72" s="521"/>
      <c r="C72" s="521"/>
      <c r="D72" s="521"/>
      <c r="E72" s="521"/>
      <c r="F72" s="521"/>
    </row>
    <row r="73" spans="2:6" ht="12.75">
      <c r="B73" s="521"/>
      <c r="C73" s="521"/>
      <c r="D73" s="521"/>
      <c r="E73" s="521"/>
      <c r="F73" s="521"/>
    </row>
    <row r="74" spans="2:6" ht="12.75">
      <c r="B74" s="521"/>
      <c r="C74" s="521"/>
      <c r="D74" s="521"/>
      <c r="E74" s="521"/>
      <c r="F74" s="521"/>
    </row>
    <row r="75" spans="2:6" ht="12.75">
      <c r="B75" s="521"/>
      <c r="C75" s="521"/>
      <c r="D75" s="521"/>
      <c r="E75" s="521"/>
      <c r="F75" s="521"/>
    </row>
    <row r="76" spans="2:6" ht="12.75">
      <c r="B76" s="521"/>
      <c r="C76" s="521"/>
      <c r="D76" s="521"/>
      <c r="E76" s="521"/>
      <c r="F76" s="521"/>
    </row>
    <row r="77" spans="2:6" ht="12.75">
      <c r="B77" s="521"/>
      <c r="C77" s="521"/>
      <c r="D77" s="521"/>
      <c r="E77" s="521"/>
      <c r="F77" s="521"/>
    </row>
    <row r="78" spans="2:6" ht="12.75">
      <c r="B78" s="521"/>
      <c r="C78" s="521"/>
      <c r="D78" s="521"/>
      <c r="E78" s="521"/>
      <c r="F78" s="521"/>
    </row>
    <row r="79" spans="2:6" ht="12.75">
      <c r="B79" s="521"/>
      <c r="C79" s="521"/>
      <c r="D79" s="521"/>
      <c r="E79" s="521"/>
      <c r="F79" s="521"/>
    </row>
    <row r="80" spans="2:6" ht="12.75">
      <c r="B80" s="521"/>
      <c r="C80" s="521"/>
      <c r="D80" s="521"/>
      <c r="E80" s="521"/>
      <c r="F80" s="521"/>
    </row>
    <row r="81" spans="2:6" ht="12.75">
      <c r="B81" s="521"/>
      <c r="C81" s="521"/>
      <c r="D81" s="521"/>
      <c r="E81" s="521"/>
      <c r="F81" s="521"/>
    </row>
    <row r="82" spans="2:6" ht="12.75">
      <c r="B82" s="521"/>
      <c r="C82" s="521"/>
      <c r="D82" s="521"/>
      <c r="E82" s="521"/>
      <c r="F82" s="521"/>
    </row>
    <row r="83" spans="2:6" ht="12.75">
      <c r="B83" s="521"/>
      <c r="C83" s="521"/>
      <c r="D83" s="521"/>
      <c r="E83" s="521"/>
      <c r="F83" s="521"/>
    </row>
    <row r="84" spans="2:6" ht="12.75">
      <c r="B84" s="521"/>
      <c r="C84" s="521"/>
      <c r="D84" s="521"/>
      <c r="E84" s="521"/>
      <c r="F84" s="521"/>
    </row>
    <row r="85" spans="2:6" ht="12.75">
      <c r="B85" s="521"/>
      <c r="C85" s="521"/>
      <c r="D85" s="521"/>
      <c r="E85" s="521"/>
      <c r="F85" s="521"/>
    </row>
    <row r="86" spans="2:6" ht="12.75">
      <c r="B86" s="521"/>
      <c r="C86" s="521"/>
      <c r="D86" s="521"/>
      <c r="E86" s="521"/>
      <c r="F86" s="521"/>
    </row>
    <row r="87" spans="2:6" ht="12.75">
      <c r="B87" s="521"/>
      <c r="C87" s="521"/>
      <c r="D87" s="521"/>
      <c r="E87" s="521"/>
      <c r="F87" s="521"/>
    </row>
    <row r="88" spans="2:6" ht="12.75">
      <c r="B88" s="521"/>
      <c r="C88" s="521"/>
      <c r="D88" s="521"/>
      <c r="E88" s="521"/>
      <c r="F88" s="521"/>
    </row>
    <row r="89" spans="2:6" ht="12.75">
      <c r="B89" s="521"/>
      <c r="C89" s="521"/>
      <c r="D89" s="521"/>
      <c r="E89" s="521"/>
      <c r="F89" s="521"/>
    </row>
    <row r="90" spans="2:6" ht="12.75">
      <c r="B90" s="521"/>
      <c r="C90" s="521"/>
      <c r="D90" s="521"/>
      <c r="E90" s="521"/>
      <c r="F90" s="521"/>
    </row>
    <row r="91" spans="2:6" ht="12.75">
      <c r="B91" s="521"/>
      <c r="C91" s="521"/>
      <c r="D91" s="521"/>
      <c r="E91" s="521"/>
      <c r="F91" s="521"/>
    </row>
    <row r="92" spans="2:6" ht="12.75">
      <c r="B92" s="521"/>
      <c r="C92" s="521"/>
      <c r="D92" s="521"/>
      <c r="E92" s="521"/>
      <c r="F92" s="521"/>
    </row>
    <row r="93" spans="2:6" ht="12.75">
      <c r="B93" s="521"/>
      <c r="C93" s="521"/>
      <c r="D93" s="521"/>
      <c r="E93" s="521"/>
      <c r="F93" s="521"/>
    </row>
    <row r="94" spans="2:6" ht="12.75">
      <c r="B94" s="521"/>
      <c r="C94" s="521"/>
      <c r="D94" s="521"/>
      <c r="E94" s="521"/>
      <c r="F94" s="521"/>
    </row>
    <row r="95" spans="2:6" ht="12.75">
      <c r="B95" s="521"/>
      <c r="C95" s="521"/>
      <c r="D95" s="521"/>
      <c r="E95" s="521"/>
      <c r="F95" s="521"/>
    </row>
    <row r="96" spans="2:6" ht="12.75">
      <c r="B96" s="521"/>
      <c r="C96" s="521"/>
      <c r="D96" s="521"/>
      <c r="E96" s="521"/>
      <c r="F96" s="521"/>
    </row>
    <row r="97" spans="2:6" ht="12.75">
      <c r="B97" s="521"/>
      <c r="C97" s="521"/>
      <c r="D97" s="521"/>
      <c r="E97" s="521"/>
      <c r="F97" s="521"/>
    </row>
    <row r="98" spans="2:6" ht="12.75">
      <c r="B98" s="521"/>
      <c r="C98" s="521"/>
      <c r="D98" s="521"/>
      <c r="E98" s="521"/>
      <c r="F98" s="521"/>
    </row>
    <row r="99" spans="2:6" ht="12.75">
      <c r="B99" s="521"/>
      <c r="C99" s="521"/>
      <c r="D99" s="521"/>
      <c r="E99" s="521"/>
      <c r="F99" s="521"/>
    </row>
    <row r="100" spans="2:6" ht="12.75">
      <c r="B100" s="521"/>
      <c r="C100" s="521"/>
      <c r="D100" s="521"/>
      <c r="E100" s="521"/>
      <c r="F100" s="521"/>
    </row>
    <row r="101" spans="2:6" ht="12.75">
      <c r="B101" s="521"/>
      <c r="C101" s="521"/>
      <c r="D101" s="521"/>
      <c r="E101" s="521"/>
      <c r="F101" s="521"/>
    </row>
    <row r="102" spans="2:6" ht="12.75">
      <c r="B102" s="521"/>
      <c r="C102" s="521"/>
      <c r="D102" s="521"/>
      <c r="E102" s="521"/>
      <c r="F102" s="521"/>
    </row>
    <row r="103" spans="2:6" ht="12.75">
      <c r="B103" s="521"/>
      <c r="C103" s="521"/>
      <c r="D103" s="521"/>
      <c r="E103" s="521"/>
      <c r="F103" s="521"/>
    </row>
    <row r="104" spans="2:6" ht="12.75">
      <c r="B104" s="521"/>
      <c r="C104" s="521"/>
      <c r="D104" s="521"/>
      <c r="E104" s="521"/>
      <c r="F104" s="521"/>
    </row>
    <row r="105" spans="2:6" ht="12.75">
      <c r="B105" s="521"/>
      <c r="C105" s="521"/>
      <c r="D105" s="521"/>
      <c r="E105" s="521"/>
      <c r="F105" s="521"/>
    </row>
    <row r="106" spans="2:6" ht="12.75">
      <c r="B106" s="521"/>
      <c r="C106" s="521"/>
      <c r="D106" s="521"/>
      <c r="E106" s="521"/>
      <c r="F106" s="521"/>
    </row>
    <row r="107" spans="2:6" ht="12.75">
      <c r="B107" s="521"/>
      <c r="C107" s="521"/>
      <c r="D107" s="521"/>
      <c r="E107" s="521"/>
      <c r="F107" s="521"/>
    </row>
    <row r="108" spans="2:6" ht="12.75">
      <c r="B108" s="521"/>
      <c r="C108" s="521"/>
      <c r="D108" s="521"/>
      <c r="E108" s="521"/>
      <c r="F108" s="521"/>
    </row>
    <row r="109" spans="2:6" ht="12.75">
      <c r="B109" s="521"/>
      <c r="C109" s="521"/>
      <c r="D109" s="521"/>
      <c r="E109" s="521"/>
      <c r="F109" s="521"/>
    </row>
    <row r="110" spans="2:6" ht="12.75">
      <c r="B110" s="521"/>
      <c r="C110" s="521"/>
      <c r="D110" s="521"/>
      <c r="E110" s="521"/>
      <c r="F110" s="521"/>
    </row>
    <row r="111" spans="2:6" ht="12.75">
      <c r="B111" s="521"/>
      <c r="C111" s="521"/>
      <c r="D111" s="521"/>
      <c r="E111" s="521"/>
      <c r="F111" s="521"/>
    </row>
    <row r="112" spans="2:6" ht="12.75">
      <c r="B112" s="521"/>
      <c r="C112" s="521"/>
      <c r="D112" s="521"/>
      <c r="E112" s="521"/>
      <c r="F112" s="521"/>
    </row>
  </sheetData>
  <sheetProtection/>
  <mergeCells count="9">
    <mergeCell ref="B46:F46"/>
    <mergeCell ref="B47:F47"/>
    <mergeCell ref="B2:F2"/>
    <mergeCell ref="E5:E7"/>
    <mergeCell ref="C3:F3"/>
    <mergeCell ref="C4:F4"/>
    <mergeCell ref="C25:F25"/>
    <mergeCell ref="C26:F26"/>
    <mergeCell ref="E27:E2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L46"/>
  <sheetViews>
    <sheetView zoomScalePageLayoutView="0" workbookViewId="0" topLeftCell="A1">
      <selection activeCell="U3" sqref="U3"/>
    </sheetView>
  </sheetViews>
  <sheetFormatPr defaultColWidth="9.140625" defaultRowHeight="12.75"/>
  <cols>
    <col min="1" max="13" width="9.140625" style="834" customWidth="1"/>
    <col min="14" max="14" width="9.28125" style="834" customWidth="1"/>
    <col min="15" max="16384" width="9.140625" style="834" customWidth="1"/>
  </cols>
  <sheetData>
    <row r="1" ht="20.25" customHeight="1">
      <c r="N1" s="869" t="s">
        <v>409</v>
      </c>
    </row>
    <row r="2" spans="1:14" ht="14.25" customHeight="1">
      <c r="A2" s="1051" t="s">
        <v>601</v>
      </c>
      <c r="B2" s="1051"/>
      <c r="C2" s="1051"/>
      <c r="D2" s="1051"/>
      <c r="E2" s="1051"/>
      <c r="F2" s="1051"/>
      <c r="G2" s="1051"/>
      <c r="H2" s="1051"/>
      <c r="I2" s="1051"/>
      <c r="J2" s="1051"/>
      <c r="K2" s="1051"/>
      <c r="L2" s="1051"/>
      <c r="M2" s="1051"/>
      <c r="N2" s="1051"/>
    </row>
    <row r="3" spans="1:14" ht="12.75" customHeight="1">
      <c r="A3" s="1051"/>
      <c r="B3" s="1051"/>
      <c r="C3" s="1051"/>
      <c r="D3" s="1051"/>
      <c r="E3" s="1051"/>
      <c r="F3" s="1051"/>
      <c r="G3" s="1051"/>
      <c r="H3" s="1051"/>
      <c r="I3" s="1051"/>
      <c r="J3" s="1051"/>
      <c r="K3" s="1051"/>
      <c r="L3" s="1051"/>
      <c r="M3" s="1051"/>
      <c r="N3" s="1051"/>
    </row>
    <row r="4" spans="1:14" ht="12.75" customHeight="1">
      <c r="A4" s="1051"/>
      <c r="B4" s="1051"/>
      <c r="C4" s="1051"/>
      <c r="D4" s="1051"/>
      <c r="E4" s="1051"/>
      <c r="F4" s="1051"/>
      <c r="G4" s="1051"/>
      <c r="H4" s="1051"/>
      <c r="I4" s="1051"/>
      <c r="J4" s="1051"/>
      <c r="K4" s="1051"/>
      <c r="L4" s="1051"/>
      <c r="M4" s="1051"/>
      <c r="N4" s="1051"/>
    </row>
    <row r="5" spans="1:13" ht="12.75" customHeight="1">
      <c r="A5" s="889"/>
      <c r="B5" s="889"/>
      <c r="C5" s="889"/>
      <c r="D5" s="889"/>
      <c r="E5" s="889"/>
      <c r="F5" s="889"/>
      <c r="G5" s="889"/>
      <c r="H5" s="889"/>
      <c r="I5" s="889"/>
      <c r="J5" s="889"/>
      <c r="K5" s="889"/>
      <c r="L5" s="889"/>
      <c r="M5" s="890" t="s">
        <v>594</v>
      </c>
    </row>
    <row r="6" spans="1:38" ht="18.75">
      <c r="A6" s="780"/>
      <c r="B6" s="781">
        <v>2005</v>
      </c>
      <c r="C6" s="781">
        <v>2006</v>
      </c>
      <c r="D6" s="781">
        <v>2007</v>
      </c>
      <c r="E6" s="781">
        <v>2008</v>
      </c>
      <c r="F6" s="781">
        <v>2009</v>
      </c>
      <c r="G6" s="781">
        <v>2010</v>
      </c>
      <c r="H6" s="781">
        <v>2011</v>
      </c>
      <c r="I6" s="781">
        <v>2012</v>
      </c>
      <c r="J6" s="781">
        <v>2013</v>
      </c>
      <c r="K6" s="781">
        <v>2014</v>
      </c>
      <c r="L6" s="781">
        <v>2015</v>
      </c>
      <c r="M6" s="781">
        <v>2016</v>
      </c>
      <c r="N6" s="782" t="s">
        <v>590</v>
      </c>
      <c r="O6" s="1052" t="s">
        <v>595</v>
      </c>
      <c r="P6" s="1053"/>
      <c r="Q6" s="1053"/>
      <c r="R6" s="1053"/>
      <c r="S6" s="1053"/>
      <c r="T6" s="1053"/>
      <c r="U6" s="1053"/>
      <c r="V6" s="1053"/>
      <c r="W6" s="1053"/>
      <c r="X6" s="1053"/>
      <c r="Y6" s="1053"/>
      <c r="Z6" s="1054"/>
      <c r="AA6" s="1052" t="s">
        <v>596</v>
      </c>
      <c r="AB6" s="1053"/>
      <c r="AC6" s="1053"/>
      <c r="AD6" s="1053"/>
      <c r="AE6" s="1053"/>
      <c r="AF6" s="1053"/>
      <c r="AG6" s="1053"/>
      <c r="AH6" s="1053"/>
      <c r="AI6" s="1053"/>
      <c r="AJ6" s="1053"/>
      <c r="AK6" s="1053"/>
      <c r="AL6" s="1054"/>
    </row>
    <row r="7" spans="1:38" ht="12.75">
      <c r="A7" s="780"/>
      <c r="B7" s="783"/>
      <c r="C7" s="783"/>
      <c r="D7" s="783"/>
      <c r="E7" s="783"/>
      <c r="F7" s="783"/>
      <c r="G7" s="783"/>
      <c r="H7" s="783"/>
      <c r="I7" s="783"/>
      <c r="J7" s="783"/>
      <c r="K7" s="783"/>
      <c r="L7" s="783"/>
      <c r="M7" s="783"/>
      <c r="N7" s="784" t="s">
        <v>192</v>
      </c>
      <c r="O7" s="828">
        <v>2005</v>
      </c>
      <c r="P7" s="828">
        <v>2006</v>
      </c>
      <c r="Q7" s="828">
        <v>2007</v>
      </c>
      <c r="R7" s="828">
        <v>2008</v>
      </c>
      <c r="S7" s="828">
        <v>2009</v>
      </c>
      <c r="T7" s="828">
        <v>2010</v>
      </c>
      <c r="U7" s="828">
        <v>2011</v>
      </c>
      <c r="V7" s="828">
        <v>2012</v>
      </c>
      <c r="W7" s="828">
        <v>2013</v>
      </c>
      <c r="X7" s="828">
        <v>2014</v>
      </c>
      <c r="Y7" s="828">
        <v>2015</v>
      </c>
      <c r="Z7" s="830">
        <v>2016</v>
      </c>
      <c r="AA7" s="832">
        <v>2005</v>
      </c>
      <c r="AB7" s="828">
        <v>2006</v>
      </c>
      <c r="AC7" s="828">
        <v>2007</v>
      </c>
      <c r="AD7" s="828">
        <v>2008</v>
      </c>
      <c r="AE7" s="828">
        <v>2009</v>
      </c>
      <c r="AF7" s="828">
        <v>2010</v>
      </c>
      <c r="AG7" s="828">
        <v>2011</v>
      </c>
      <c r="AH7" s="828">
        <v>2012</v>
      </c>
      <c r="AI7" s="828">
        <v>2013</v>
      </c>
      <c r="AJ7" s="828">
        <v>2014</v>
      </c>
      <c r="AK7" s="828">
        <v>2015</v>
      </c>
      <c r="AL7" s="830">
        <v>2016</v>
      </c>
    </row>
    <row r="8" spans="1:38" ht="12.75">
      <c r="A8" s="785" t="s">
        <v>501</v>
      </c>
      <c r="B8" s="786">
        <v>3972.826</v>
      </c>
      <c r="C8" s="786">
        <v>4001.871</v>
      </c>
      <c r="D8" s="786">
        <v>4066.571</v>
      </c>
      <c r="E8" s="786">
        <v>4117.229333333334</v>
      </c>
      <c r="F8" s="786">
        <v>4006.4416666666666</v>
      </c>
      <c r="G8" s="786">
        <v>4077.362</v>
      </c>
      <c r="H8" s="786">
        <v>4028.6231666666663</v>
      </c>
      <c r="I8" s="786">
        <v>4056.0678533333335</v>
      </c>
      <c r="J8" s="786">
        <v>4054.150782</v>
      </c>
      <c r="K8" s="786">
        <v>4043.210731333333</v>
      </c>
      <c r="L8" s="786">
        <v>4094.9326656666667</v>
      </c>
      <c r="M8" s="786">
        <v>4144.442190000001</v>
      </c>
      <c r="N8" s="787">
        <f>M8/L8*100-100</f>
        <v>1.2090436736222472</v>
      </c>
      <c r="O8" s="891">
        <v>0.793069467426965</v>
      </c>
      <c r="P8" s="891">
        <v>0.7862224944282312</v>
      </c>
      <c r="Q8" s="891">
        <v>0.7882537892489766</v>
      </c>
      <c r="R8" s="891">
        <v>0.7956562698151054</v>
      </c>
      <c r="S8" s="891">
        <v>0.8266866067770029</v>
      </c>
      <c r="T8" s="891">
        <v>0.8133064957195363</v>
      </c>
      <c r="U8" s="891">
        <v>0.821441229362935</v>
      </c>
      <c r="V8" s="891">
        <v>0.8179902243515722</v>
      </c>
      <c r="W8" s="891">
        <v>0.8189990803356362</v>
      </c>
      <c r="X8" s="891">
        <v>0.8197871885116783</v>
      </c>
      <c r="Y8" s="891">
        <v>0.821071971998499</v>
      </c>
      <c r="Z8" s="892">
        <v>0.8225235106971054</v>
      </c>
      <c r="AA8" s="893">
        <v>0.20693053257303495</v>
      </c>
      <c r="AB8" s="891">
        <v>0.21377750557176878</v>
      </c>
      <c r="AC8" s="891">
        <v>0.2117462107510234</v>
      </c>
      <c r="AD8" s="891">
        <v>0.2043437301848946</v>
      </c>
      <c r="AE8" s="891">
        <v>0.1733133932229971</v>
      </c>
      <c r="AF8" s="891">
        <v>0.18669350428046372</v>
      </c>
      <c r="AG8" s="891">
        <v>0.17855877063706505</v>
      </c>
      <c r="AH8" s="891">
        <v>0.1820097756484278</v>
      </c>
      <c r="AI8" s="891">
        <v>0.18100091966436382</v>
      </c>
      <c r="AJ8" s="891">
        <v>0.1802128114883217</v>
      </c>
      <c r="AK8" s="891">
        <v>0.17892802800150098</v>
      </c>
      <c r="AL8" s="892">
        <v>0.1774764893028946</v>
      </c>
    </row>
    <row r="9" spans="1:38" ht="12.75">
      <c r="A9" s="788" t="s">
        <v>178</v>
      </c>
      <c r="B9" s="822">
        <v>92.57</v>
      </c>
      <c r="C9" s="822">
        <v>93.38</v>
      </c>
      <c r="D9" s="815">
        <v>94.691</v>
      </c>
      <c r="E9" s="815">
        <v>94.531</v>
      </c>
      <c r="F9" s="815">
        <v>92.446</v>
      </c>
      <c r="G9" s="822">
        <v>94.41</v>
      </c>
      <c r="H9" s="815">
        <v>94.514</v>
      </c>
      <c r="I9" s="822">
        <v>94.82702</v>
      </c>
      <c r="J9" s="822">
        <v>95.15506</v>
      </c>
      <c r="K9" s="822">
        <v>95.48310000000001</v>
      </c>
      <c r="L9" s="822">
        <v>95.81114000000001</v>
      </c>
      <c r="M9" s="815">
        <v>96.07910000000001</v>
      </c>
      <c r="N9" s="793">
        <f aca="true" t="shared" si="0" ref="N9:N44">M9/L9*100-100</f>
        <v>0.2796752026956284</v>
      </c>
      <c r="O9" s="894">
        <v>0.8371610673004213</v>
      </c>
      <c r="P9" s="894">
        <v>0.8385735703576783</v>
      </c>
      <c r="Q9" s="895">
        <v>0.8408085245693888</v>
      </c>
      <c r="R9" s="895">
        <v>0.8428134685976029</v>
      </c>
      <c r="S9" s="895">
        <v>0.8736884235121044</v>
      </c>
      <c r="T9" s="894">
        <v>0.8631606821311302</v>
      </c>
      <c r="U9" s="895">
        <v>0.869849969316715</v>
      </c>
      <c r="V9" s="894">
        <v>0.8687083069783275</v>
      </c>
      <c r="W9" s="894">
        <v>0.8674372124824471</v>
      </c>
      <c r="X9" s="894">
        <v>0.8661748518847838</v>
      </c>
      <c r="Y9" s="894">
        <v>0.8649211354754781</v>
      </c>
      <c r="Z9" s="896">
        <v>0.8642160469862853</v>
      </c>
      <c r="AA9" s="897">
        <v>0.16283893269957872</v>
      </c>
      <c r="AB9" s="894">
        <v>0.16142642964232168</v>
      </c>
      <c r="AC9" s="895">
        <v>0.15919147543061118</v>
      </c>
      <c r="AD9" s="895">
        <v>0.15718653140239713</v>
      </c>
      <c r="AE9" s="895">
        <v>0.1263115764878956</v>
      </c>
      <c r="AF9" s="894">
        <v>0.13683931786886983</v>
      </c>
      <c r="AG9" s="895">
        <v>0.130150030683285</v>
      </c>
      <c r="AH9" s="894">
        <v>0.13129169302167254</v>
      </c>
      <c r="AI9" s="894">
        <v>0.1325627875175529</v>
      </c>
      <c r="AJ9" s="894">
        <v>0.13382514811521617</v>
      </c>
      <c r="AK9" s="894">
        <v>0.1350788645245219</v>
      </c>
      <c r="AL9" s="896">
        <v>0.1357839530137147</v>
      </c>
    </row>
    <row r="10" spans="1:38" ht="12.75">
      <c r="A10" s="790" t="s">
        <v>161</v>
      </c>
      <c r="B10" s="823">
        <v>33.5</v>
      </c>
      <c r="C10" s="816">
        <v>33.5</v>
      </c>
      <c r="D10" s="816">
        <v>33.715</v>
      </c>
      <c r="E10" s="816">
        <v>32.863</v>
      </c>
      <c r="F10" s="816">
        <v>30.163</v>
      </c>
      <c r="G10" s="816">
        <v>29.307</v>
      </c>
      <c r="H10" s="816">
        <v>29.529</v>
      </c>
      <c r="I10" s="816">
        <v>25.704</v>
      </c>
      <c r="J10" s="816">
        <v>26.586</v>
      </c>
      <c r="K10" s="816">
        <v>27.332</v>
      </c>
      <c r="L10" s="816">
        <v>28.564</v>
      </c>
      <c r="M10" s="816">
        <v>29.509</v>
      </c>
      <c r="N10" s="791">
        <f t="shared" si="0"/>
        <v>3.3083601736451556</v>
      </c>
      <c r="O10" s="894">
        <v>0.6835820895522388</v>
      </c>
      <c r="P10" s="895">
        <v>0.6835820895522388</v>
      </c>
      <c r="Q10" s="895">
        <v>0.6973157348361263</v>
      </c>
      <c r="R10" s="895">
        <v>0.7123512765115784</v>
      </c>
      <c r="S10" s="895">
        <v>0.7797301329443358</v>
      </c>
      <c r="T10" s="895">
        <v>0.7871498276862183</v>
      </c>
      <c r="U10" s="895">
        <v>0.7705983947983338</v>
      </c>
      <c r="V10" s="895">
        <v>0.7785169623404917</v>
      </c>
      <c r="W10" s="895">
        <v>0.7538930264048748</v>
      </c>
      <c r="X10" s="895">
        <v>0.7483169910727353</v>
      </c>
      <c r="Y10" s="895">
        <v>0.7318652849740933</v>
      </c>
      <c r="Z10" s="896">
        <v>0.7236436341455149</v>
      </c>
      <c r="AA10" s="897">
        <v>0.31641791044776124</v>
      </c>
      <c r="AB10" s="895">
        <v>0.31641791044776124</v>
      </c>
      <c r="AC10" s="895">
        <v>0.3026842651638737</v>
      </c>
      <c r="AD10" s="895">
        <v>0.28764872348842163</v>
      </c>
      <c r="AE10" s="895">
        <v>0.2202698670556642</v>
      </c>
      <c r="AF10" s="895">
        <v>0.21285017231378167</v>
      </c>
      <c r="AG10" s="895">
        <v>0.2294016052016662</v>
      </c>
      <c r="AH10" s="895">
        <v>0.22148303765950828</v>
      </c>
      <c r="AI10" s="895">
        <v>0.24610697359512523</v>
      </c>
      <c r="AJ10" s="895">
        <v>0.2516830089272647</v>
      </c>
      <c r="AK10" s="895">
        <v>0.2681347150259067</v>
      </c>
      <c r="AL10" s="896">
        <v>0.2763563658544851</v>
      </c>
    </row>
    <row r="11" spans="1:38" ht="12.75">
      <c r="A11" s="788" t="s">
        <v>163</v>
      </c>
      <c r="B11" s="817">
        <v>147.743</v>
      </c>
      <c r="C11" s="817">
        <v>150.966</v>
      </c>
      <c r="D11" s="817">
        <v>154.924</v>
      </c>
      <c r="E11" s="817">
        <v>157.465</v>
      </c>
      <c r="F11" s="817">
        <v>156.674</v>
      </c>
      <c r="G11" s="817">
        <v>155.058</v>
      </c>
      <c r="H11" s="817">
        <v>154.164</v>
      </c>
      <c r="I11" s="817">
        <v>162.652</v>
      </c>
      <c r="J11" s="817">
        <v>156.872</v>
      </c>
      <c r="K11" s="817">
        <v>155.39</v>
      </c>
      <c r="L11" s="817">
        <v>157.295</v>
      </c>
      <c r="M11" s="817">
        <v>159.423</v>
      </c>
      <c r="N11" s="792">
        <f t="shared" si="0"/>
        <v>1.3528719921167323</v>
      </c>
      <c r="O11" s="895">
        <v>0.7749673419383659</v>
      </c>
      <c r="P11" s="895">
        <v>0.7746909900242439</v>
      </c>
      <c r="Q11" s="895">
        <v>0.7697774392605407</v>
      </c>
      <c r="R11" s="895">
        <v>0.7794049471311085</v>
      </c>
      <c r="S11" s="895">
        <v>0.8097259277225322</v>
      </c>
      <c r="T11" s="895">
        <v>0.7976047672483845</v>
      </c>
      <c r="U11" s="895">
        <v>0.8000441088710724</v>
      </c>
      <c r="V11" s="895">
        <v>0.7750350441433244</v>
      </c>
      <c r="W11" s="895">
        <v>0.810272068947932</v>
      </c>
      <c r="X11" s="895">
        <v>0.8095115515798957</v>
      </c>
      <c r="Y11" s="895">
        <v>0.7993642518834038</v>
      </c>
      <c r="Z11" s="896">
        <v>0.8083212585386048</v>
      </c>
      <c r="AA11" s="898">
        <v>0.22503265806163408</v>
      </c>
      <c r="AB11" s="895">
        <v>0.2253090099757561</v>
      </c>
      <c r="AC11" s="895">
        <v>0.23022256073945935</v>
      </c>
      <c r="AD11" s="895">
        <v>0.22059505286889147</v>
      </c>
      <c r="AE11" s="895">
        <v>0.19027407227746784</v>
      </c>
      <c r="AF11" s="895">
        <v>0.20239523275161553</v>
      </c>
      <c r="AG11" s="895">
        <v>0.19995589112892764</v>
      </c>
      <c r="AH11" s="895">
        <v>0.22496495585667564</v>
      </c>
      <c r="AI11" s="895">
        <v>0.18972793105206798</v>
      </c>
      <c r="AJ11" s="895">
        <v>0.19048844842010426</v>
      </c>
      <c r="AK11" s="895">
        <v>0.20063574811659624</v>
      </c>
      <c r="AL11" s="896">
        <v>0.19167874146139519</v>
      </c>
    </row>
    <row r="12" spans="1:38" ht="12.75">
      <c r="A12" s="790" t="s">
        <v>174</v>
      </c>
      <c r="B12" s="816">
        <v>75.027</v>
      </c>
      <c r="C12" s="816">
        <v>76.141</v>
      </c>
      <c r="D12" s="816">
        <v>74.236</v>
      </c>
      <c r="E12" s="816">
        <v>76.796</v>
      </c>
      <c r="F12" s="816">
        <v>76.659</v>
      </c>
      <c r="G12" s="816">
        <v>78.205</v>
      </c>
      <c r="H12" s="816">
        <v>80.123</v>
      </c>
      <c r="I12" s="816">
        <v>78.761</v>
      </c>
      <c r="J12" s="816">
        <v>79.923</v>
      </c>
      <c r="K12" s="816">
        <v>79.211</v>
      </c>
      <c r="L12" s="816">
        <v>78.618</v>
      </c>
      <c r="M12" s="816">
        <v>77.768</v>
      </c>
      <c r="N12" s="791">
        <f t="shared" si="0"/>
        <v>-1.081177338522977</v>
      </c>
      <c r="O12" s="895">
        <v>0.9448998360590187</v>
      </c>
      <c r="P12" s="895">
        <v>0.9505916654627599</v>
      </c>
      <c r="Q12" s="895">
        <v>0.958551107279487</v>
      </c>
      <c r="R12" s="895">
        <v>0.9593989270274493</v>
      </c>
      <c r="S12" s="895">
        <v>0.9576566352287402</v>
      </c>
      <c r="T12" s="895">
        <v>0.952969758966818</v>
      </c>
      <c r="U12" s="895">
        <v>0.9452716448460492</v>
      </c>
      <c r="V12" s="895">
        <v>0.9529843450438669</v>
      </c>
      <c r="W12" s="895">
        <v>0.9548565494288253</v>
      </c>
      <c r="X12" s="895">
        <v>0.9568494274785068</v>
      </c>
      <c r="Y12" s="895">
        <v>0.9573252944618281</v>
      </c>
      <c r="Z12" s="896">
        <v>0.9532198333504783</v>
      </c>
      <c r="AA12" s="898">
        <v>0.05510016394098127</v>
      </c>
      <c r="AB12" s="895">
        <v>0.04940833453724014</v>
      </c>
      <c r="AC12" s="895">
        <v>0.041448892720513</v>
      </c>
      <c r="AD12" s="895">
        <v>0.04060107297255067</v>
      </c>
      <c r="AE12" s="895">
        <v>0.04234336477125977</v>
      </c>
      <c r="AF12" s="895">
        <v>0.047030241033181985</v>
      </c>
      <c r="AG12" s="895">
        <v>0.0547283551539508</v>
      </c>
      <c r="AH12" s="895">
        <v>0.047015654956133135</v>
      </c>
      <c r="AI12" s="895">
        <v>0.04514345057117475</v>
      </c>
      <c r="AJ12" s="895">
        <v>0.043150572521493236</v>
      </c>
      <c r="AK12" s="895">
        <v>0.042674705538171875</v>
      </c>
      <c r="AL12" s="896">
        <v>0.04678016664952167</v>
      </c>
    </row>
    <row r="13" spans="1:38" ht="12.75">
      <c r="A13" s="788" t="s">
        <v>179</v>
      </c>
      <c r="B13" s="817">
        <v>986.686</v>
      </c>
      <c r="C13" s="817">
        <v>990.019</v>
      </c>
      <c r="D13" s="817">
        <v>1014.033</v>
      </c>
      <c r="E13" s="817">
        <v>1005.82</v>
      </c>
      <c r="F13" s="817">
        <v>986.342</v>
      </c>
      <c r="G13" s="817">
        <v>1049.236</v>
      </c>
      <c r="H13" s="824">
        <v>989.0066666666667</v>
      </c>
      <c r="I13" s="824">
        <v>1024.1993333333332</v>
      </c>
      <c r="J13" s="817">
        <v>1025.094</v>
      </c>
      <c r="K13" s="817">
        <v>1025.855</v>
      </c>
      <c r="L13" s="824">
        <v>1039.3425</v>
      </c>
      <c r="M13" s="817">
        <v>1076.295</v>
      </c>
      <c r="N13" s="804">
        <f t="shared" si="0"/>
        <v>3.5553727476746104</v>
      </c>
      <c r="O13" s="895">
        <v>0.8072284394427407</v>
      </c>
      <c r="P13" s="895">
        <v>0.7811971285399573</v>
      </c>
      <c r="Q13" s="895">
        <v>0.7735902086026786</v>
      </c>
      <c r="R13" s="895">
        <v>0.7757819490564912</v>
      </c>
      <c r="S13" s="895">
        <v>0.7949048098935257</v>
      </c>
      <c r="T13" s="895">
        <v>0.7521663381736806</v>
      </c>
      <c r="U13" s="894">
        <v>0.793545375494604</v>
      </c>
      <c r="V13" s="894">
        <v>0.7620033600230164</v>
      </c>
      <c r="W13" s="895">
        <v>0.7570671567680622</v>
      </c>
      <c r="X13" s="895">
        <v>0.7564421872486853</v>
      </c>
      <c r="Y13" s="894">
        <v>0.758089850073484</v>
      </c>
      <c r="Z13" s="899">
        <v>0.7649343349174715</v>
      </c>
      <c r="AA13" s="898">
        <v>0.1927715605572593</v>
      </c>
      <c r="AB13" s="895">
        <v>0.21880287146004274</v>
      </c>
      <c r="AC13" s="895">
        <v>0.22640979139732142</v>
      </c>
      <c r="AD13" s="895">
        <v>0.22421805094350877</v>
      </c>
      <c r="AE13" s="895">
        <v>0.20509519010647426</v>
      </c>
      <c r="AF13" s="895">
        <v>0.24783366182631938</v>
      </c>
      <c r="AG13" s="894">
        <v>0.20645462450539598</v>
      </c>
      <c r="AH13" s="894">
        <v>0.23799663997698361</v>
      </c>
      <c r="AI13" s="895">
        <v>0.24293284323193776</v>
      </c>
      <c r="AJ13" s="895">
        <v>0.24355781275131472</v>
      </c>
      <c r="AK13" s="894">
        <v>0.24191014992651605</v>
      </c>
      <c r="AL13" s="899">
        <v>0.23506566508252846</v>
      </c>
    </row>
    <row r="14" spans="1:38" ht="12.75">
      <c r="A14" s="790" t="s">
        <v>164</v>
      </c>
      <c r="B14" s="816">
        <v>8.901</v>
      </c>
      <c r="C14" s="816">
        <v>8.32</v>
      </c>
      <c r="D14" s="816">
        <v>7.553</v>
      </c>
      <c r="E14" s="816">
        <v>7.131</v>
      </c>
      <c r="F14" s="816">
        <v>6.459</v>
      </c>
      <c r="G14" s="816">
        <v>7.426</v>
      </c>
      <c r="H14" s="816">
        <v>7.371</v>
      </c>
      <c r="I14" s="816">
        <v>6.989</v>
      </c>
      <c r="J14" s="816">
        <v>6.618</v>
      </c>
      <c r="K14" s="816">
        <v>7.991</v>
      </c>
      <c r="L14" s="816">
        <v>7.952</v>
      </c>
      <c r="M14" s="816">
        <v>8.752</v>
      </c>
      <c r="N14" s="791">
        <f t="shared" si="0"/>
        <v>10.060362173038229</v>
      </c>
      <c r="O14" s="895">
        <v>0.341197618245141</v>
      </c>
      <c r="P14" s="895">
        <v>0.36490384615384613</v>
      </c>
      <c r="Q14" s="895">
        <v>0.4533298027273931</v>
      </c>
      <c r="R14" s="895">
        <v>0.4938998737904922</v>
      </c>
      <c r="S14" s="895">
        <v>0.5005418795479176</v>
      </c>
      <c r="T14" s="895">
        <v>0.45152168058173986</v>
      </c>
      <c r="U14" s="895">
        <v>0.435354768688102</v>
      </c>
      <c r="V14" s="895">
        <v>0.45228215767634855</v>
      </c>
      <c r="W14" s="895">
        <v>0.4957691145361136</v>
      </c>
      <c r="X14" s="895">
        <v>0.616318358152922</v>
      </c>
      <c r="Y14" s="895">
        <v>0.6556841046277666</v>
      </c>
      <c r="Z14" s="896">
        <v>0.6160877513711152</v>
      </c>
      <c r="AA14" s="898">
        <v>0.658802381754859</v>
      </c>
      <c r="AB14" s="895">
        <v>0.6350961538461539</v>
      </c>
      <c r="AC14" s="895">
        <v>0.5466701972726069</v>
      </c>
      <c r="AD14" s="895">
        <v>0.5061001262095077</v>
      </c>
      <c r="AE14" s="895">
        <v>0.4994581204520824</v>
      </c>
      <c r="AF14" s="895">
        <v>0.5484783194182601</v>
      </c>
      <c r="AG14" s="895">
        <v>0.5646452313118979</v>
      </c>
      <c r="AH14" s="895">
        <v>0.5477178423236515</v>
      </c>
      <c r="AI14" s="895">
        <v>0.5042308854638864</v>
      </c>
      <c r="AJ14" s="895">
        <v>0.383681641847078</v>
      </c>
      <c r="AK14" s="895">
        <v>0.3443158953722334</v>
      </c>
      <c r="AL14" s="896">
        <v>0.38391224862888484</v>
      </c>
    </row>
    <row r="15" spans="1:38" ht="12.75">
      <c r="A15" s="788" t="s">
        <v>182</v>
      </c>
      <c r="B15" s="815">
        <v>15.96</v>
      </c>
      <c r="C15" s="815">
        <v>15.631</v>
      </c>
      <c r="D15" s="815">
        <v>16.832</v>
      </c>
      <c r="E15" s="815">
        <v>14.471</v>
      </c>
      <c r="F15" s="815">
        <v>17.605</v>
      </c>
      <c r="G15" s="815">
        <v>18.328</v>
      </c>
      <c r="H15" s="815">
        <v>17.219</v>
      </c>
      <c r="I15" s="815">
        <v>16.714</v>
      </c>
      <c r="J15" s="815">
        <v>18.463</v>
      </c>
      <c r="K15" s="815">
        <v>18.475</v>
      </c>
      <c r="L15" s="815">
        <v>18.203</v>
      </c>
      <c r="M15" s="815">
        <v>17.419</v>
      </c>
      <c r="N15" s="793">
        <f t="shared" si="0"/>
        <v>-4.30698236554413</v>
      </c>
      <c r="O15" s="895">
        <v>0.8709273182957393</v>
      </c>
      <c r="P15" s="895">
        <v>0.9279636619538097</v>
      </c>
      <c r="Q15" s="895">
        <v>0.9541349809885932</v>
      </c>
      <c r="R15" s="895">
        <v>0.9850044917421049</v>
      </c>
      <c r="S15" s="895">
        <v>0.9917069014484522</v>
      </c>
      <c r="T15" s="895">
        <v>0.9900152771715408</v>
      </c>
      <c r="U15" s="895">
        <v>0.9877460944305709</v>
      </c>
      <c r="V15" s="895">
        <v>0.9893502453033385</v>
      </c>
      <c r="W15" s="895">
        <v>0.9895466608893463</v>
      </c>
      <c r="X15" s="895">
        <v>0.9889580514208389</v>
      </c>
      <c r="Y15" s="895">
        <v>0.9784650881722793</v>
      </c>
      <c r="Z15" s="896">
        <v>0.9762902577645101</v>
      </c>
      <c r="AA15" s="898">
        <v>0.12907268170426067</v>
      </c>
      <c r="AB15" s="895">
        <v>0.07203633804619025</v>
      </c>
      <c r="AC15" s="895">
        <v>0.04586501901140683</v>
      </c>
      <c r="AD15" s="895">
        <v>0.014995508257895085</v>
      </c>
      <c r="AE15" s="895">
        <v>0.008293098551547806</v>
      </c>
      <c r="AF15" s="895">
        <v>0.009984722828459192</v>
      </c>
      <c r="AG15" s="895">
        <v>0.012253905569429069</v>
      </c>
      <c r="AH15" s="895">
        <v>0.010649754696661518</v>
      </c>
      <c r="AI15" s="895">
        <v>0.010453339110653714</v>
      </c>
      <c r="AJ15" s="895">
        <v>0.011041948579161076</v>
      </c>
      <c r="AK15" s="895">
        <v>0.021534911827720715</v>
      </c>
      <c r="AL15" s="896">
        <v>0.02370974223548994</v>
      </c>
    </row>
    <row r="16" spans="1:38" ht="12.75">
      <c r="A16" s="790" t="s">
        <v>175</v>
      </c>
      <c r="B16" s="816">
        <v>17.729</v>
      </c>
      <c r="C16" s="816">
        <v>19.071</v>
      </c>
      <c r="D16" s="816">
        <v>21.091</v>
      </c>
      <c r="E16" s="816">
        <v>21.164</v>
      </c>
      <c r="F16" s="816">
        <v>19.613</v>
      </c>
      <c r="G16" s="816">
        <v>16.963</v>
      </c>
      <c r="H16" s="816">
        <v>12.534</v>
      </c>
      <c r="I16" s="816">
        <v>11.695</v>
      </c>
      <c r="J16" s="816">
        <v>11.19</v>
      </c>
      <c r="K16" s="816">
        <v>11.495</v>
      </c>
      <c r="L16" s="816">
        <v>10.837</v>
      </c>
      <c r="M16" s="816">
        <v>10.0398</v>
      </c>
      <c r="N16" s="791">
        <f t="shared" si="0"/>
        <v>-7.356279413121712</v>
      </c>
      <c r="O16" s="895">
        <v>0.8964408596085509</v>
      </c>
      <c r="P16" s="895">
        <v>0.886424414031776</v>
      </c>
      <c r="Q16" s="895">
        <v>0.8811815466312645</v>
      </c>
      <c r="R16" s="895">
        <v>0.8655263655263655</v>
      </c>
      <c r="S16" s="895">
        <v>0.9180135624330801</v>
      </c>
      <c r="T16" s="895">
        <v>0.9421092967045923</v>
      </c>
      <c r="U16" s="895">
        <v>0.9304292324876337</v>
      </c>
      <c r="V16" s="895">
        <v>0.9341598973920479</v>
      </c>
      <c r="W16" s="895">
        <v>0.9445933869526363</v>
      </c>
      <c r="X16" s="895">
        <v>0.9206611570247933</v>
      </c>
      <c r="Y16" s="895">
        <v>0.9226723262895635</v>
      </c>
      <c r="Z16" s="896">
        <v>0.9203370585071416</v>
      </c>
      <c r="AA16" s="898">
        <v>0.10355914039144909</v>
      </c>
      <c r="AB16" s="895">
        <v>0.11357558596822404</v>
      </c>
      <c r="AC16" s="895">
        <v>0.11881845336873553</v>
      </c>
      <c r="AD16" s="895">
        <v>0.13447363447363447</v>
      </c>
      <c r="AE16" s="895">
        <v>0.08198643756691992</v>
      </c>
      <c r="AF16" s="895">
        <v>0.057890703295407686</v>
      </c>
      <c r="AG16" s="895">
        <v>0.06957076751236635</v>
      </c>
      <c r="AH16" s="895">
        <v>0.06584010260795214</v>
      </c>
      <c r="AI16" s="895">
        <v>0.05540661304736372</v>
      </c>
      <c r="AJ16" s="895">
        <v>0.07933884297520666</v>
      </c>
      <c r="AK16" s="895">
        <v>0.07732767371043647</v>
      </c>
      <c r="AL16" s="896">
        <v>0.07966294149285835</v>
      </c>
    </row>
    <row r="17" spans="1:38" ht="12.75">
      <c r="A17" s="788" t="s">
        <v>180</v>
      </c>
      <c r="B17" s="815">
        <v>199.384</v>
      </c>
      <c r="C17" s="815">
        <v>200.808</v>
      </c>
      <c r="D17" s="815">
        <v>202.894</v>
      </c>
      <c r="E17" s="815">
        <v>211.677</v>
      </c>
      <c r="F17" s="815">
        <v>207.009</v>
      </c>
      <c r="G17" s="815">
        <v>206.023</v>
      </c>
      <c r="H17" s="815">
        <v>202.002</v>
      </c>
      <c r="I17" s="815">
        <v>208.663</v>
      </c>
      <c r="J17" s="815">
        <v>207.852</v>
      </c>
      <c r="K17" s="815">
        <v>212.97</v>
      </c>
      <c r="L17" s="815">
        <v>209.078</v>
      </c>
      <c r="M17" s="815">
        <v>211.362</v>
      </c>
      <c r="N17" s="789">
        <f t="shared" si="0"/>
        <v>1.0924152708558381</v>
      </c>
      <c r="O17" s="895">
        <v>0.8095584399951852</v>
      </c>
      <c r="P17" s="895">
        <v>0.8150621489183698</v>
      </c>
      <c r="Q17" s="895">
        <v>0.8229075280688438</v>
      </c>
      <c r="R17" s="895">
        <v>0.8434454380967228</v>
      </c>
      <c r="S17" s="895">
        <v>0.8841354723707665</v>
      </c>
      <c r="T17" s="895">
        <v>0.8789309931415424</v>
      </c>
      <c r="U17" s="895">
        <v>0.8715507767249829</v>
      </c>
      <c r="V17" s="895">
        <v>0.8860411285182328</v>
      </c>
      <c r="W17" s="895">
        <v>0.8866068163885842</v>
      </c>
      <c r="X17" s="895">
        <v>0.8787153120157769</v>
      </c>
      <c r="Y17" s="895">
        <v>0.8780407312103616</v>
      </c>
      <c r="Z17" s="899">
        <v>0.8519743378658415</v>
      </c>
      <c r="AA17" s="898">
        <v>0.19044156000481482</v>
      </c>
      <c r="AB17" s="895">
        <v>0.1849378510816302</v>
      </c>
      <c r="AC17" s="895">
        <v>0.17709247193115618</v>
      </c>
      <c r="AD17" s="895">
        <v>0.1565545619032772</v>
      </c>
      <c r="AE17" s="895">
        <v>0.1158645276292335</v>
      </c>
      <c r="AF17" s="895">
        <v>0.12106900685845756</v>
      </c>
      <c r="AG17" s="895">
        <v>0.12844922327501707</v>
      </c>
      <c r="AH17" s="895">
        <v>0.1139588714817672</v>
      </c>
      <c r="AI17" s="895">
        <v>0.11339318361141582</v>
      </c>
      <c r="AJ17" s="895">
        <v>0.1212846879842231</v>
      </c>
      <c r="AK17" s="895">
        <v>0.12195926878963836</v>
      </c>
      <c r="AL17" s="899">
        <v>0.14802566213415846</v>
      </c>
    </row>
    <row r="18" spans="1:38" ht="12.75">
      <c r="A18" s="790" t="s">
        <v>181</v>
      </c>
      <c r="B18" s="816">
        <v>505.8</v>
      </c>
      <c r="C18" s="816">
        <v>484.648</v>
      </c>
      <c r="D18" s="816">
        <v>481.634</v>
      </c>
      <c r="E18" s="816">
        <v>514.719</v>
      </c>
      <c r="F18" s="816">
        <v>480.386</v>
      </c>
      <c r="G18" s="823">
        <v>474.029</v>
      </c>
      <c r="H18" s="823">
        <v>477.463</v>
      </c>
      <c r="I18" s="816">
        <v>473.905</v>
      </c>
      <c r="J18" s="816">
        <v>473.31172200000003</v>
      </c>
      <c r="K18" s="816">
        <v>452.88529800000003</v>
      </c>
      <c r="L18" s="816">
        <v>460.004859</v>
      </c>
      <c r="M18" s="816">
        <v>444.206</v>
      </c>
      <c r="N18" s="791">
        <f t="shared" si="0"/>
        <v>-3.434498286462656</v>
      </c>
      <c r="O18" s="895">
        <v>0.7856465005931198</v>
      </c>
      <c r="P18" s="895">
        <v>0.7874457338109309</v>
      </c>
      <c r="Q18" s="895">
        <v>0.7931229938085766</v>
      </c>
      <c r="R18" s="895">
        <v>0.8165309615537798</v>
      </c>
      <c r="S18" s="895">
        <v>0.8455221426103176</v>
      </c>
      <c r="T18" s="894">
        <v>0.8603777406023682</v>
      </c>
      <c r="U18" s="894">
        <v>0.8576811187463741</v>
      </c>
      <c r="V18" s="895">
        <v>0.8676380287188361</v>
      </c>
      <c r="W18" s="895">
        <v>0.8586639694505601</v>
      </c>
      <c r="X18" s="895">
        <v>0.860589424565511</v>
      </c>
      <c r="Y18" s="895">
        <v>0.8637862214407609</v>
      </c>
      <c r="Z18" s="896">
        <v>0.862212577047586</v>
      </c>
      <c r="AA18" s="898">
        <v>0.2143534994068802</v>
      </c>
      <c r="AB18" s="895">
        <v>0.21255426618906914</v>
      </c>
      <c r="AC18" s="895">
        <v>0.20687700619142335</v>
      </c>
      <c r="AD18" s="895">
        <v>0.1834690384462202</v>
      </c>
      <c r="AE18" s="895">
        <v>0.15447785738968245</v>
      </c>
      <c r="AF18" s="894">
        <v>0.13962225939763184</v>
      </c>
      <c r="AG18" s="894">
        <v>0.1423188812536259</v>
      </c>
      <c r="AH18" s="895">
        <v>0.1323619712811639</v>
      </c>
      <c r="AI18" s="895">
        <v>0.14133603054943988</v>
      </c>
      <c r="AJ18" s="895">
        <v>0.13941057543448898</v>
      </c>
      <c r="AK18" s="895">
        <v>0.1362137785592391</v>
      </c>
      <c r="AL18" s="896">
        <v>0.13778742295241397</v>
      </c>
    </row>
    <row r="19" spans="1:38" ht="12.75">
      <c r="A19" s="788" t="s">
        <v>202</v>
      </c>
      <c r="B19" s="817">
        <v>26.064</v>
      </c>
      <c r="C19" s="817">
        <v>27.613</v>
      </c>
      <c r="D19" s="817">
        <v>27.288</v>
      </c>
      <c r="E19" s="817">
        <v>27.248</v>
      </c>
      <c r="F19" s="817">
        <v>26.085</v>
      </c>
      <c r="G19" s="817">
        <v>25.774</v>
      </c>
      <c r="H19" s="817">
        <v>24.776</v>
      </c>
      <c r="I19" s="817">
        <v>23.71</v>
      </c>
      <c r="J19" s="817">
        <v>21.859</v>
      </c>
      <c r="K19" s="817">
        <v>20.108</v>
      </c>
      <c r="L19" s="817">
        <v>19.716</v>
      </c>
      <c r="M19" s="817">
        <v>19.764</v>
      </c>
      <c r="N19" s="792">
        <f t="shared" si="0"/>
        <v>0.24345709068775534</v>
      </c>
      <c r="O19" s="895">
        <v>0.7048419275629221</v>
      </c>
      <c r="P19" s="895">
        <v>0.699634230253866</v>
      </c>
      <c r="Q19" s="895">
        <v>0.6951040750513046</v>
      </c>
      <c r="R19" s="895">
        <v>0.7034277745155608</v>
      </c>
      <c r="S19" s="895">
        <v>0.7380870231934061</v>
      </c>
      <c r="T19" s="895">
        <v>0.7368666097617754</v>
      </c>
      <c r="U19" s="895">
        <v>0.7489102357119793</v>
      </c>
      <c r="V19" s="895">
        <v>0.7669759595107549</v>
      </c>
      <c r="W19" s="895">
        <v>0.7617457340225994</v>
      </c>
      <c r="X19" s="895">
        <v>0.7523871096081162</v>
      </c>
      <c r="Y19" s="895">
        <v>0.7548691418137553</v>
      </c>
      <c r="Z19" s="896">
        <v>0.7741347905282332</v>
      </c>
      <c r="AA19" s="898">
        <v>0.2951580724370779</v>
      </c>
      <c r="AB19" s="895">
        <v>0.30036576974613405</v>
      </c>
      <c r="AC19" s="895">
        <v>0.30489592494869544</v>
      </c>
      <c r="AD19" s="895">
        <v>0.2965722254844392</v>
      </c>
      <c r="AE19" s="895">
        <v>0.26191297680659387</v>
      </c>
      <c r="AF19" s="895">
        <v>0.2631333902382246</v>
      </c>
      <c r="AG19" s="895">
        <v>0.25108976428802066</v>
      </c>
      <c r="AH19" s="895">
        <v>0.23302404048924508</v>
      </c>
      <c r="AI19" s="895">
        <v>0.23825426597740063</v>
      </c>
      <c r="AJ19" s="895">
        <v>0.24761289039188383</v>
      </c>
      <c r="AK19" s="895">
        <v>0.2451308581862447</v>
      </c>
      <c r="AL19" s="896">
        <v>0.2258652094717668</v>
      </c>
    </row>
    <row r="20" spans="1:38" ht="12.75">
      <c r="A20" s="795" t="s">
        <v>183</v>
      </c>
      <c r="B20" s="818">
        <v>373.334</v>
      </c>
      <c r="C20" s="818">
        <v>369.889</v>
      </c>
      <c r="D20" s="818">
        <v>377.718</v>
      </c>
      <c r="E20" s="818">
        <v>372.259</v>
      </c>
      <c r="F20" s="818">
        <v>356.804</v>
      </c>
      <c r="G20" s="818">
        <v>356.056</v>
      </c>
      <c r="H20" s="825">
        <v>350.8255</v>
      </c>
      <c r="I20" s="818">
        <v>345.137</v>
      </c>
      <c r="J20" s="818">
        <v>358.628</v>
      </c>
      <c r="K20" s="818">
        <v>358.689</v>
      </c>
      <c r="L20" s="818">
        <v>366.434</v>
      </c>
      <c r="M20" s="818">
        <v>369.162</v>
      </c>
      <c r="N20" s="797">
        <f t="shared" si="0"/>
        <v>0.7444724015784487</v>
      </c>
      <c r="O20" s="895">
        <v>0.8373842189567519</v>
      </c>
      <c r="P20" s="895">
        <v>0.8272643955348766</v>
      </c>
      <c r="Q20" s="895">
        <v>0.8344955760646832</v>
      </c>
      <c r="R20" s="895">
        <v>0.8434047262792841</v>
      </c>
      <c r="S20" s="895">
        <v>0.8802900191701887</v>
      </c>
      <c r="T20" s="895">
        <v>0.8852203024243377</v>
      </c>
      <c r="U20" s="894">
        <v>0.8814168297344406</v>
      </c>
      <c r="V20" s="895">
        <v>0.8786626759808424</v>
      </c>
      <c r="W20" s="895">
        <v>0.8864505838919438</v>
      </c>
      <c r="X20" s="895">
        <v>0.8847831965853428</v>
      </c>
      <c r="Y20" s="895">
        <v>0.882620062548781</v>
      </c>
      <c r="Z20" s="896">
        <v>0.8794973480477406</v>
      </c>
      <c r="AA20" s="898">
        <v>0.16261578104324814</v>
      </c>
      <c r="AB20" s="895">
        <v>0.17273560446512337</v>
      </c>
      <c r="AC20" s="895">
        <v>0.16550442393531684</v>
      </c>
      <c r="AD20" s="895">
        <v>0.1565952737207159</v>
      </c>
      <c r="AE20" s="895">
        <v>0.11970998082981132</v>
      </c>
      <c r="AF20" s="895">
        <v>0.11477969757566231</v>
      </c>
      <c r="AG20" s="894">
        <v>0.11858317026555942</v>
      </c>
      <c r="AH20" s="895">
        <v>0.12133732401915764</v>
      </c>
      <c r="AI20" s="895">
        <v>0.11354941610805624</v>
      </c>
      <c r="AJ20" s="895">
        <v>0.11521680341465723</v>
      </c>
      <c r="AK20" s="895">
        <v>0.117379937451219</v>
      </c>
      <c r="AL20" s="896">
        <v>0.1205026519522594</v>
      </c>
    </row>
    <row r="21" spans="1:38" ht="12.75">
      <c r="A21" s="788" t="s">
        <v>162</v>
      </c>
      <c r="B21" s="798" t="s">
        <v>193</v>
      </c>
      <c r="C21" s="798" t="s">
        <v>193</v>
      </c>
      <c r="D21" s="798" t="s">
        <v>193</v>
      </c>
      <c r="E21" s="798" t="s">
        <v>193</v>
      </c>
      <c r="F21" s="798" t="s">
        <v>193</v>
      </c>
      <c r="G21" s="798" t="s">
        <v>193</v>
      </c>
      <c r="H21" s="798" t="s">
        <v>193</v>
      </c>
      <c r="I21" s="798" t="s">
        <v>193</v>
      </c>
      <c r="J21" s="798" t="s">
        <v>193</v>
      </c>
      <c r="K21" s="798" t="s">
        <v>193</v>
      </c>
      <c r="L21" s="798" t="s">
        <v>193</v>
      </c>
      <c r="M21" s="798" t="s">
        <v>193</v>
      </c>
      <c r="N21" s="799" t="s">
        <v>193</v>
      </c>
      <c r="O21" s="900" t="s">
        <v>193</v>
      </c>
      <c r="P21" s="900" t="s">
        <v>193</v>
      </c>
      <c r="Q21" s="900" t="s">
        <v>193</v>
      </c>
      <c r="R21" s="900" t="s">
        <v>193</v>
      </c>
      <c r="S21" s="900" t="s">
        <v>193</v>
      </c>
      <c r="T21" s="900" t="s">
        <v>193</v>
      </c>
      <c r="U21" s="900" t="s">
        <v>193</v>
      </c>
      <c r="V21" s="900" t="s">
        <v>193</v>
      </c>
      <c r="W21" s="900" t="s">
        <v>193</v>
      </c>
      <c r="X21" s="900" t="s">
        <v>193</v>
      </c>
      <c r="Y21" s="900" t="s">
        <v>193</v>
      </c>
      <c r="Z21" s="901" t="s">
        <v>193</v>
      </c>
      <c r="AA21" s="902" t="s">
        <v>193</v>
      </c>
      <c r="AB21" s="900" t="s">
        <v>193</v>
      </c>
      <c r="AC21" s="900" t="s">
        <v>193</v>
      </c>
      <c r="AD21" s="900" t="s">
        <v>193</v>
      </c>
      <c r="AE21" s="900" t="s">
        <v>193</v>
      </c>
      <c r="AF21" s="900" t="s">
        <v>193</v>
      </c>
      <c r="AG21" s="900" t="s">
        <v>193</v>
      </c>
      <c r="AH21" s="900" t="s">
        <v>193</v>
      </c>
      <c r="AI21" s="900" t="s">
        <v>193</v>
      </c>
      <c r="AJ21" s="900" t="s">
        <v>193</v>
      </c>
      <c r="AK21" s="900" t="s">
        <v>193</v>
      </c>
      <c r="AL21" s="901" t="s">
        <v>193</v>
      </c>
    </row>
    <row r="22" spans="1:38" ht="12.75">
      <c r="A22" s="795" t="s">
        <v>166</v>
      </c>
      <c r="B22" s="818">
        <v>18.89</v>
      </c>
      <c r="C22" s="818">
        <v>17.991</v>
      </c>
      <c r="D22" s="818">
        <v>18.578</v>
      </c>
      <c r="E22" s="818">
        <v>19.525</v>
      </c>
      <c r="F22" s="818">
        <v>18.294</v>
      </c>
      <c r="G22" s="818">
        <v>16.626</v>
      </c>
      <c r="H22" s="818">
        <v>18.471</v>
      </c>
      <c r="I22" s="818">
        <v>18.851</v>
      </c>
      <c r="J22" s="818">
        <v>17.576</v>
      </c>
      <c r="K22" s="818">
        <v>17.654</v>
      </c>
      <c r="L22" s="818">
        <v>17.165</v>
      </c>
      <c r="M22" s="818">
        <v>15.2941</v>
      </c>
      <c r="N22" s="797">
        <f t="shared" si="0"/>
        <v>-10.899504806291873</v>
      </c>
      <c r="O22" s="895">
        <v>0.40280571731074644</v>
      </c>
      <c r="P22" s="895">
        <v>0.4119281863153799</v>
      </c>
      <c r="Q22" s="895">
        <v>0.4005813327591775</v>
      </c>
      <c r="R22" s="895">
        <v>0.3895006402048656</v>
      </c>
      <c r="S22" s="895">
        <v>0.3808899092598666</v>
      </c>
      <c r="T22" s="895">
        <v>0.37507518344761215</v>
      </c>
      <c r="U22" s="895">
        <v>0.3432948946997997</v>
      </c>
      <c r="V22" s="895">
        <v>0.3305925415097342</v>
      </c>
      <c r="W22" s="895">
        <v>0.3499089667728721</v>
      </c>
      <c r="X22" s="895">
        <v>0.34632377931347</v>
      </c>
      <c r="Y22" s="895">
        <v>0.353684823769298</v>
      </c>
      <c r="Z22" s="896">
        <v>0.3924977605743391</v>
      </c>
      <c r="AA22" s="898">
        <v>0.5971942826892536</v>
      </c>
      <c r="AB22" s="895">
        <v>0.5880718136846201</v>
      </c>
      <c r="AC22" s="895">
        <v>0.5994186672408225</v>
      </c>
      <c r="AD22" s="895">
        <v>0.6104993597951345</v>
      </c>
      <c r="AE22" s="895">
        <v>0.6191100907401335</v>
      </c>
      <c r="AF22" s="895">
        <v>0.6249248165523879</v>
      </c>
      <c r="AG22" s="895">
        <v>0.6567051053002003</v>
      </c>
      <c r="AH22" s="895">
        <v>0.6694074584902658</v>
      </c>
      <c r="AI22" s="895">
        <v>0.6500910332271279</v>
      </c>
      <c r="AJ22" s="895">
        <v>0.65367622068653</v>
      </c>
      <c r="AK22" s="895">
        <v>0.646315176230702</v>
      </c>
      <c r="AL22" s="896">
        <v>0.6075022394256608</v>
      </c>
    </row>
    <row r="23" spans="1:38" ht="12.75">
      <c r="A23" s="788" t="s">
        <v>167</v>
      </c>
      <c r="B23" s="824">
        <v>14.326</v>
      </c>
      <c r="C23" s="817">
        <v>13.818</v>
      </c>
      <c r="D23" s="817">
        <v>14.862</v>
      </c>
      <c r="E23" s="817">
        <v>15.611</v>
      </c>
      <c r="F23" s="817">
        <v>13.857</v>
      </c>
      <c r="G23" s="817">
        <v>14.368</v>
      </c>
      <c r="H23" s="817">
        <v>15.322</v>
      </c>
      <c r="I23" s="817">
        <v>14.665</v>
      </c>
      <c r="J23" s="817">
        <v>13.926</v>
      </c>
      <c r="K23" s="817">
        <v>14.075</v>
      </c>
      <c r="L23" s="817">
        <v>13.995</v>
      </c>
      <c r="M23" s="817">
        <v>14.298</v>
      </c>
      <c r="N23" s="792">
        <f t="shared" si="0"/>
        <v>2.1650589496248642</v>
      </c>
      <c r="O23" s="894">
        <v>0.3746335334357113</v>
      </c>
      <c r="P23" s="895">
        <v>0.33991894630192504</v>
      </c>
      <c r="Q23" s="895">
        <v>0.32391333602476113</v>
      </c>
      <c r="R23" s="895">
        <v>0.3479597719556723</v>
      </c>
      <c r="S23" s="895">
        <v>0.4158187197806163</v>
      </c>
      <c r="T23" s="895">
        <v>0.3818903118040089</v>
      </c>
      <c r="U23" s="895">
        <v>0.3563503459078449</v>
      </c>
      <c r="V23" s="895">
        <v>0.366655301738834</v>
      </c>
      <c r="W23" s="895">
        <v>0.38065489013356313</v>
      </c>
      <c r="X23" s="895">
        <v>0.373854351687389</v>
      </c>
      <c r="Y23" s="895">
        <v>0.3899964272954627</v>
      </c>
      <c r="Z23" s="896">
        <v>0.42257658413764165</v>
      </c>
      <c r="AA23" s="897">
        <v>0.6253664665642886</v>
      </c>
      <c r="AB23" s="895">
        <v>0.660081053698075</v>
      </c>
      <c r="AC23" s="895">
        <v>0.6760866639752389</v>
      </c>
      <c r="AD23" s="895">
        <v>0.6520402280443277</v>
      </c>
      <c r="AE23" s="895">
        <v>0.5841812802193838</v>
      </c>
      <c r="AF23" s="895">
        <v>0.6181096881959911</v>
      </c>
      <c r="AG23" s="895">
        <v>0.643649654092155</v>
      </c>
      <c r="AH23" s="895">
        <v>0.633344698261166</v>
      </c>
      <c r="AI23" s="895">
        <v>0.6193451098664369</v>
      </c>
      <c r="AJ23" s="895">
        <v>0.626145648312611</v>
      </c>
      <c r="AK23" s="895">
        <v>0.6100035727045373</v>
      </c>
      <c r="AL23" s="896">
        <v>0.5774234158623583</v>
      </c>
    </row>
    <row r="24" spans="1:38" ht="12.75">
      <c r="A24" s="795" t="s">
        <v>184</v>
      </c>
      <c r="B24" s="818">
        <v>7.639</v>
      </c>
      <c r="C24" s="818">
        <v>7.043</v>
      </c>
      <c r="D24" s="818">
        <v>6.904</v>
      </c>
      <c r="E24" s="818">
        <v>7.109</v>
      </c>
      <c r="F24" s="818">
        <v>7.257</v>
      </c>
      <c r="G24" s="818">
        <v>7.979</v>
      </c>
      <c r="H24" s="818">
        <v>8.588</v>
      </c>
      <c r="I24" s="818">
        <v>8.5</v>
      </c>
      <c r="J24" s="818">
        <v>8.243</v>
      </c>
      <c r="K24" s="818">
        <v>8.719</v>
      </c>
      <c r="L24" s="818">
        <v>8.929</v>
      </c>
      <c r="M24" s="818">
        <v>8.211</v>
      </c>
      <c r="N24" s="801">
        <f t="shared" si="0"/>
        <v>-8.041214021726958</v>
      </c>
      <c r="O24" s="895">
        <v>0.7689488152899594</v>
      </c>
      <c r="P24" s="895">
        <v>0.8404089166548346</v>
      </c>
      <c r="Q24" s="895">
        <v>0.8593568945538818</v>
      </c>
      <c r="R24" s="895">
        <v>0.8628499085666057</v>
      </c>
      <c r="S24" s="895">
        <v>0.845941849249001</v>
      </c>
      <c r="T24" s="895">
        <v>0.9261812257175085</v>
      </c>
      <c r="U24" s="895">
        <v>0.9337447601304145</v>
      </c>
      <c r="V24" s="895">
        <v>0.9358823529411765</v>
      </c>
      <c r="W24" s="895">
        <v>0.9353390755792794</v>
      </c>
      <c r="X24" s="895">
        <v>0.9431127422869595</v>
      </c>
      <c r="Y24" s="895">
        <v>0.9428827416284018</v>
      </c>
      <c r="Z24" s="899">
        <v>0.9400803799780781</v>
      </c>
      <c r="AA24" s="898">
        <v>0.2310511847100406</v>
      </c>
      <c r="AB24" s="895">
        <v>0.15959108334516536</v>
      </c>
      <c r="AC24" s="895">
        <v>0.14064310544611824</v>
      </c>
      <c r="AD24" s="895">
        <v>0.1371500914333943</v>
      </c>
      <c r="AE24" s="895">
        <v>0.15405815075099905</v>
      </c>
      <c r="AF24" s="895">
        <v>0.0738187742824915</v>
      </c>
      <c r="AG24" s="895">
        <v>0.06625523986958548</v>
      </c>
      <c r="AH24" s="895">
        <v>0.0641176470588235</v>
      </c>
      <c r="AI24" s="895">
        <v>0.06466092442072058</v>
      </c>
      <c r="AJ24" s="895">
        <v>0.056887257713040484</v>
      </c>
      <c r="AK24" s="895">
        <v>0.0571172583715982</v>
      </c>
      <c r="AL24" s="899">
        <v>0.05991962002192186</v>
      </c>
    </row>
    <row r="25" spans="1:38" ht="12.75">
      <c r="A25" s="788" t="s">
        <v>165</v>
      </c>
      <c r="B25" s="824">
        <v>98.943</v>
      </c>
      <c r="C25" s="824">
        <v>100.758</v>
      </c>
      <c r="D25" s="817">
        <v>104.575</v>
      </c>
      <c r="E25" s="817">
        <v>106.741</v>
      </c>
      <c r="F25" s="817">
        <v>102.009</v>
      </c>
      <c r="G25" s="817">
        <v>100.432</v>
      </c>
      <c r="H25" s="817">
        <v>102.182</v>
      </c>
      <c r="I25" s="817">
        <v>97.309</v>
      </c>
      <c r="J25" s="817">
        <v>97.7</v>
      </c>
      <c r="K25" s="824">
        <v>100.87533333333333</v>
      </c>
      <c r="L25" s="824">
        <v>103.78216666666665</v>
      </c>
      <c r="M25" s="817">
        <v>106.689</v>
      </c>
      <c r="N25" s="792">
        <f t="shared" si="0"/>
        <v>2.8008986771972815</v>
      </c>
      <c r="O25" s="894">
        <v>0.8153280171411823</v>
      </c>
      <c r="P25" s="894">
        <v>0.8006411401576053</v>
      </c>
      <c r="Q25" s="895">
        <v>0.8083002629691609</v>
      </c>
      <c r="R25" s="895">
        <v>0.7983530227372799</v>
      </c>
      <c r="S25" s="895">
        <v>0.8553166877432383</v>
      </c>
      <c r="T25" s="895">
        <v>0.8368547873187828</v>
      </c>
      <c r="U25" s="895">
        <v>0.8459611281830459</v>
      </c>
      <c r="V25" s="895">
        <v>0.8457285554265279</v>
      </c>
      <c r="W25" s="895">
        <v>0.8290583418628454</v>
      </c>
      <c r="X25" s="894">
        <v>0.8289439770541858</v>
      </c>
      <c r="Y25" s="894">
        <v>0.82839376707302</v>
      </c>
      <c r="Z25" s="896">
        <v>0.8278735389777765</v>
      </c>
      <c r="AA25" s="897">
        <v>0.1846719828588177</v>
      </c>
      <c r="AB25" s="894">
        <v>0.19935885984239465</v>
      </c>
      <c r="AC25" s="895">
        <v>0.1916997370308391</v>
      </c>
      <c r="AD25" s="895">
        <v>0.20164697726272007</v>
      </c>
      <c r="AE25" s="895">
        <v>0.14468331225676168</v>
      </c>
      <c r="AF25" s="895">
        <v>0.16314521268121718</v>
      </c>
      <c r="AG25" s="895">
        <v>0.15403887181695408</v>
      </c>
      <c r="AH25" s="895">
        <v>0.15427144457347208</v>
      </c>
      <c r="AI25" s="895">
        <v>0.17094165813715456</v>
      </c>
      <c r="AJ25" s="894">
        <v>0.17105602294581423</v>
      </c>
      <c r="AK25" s="894">
        <v>0.17160623292697996</v>
      </c>
      <c r="AL25" s="896">
        <v>0.1721264610222235</v>
      </c>
    </row>
    <row r="26" spans="1:38" ht="12.75">
      <c r="A26" s="795" t="s">
        <v>168</v>
      </c>
      <c r="B26" s="802" t="s">
        <v>193</v>
      </c>
      <c r="C26" s="802" t="s">
        <v>193</v>
      </c>
      <c r="D26" s="802" t="s">
        <v>193</v>
      </c>
      <c r="E26" s="802" t="s">
        <v>193</v>
      </c>
      <c r="F26" s="802" t="s">
        <v>193</v>
      </c>
      <c r="G26" s="802" t="s">
        <v>193</v>
      </c>
      <c r="H26" s="802" t="s">
        <v>193</v>
      </c>
      <c r="I26" s="802" t="s">
        <v>193</v>
      </c>
      <c r="J26" s="802" t="s">
        <v>193</v>
      </c>
      <c r="K26" s="802" t="s">
        <v>193</v>
      </c>
      <c r="L26" s="802" t="s">
        <v>193</v>
      </c>
      <c r="M26" s="802" t="s">
        <v>193</v>
      </c>
      <c r="N26" s="803" t="s">
        <v>193</v>
      </c>
      <c r="O26" s="900" t="s">
        <v>193</v>
      </c>
      <c r="P26" s="900" t="s">
        <v>193</v>
      </c>
      <c r="Q26" s="900" t="s">
        <v>193</v>
      </c>
      <c r="R26" s="900" t="s">
        <v>193</v>
      </c>
      <c r="S26" s="900" t="s">
        <v>193</v>
      </c>
      <c r="T26" s="900" t="s">
        <v>193</v>
      </c>
      <c r="U26" s="900" t="s">
        <v>193</v>
      </c>
      <c r="V26" s="900" t="s">
        <v>193</v>
      </c>
      <c r="W26" s="900" t="s">
        <v>193</v>
      </c>
      <c r="X26" s="900" t="s">
        <v>193</v>
      </c>
      <c r="Y26" s="900" t="s">
        <v>193</v>
      </c>
      <c r="Z26" s="901" t="s">
        <v>193</v>
      </c>
      <c r="AA26" s="902" t="s">
        <v>193</v>
      </c>
      <c r="AB26" s="900" t="s">
        <v>193</v>
      </c>
      <c r="AC26" s="900" t="s">
        <v>193</v>
      </c>
      <c r="AD26" s="900" t="s">
        <v>193</v>
      </c>
      <c r="AE26" s="900" t="s">
        <v>193</v>
      </c>
      <c r="AF26" s="900" t="s">
        <v>193</v>
      </c>
      <c r="AG26" s="900" t="s">
        <v>193</v>
      </c>
      <c r="AH26" s="900" t="s">
        <v>193</v>
      </c>
      <c r="AI26" s="900" t="s">
        <v>193</v>
      </c>
      <c r="AJ26" s="900" t="s">
        <v>193</v>
      </c>
      <c r="AK26" s="900" t="s">
        <v>193</v>
      </c>
      <c r="AL26" s="901" t="s">
        <v>193</v>
      </c>
    </row>
    <row r="27" spans="1:38" ht="12.75">
      <c r="A27" s="788" t="s">
        <v>176</v>
      </c>
      <c r="B27" s="817">
        <v>133.773</v>
      </c>
      <c r="C27" s="817">
        <v>134.492</v>
      </c>
      <c r="D27" s="817">
        <v>149.55</v>
      </c>
      <c r="E27" s="824">
        <v>147.92033333333333</v>
      </c>
      <c r="F27" s="824">
        <v>142.0776666666667</v>
      </c>
      <c r="G27" s="817">
        <v>139.102</v>
      </c>
      <c r="H27" s="817">
        <v>138.654</v>
      </c>
      <c r="I27" s="824">
        <v>141.2145</v>
      </c>
      <c r="J27" s="817">
        <v>144.048</v>
      </c>
      <c r="K27" s="817">
        <v>145.946</v>
      </c>
      <c r="L27" s="817">
        <v>149.365</v>
      </c>
      <c r="M27" s="819">
        <v>152.048</v>
      </c>
      <c r="N27" s="792">
        <f t="shared" si="0"/>
        <v>1.7962708800589127</v>
      </c>
      <c r="O27" s="895">
        <v>0.9222787857041406</v>
      </c>
      <c r="P27" s="895">
        <v>0.9222035511405883</v>
      </c>
      <c r="Q27" s="895">
        <v>0.9279371447676362</v>
      </c>
      <c r="R27" s="894">
        <v>0.9192470721852529</v>
      </c>
      <c r="S27" s="894">
        <v>0.9373582054885473</v>
      </c>
      <c r="T27" s="895">
        <v>0.9372978102399678</v>
      </c>
      <c r="U27" s="895">
        <v>0.941711021679865</v>
      </c>
      <c r="V27" s="894">
        <v>0.9446374132967932</v>
      </c>
      <c r="W27" s="895">
        <v>0.9456639453515495</v>
      </c>
      <c r="X27" s="895">
        <v>0.9471722417880586</v>
      </c>
      <c r="Y27" s="895">
        <v>0.9450607572055033</v>
      </c>
      <c r="Z27" s="896">
        <v>0.9457934336525308</v>
      </c>
      <c r="AA27" s="898">
        <v>0.07772121429585943</v>
      </c>
      <c r="AB27" s="895">
        <v>0.07779644885941173</v>
      </c>
      <c r="AC27" s="895">
        <v>0.07206285523236378</v>
      </c>
      <c r="AD27" s="894">
        <v>0.08075292781474708</v>
      </c>
      <c r="AE27" s="894">
        <v>0.06264179451145269</v>
      </c>
      <c r="AF27" s="895">
        <v>0.06270218976003217</v>
      </c>
      <c r="AG27" s="895">
        <v>0.05828897832013502</v>
      </c>
      <c r="AH27" s="894">
        <v>0.05536258670320682</v>
      </c>
      <c r="AI27" s="895">
        <v>0.05433605464845048</v>
      </c>
      <c r="AJ27" s="895">
        <v>0.05282775821194141</v>
      </c>
      <c r="AK27" s="895">
        <v>0.05493924279449669</v>
      </c>
      <c r="AL27" s="896">
        <v>0.05420656634746923</v>
      </c>
    </row>
    <row r="28" spans="1:38" ht="12.75">
      <c r="A28" s="795" t="s">
        <v>185</v>
      </c>
      <c r="B28" s="818">
        <v>143.917</v>
      </c>
      <c r="C28" s="818">
        <v>152.408</v>
      </c>
      <c r="D28" s="818">
        <v>155.784</v>
      </c>
      <c r="E28" s="818">
        <v>159.198</v>
      </c>
      <c r="F28" s="818">
        <v>154.088</v>
      </c>
      <c r="G28" s="818">
        <v>151.831</v>
      </c>
      <c r="H28" s="818">
        <v>150.655</v>
      </c>
      <c r="I28" s="818">
        <v>145.668</v>
      </c>
      <c r="J28" s="818">
        <v>146.835</v>
      </c>
      <c r="K28" s="818">
        <v>151.048</v>
      </c>
      <c r="L28" s="818">
        <v>153.395</v>
      </c>
      <c r="M28" s="818">
        <v>153.711</v>
      </c>
      <c r="N28" s="797">
        <f t="shared" si="0"/>
        <v>0.2060041070438956</v>
      </c>
      <c r="O28" s="895">
        <v>0.6584142248657212</v>
      </c>
      <c r="P28" s="895">
        <v>0.6602474935698913</v>
      </c>
      <c r="Q28" s="895">
        <v>0.6539888563652236</v>
      </c>
      <c r="R28" s="895">
        <v>0.6595120541715348</v>
      </c>
      <c r="S28" s="895">
        <v>0.7038640257515186</v>
      </c>
      <c r="T28" s="895">
        <v>0.7015234043113725</v>
      </c>
      <c r="U28" s="895">
        <v>0.7092894361289038</v>
      </c>
      <c r="V28" s="895">
        <v>0.7215998022901392</v>
      </c>
      <c r="W28" s="895">
        <v>0.7153335376442946</v>
      </c>
      <c r="X28" s="895">
        <v>0.7290463958476776</v>
      </c>
      <c r="Y28" s="895">
        <v>0.7269924052283321</v>
      </c>
      <c r="Z28" s="896">
        <v>0.7296354847733734</v>
      </c>
      <c r="AA28" s="898">
        <v>0.3415857751342788</v>
      </c>
      <c r="AB28" s="895">
        <v>0.3397525064301087</v>
      </c>
      <c r="AC28" s="895">
        <v>0.34601114363477636</v>
      </c>
      <c r="AD28" s="895">
        <v>0.3404879458284652</v>
      </c>
      <c r="AE28" s="895">
        <v>0.29613597424848137</v>
      </c>
      <c r="AF28" s="895">
        <v>0.2984765956886275</v>
      </c>
      <c r="AG28" s="895">
        <v>0.2907105638710962</v>
      </c>
      <c r="AH28" s="895">
        <v>0.2784001977098608</v>
      </c>
      <c r="AI28" s="895">
        <v>0.28466646235570536</v>
      </c>
      <c r="AJ28" s="895">
        <v>0.2709536041523224</v>
      </c>
      <c r="AK28" s="895">
        <v>0.2730075947716679</v>
      </c>
      <c r="AL28" s="896">
        <v>0.27036451522662663</v>
      </c>
    </row>
    <row r="29" spans="1:38" ht="12.75">
      <c r="A29" s="788" t="s">
        <v>169</v>
      </c>
      <c r="B29" s="817">
        <v>207.173</v>
      </c>
      <c r="C29" s="817">
        <v>222.052</v>
      </c>
      <c r="D29" s="817">
        <v>219.578</v>
      </c>
      <c r="E29" s="817">
        <v>217.546</v>
      </c>
      <c r="F29" s="817">
        <v>199.489</v>
      </c>
      <c r="G29" s="817">
        <v>211.717</v>
      </c>
      <c r="H29" s="817">
        <v>212.551</v>
      </c>
      <c r="I29" s="817">
        <v>209.854</v>
      </c>
      <c r="J29" s="817">
        <v>202.623</v>
      </c>
      <c r="K29" s="817">
        <v>197.147</v>
      </c>
      <c r="L29" s="817">
        <v>204.585</v>
      </c>
      <c r="M29" s="817">
        <v>221.299</v>
      </c>
      <c r="N29" s="792">
        <f t="shared" si="0"/>
        <v>8.169709411735965</v>
      </c>
      <c r="O29" s="895">
        <v>0.6274804149189325</v>
      </c>
      <c r="P29" s="895">
        <v>0.6209581539459226</v>
      </c>
      <c r="Q29" s="895">
        <v>0.6201486487717349</v>
      </c>
      <c r="R29" s="895">
        <v>0.6302161381960597</v>
      </c>
      <c r="S29" s="895">
        <v>0.6782980515216378</v>
      </c>
      <c r="T29" s="895">
        <v>0.6550300637171318</v>
      </c>
      <c r="U29" s="895">
        <v>0.6289831616882536</v>
      </c>
      <c r="V29" s="895">
        <v>0.6669970550954473</v>
      </c>
      <c r="W29" s="895">
        <v>0.6572353582762075</v>
      </c>
      <c r="X29" s="895">
        <v>0.6569108330332188</v>
      </c>
      <c r="Y29" s="895">
        <v>0.673333822127722</v>
      </c>
      <c r="Z29" s="896">
        <v>0.6944676659180565</v>
      </c>
      <c r="AA29" s="898">
        <v>0.37251958508106753</v>
      </c>
      <c r="AB29" s="895">
        <v>0.3790418460540774</v>
      </c>
      <c r="AC29" s="895">
        <v>0.3798513512282651</v>
      </c>
      <c r="AD29" s="895">
        <v>0.3697838618039403</v>
      </c>
      <c r="AE29" s="895">
        <v>0.3217019484783622</v>
      </c>
      <c r="AF29" s="895">
        <v>0.3449699362828682</v>
      </c>
      <c r="AG29" s="895">
        <v>0.37101683831174637</v>
      </c>
      <c r="AH29" s="895">
        <v>0.33300294490455273</v>
      </c>
      <c r="AI29" s="895">
        <v>0.3427646417237925</v>
      </c>
      <c r="AJ29" s="895">
        <v>0.34308916696678116</v>
      </c>
      <c r="AK29" s="895">
        <v>0.32666617787227803</v>
      </c>
      <c r="AL29" s="896">
        <v>0.30553233408194347</v>
      </c>
    </row>
    <row r="30" spans="1:38" ht="12.75">
      <c r="A30" s="795" t="s">
        <v>186</v>
      </c>
      <c r="B30" s="818">
        <v>37.675</v>
      </c>
      <c r="C30" s="818">
        <v>41.982</v>
      </c>
      <c r="D30" s="818">
        <v>40.596</v>
      </c>
      <c r="E30" s="818">
        <v>43.216</v>
      </c>
      <c r="F30" s="818">
        <v>40.204</v>
      </c>
      <c r="G30" s="818">
        <v>40.001</v>
      </c>
      <c r="H30" s="818">
        <v>37.209</v>
      </c>
      <c r="I30" s="818">
        <v>37.495</v>
      </c>
      <c r="J30" s="818">
        <v>35.118</v>
      </c>
      <c r="K30" s="818">
        <v>35.336</v>
      </c>
      <c r="L30" s="818">
        <v>37.142</v>
      </c>
      <c r="M30" s="818">
        <v>36.67519</v>
      </c>
      <c r="N30" s="797">
        <f t="shared" si="0"/>
        <v>-1.2568251575036413</v>
      </c>
      <c r="O30" s="895">
        <v>0.7963105507631055</v>
      </c>
      <c r="P30" s="895">
        <v>0.8314039350197704</v>
      </c>
      <c r="Q30" s="895">
        <v>0.8021972608138733</v>
      </c>
      <c r="R30" s="895">
        <v>0.8076869677897075</v>
      </c>
      <c r="S30" s="895">
        <v>0.8298676748582231</v>
      </c>
      <c r="T30" s="895">
        <v>0.8123046923826904</v>
      </c>
      <c r="U30" s="895">
        <v>0.8206347926576903</v>
      </c>
      <c r="V30" s="895">
        <v>0.7825043339111881</v>
      </c>
      <c r="W30" s="895">
        <v>0.8642861210775101</v>
      </c>
      <c r="X30" s="895">
        <v>0.8483133348426534</v>
      </c>
      <c r="Y30" s="895">
        <v>0.8245651822734371</v>
      </c>
      <c r="Z30" s="896">
        <v>0.8428624364318221</v>
      </c>
      <c r="AA30" s="898">
        <v>0.20368944923689447</v>
      </c>
      <c r="AB30" s="895">
        <v>0.1685960649802296</v>
      </c>
      <c r="AC30" s="895">
        <v>0.19780273918612667</v>
      </c>
      <c r="AD30" s="895">
        <v>0.1923130322102925</v>
      </c>
      <c r="AE30" s="895">
        <v>0.1701323251417769</v>
      </c>
      <c r="AF30" s="895">
        <v>0.18769530761730957</v>
      </c>
      <c r="AG30" s="895">
        <v>0.17936520734230965</v>
      </c>
      <c r="AH30" s="895">
        <v>0.21749566608881188</v>
      </c>
      <c r="AI30" s="895">
        <v>0.13571387892248987</v>
      </c>
      <c r="AJ30" s="895">
        <v>0.15168666515734663</v>
      </c>
      <c r="AK30" s="895">
        <v>0.17543481772656289</v>
      </c>
      <c r="AL30" s="896">
        <v>0.15713756356817787</v>
      </c>
    </row>
    <row r="31" spans="1:38" ht="12.75">
      <c r="A31" s="788" t="s">
        <v>170</v>
      </c>
      <c r="B31" s="817">
        <v>94.541</v>
      </c>
      <c r="C31" s="817">
        <v>94.241</v>
      </c>
      <c r="D31" s="817">
        <v>95.135</v>
      </c>
      <c r="E31" s="817">
        <v>92.865</v>
      </c>
      <c r="F31" s="817">
        <v>88.995</v>
      </c>
      <c r="G31" s="817">
        <v>86.272</v>
      </c>
      <c r="H31" s="817">
        <v>92.556</v>
      </c>
      <c r="I31" s="817">
        <v>90.125</v>
      </c>
      <c r="J31" s="817">
        <v>82.431</v>
      </c>
      <c r="K31" s="817">
        <v>77.802</v>
      </c>
      <c r="L31" s="817">
        <v>79.941</v>
      </c>
      <c r="M31" s="817">
        <v>80.828</v>
      </c>
      <c r="N31" s="792">
        <f t="shared" si="0"/>
        <v>1.1095683066261444</v>
      </c>
      <c r="O31" s="895">
        <v>0.6923556975280566</v>
      </c>
      <c r="P31" s="895">
        <v>0.7282499124584841</v>
      </c>
      <c r="Q31" s="895">
        <v>0.7280391023282704</v>
      </c>
      <c r="R31" s="895">
        <v>0.7516717816184785</v>
      </c>
      <c r="S31" s="895">
        <v>0.8067194786223946</v>
      </c>
      <c r="T31" s="895">
        <v>0.778746290801187</v>
      </c>
      <c r="U31" s="895">
        <v>0.7680971519944683</v>
      </c>
      <c r="V31" s="895">
        <v>0.7687101248266297</v>
      </c>
      <c r="W31" s="895">
        <v>0.7704504373354685</v>
      </c>
      <c r="X31" s="895">
        <v>0.7718696177476158</v>
      </c>
      <c r="Y31" s="895">
        <v>0.7661775559475112</v>
      </c>
      <c r="Z31" s="899">
        <v>0.7879447716137972</v>
      </c>
      <c r="AA31" s="898">
        <v>0.3076443024719434</v>
      </c>
      <c r="AB31" s="895">
        <v>0.27175008754151586</v>
      </c>
      <c r="AC31" s="895">
        <v>0.2719608976717296</v>
      </c>
      <c r="AD31" s="895">
        <v>0.24832821838152153</v>
      </c>
      <c r="AE31" s="895">
        <v>0.19328052137760543</v>
      </c>
      <c r="AF31" s="895">
        <v>0.22125370919881304</v>
      </c>
      <c r="AG31" s="895">
        <v>0.23190284800553174</v>
      </c>
      <c r="AH31" s="895">
        <v>0.2312898751733703</v>
      </c>
      <c r="AI31" s="895">
        <v>0.22954956266453153</v>
      </c>
      <c r="AJ31" s="895">
        <v>0.22813038225238425</v>
      </c>
      <c r="AK31" s="895">
        <v>0.23382244405248875</v>
      </c>
      <c r="AL31" s="899">
        <v>0.21205522838620283</v>
      </c>
    </row>
    <row r="32" spans="1:38" ht="12.75">
      <c r="A32" s="795" t="s">
        <v>172</v>
      </c>
      <c r="B32" s="818">
        <v>18.635</v>
      </c>
      <c r="C32" s="818">
        <v>18.477</v>
      </c>
      <c r="D32" s="818">
        <v>18.775</v>
      </c>
      <c r="E32" s="818">
        <v>19.015</v>
      </c>
      <c r="F32" s="818">
        <v>17.482</v>
      </c>
      <c r="G32" s="818">
        <v>18.588</v>
      </c>
      <c r="H32" s="818">
        <v>19.142</v>
      </c>
      <c r="I32" s="818">
        <v>18.524</v>
      </c>
      <c r="J32" s="818">
        <v>18.466</v>
      </c>
      <c r="K32" s="818">
        <v>18.924</v>
      </c>
      <c r="L32" s="818">
        <v>17.733</v>
      </c>
      <c r="M32" s="818">
        <v>18.82</v>
      </c>
      <c r="N32" s="797">
        <f t="shared" si="0"/>
        <v>6.129814470196806</v>
      </c>
      <c r="O32" s="895">
        <v>0.577300778105715</v>
      </c>
      <c r="P32" s="895">
        <v>0.5828327109379228</v>
      </c>
      <c r="Q32" s="895">
        <v>0.5652729693741678</v>
      </c>
      <c r="R32" s="895">
        <v>0.5569287404680515</v>
      </c>
      <c r="S32" s="895">
        <v>0.6107424779773482</v>
      </c>
      <c r="T32" s="895">
        <v>0.5765547665160319</v>
      </c>
      <c r="U32" s="895">
        <v>0.5623236861352001</v>
      </c>
      <c r="V32" s="895">
        <v>0.5716907795292593</v>
      </c>
      <c r="W32" s="895">
        <v>0.5485757608577927</v>
      </c>
      <c r="X32" s="895">
        <v>0.5496723737053477</v>
      </c>
      <c r="Y32" s="895">
        <v>0.5392206620425196</v>
      </c>
      <c r="Z32" s="899">
        <v>0.546758767268863</v>
      </c>
      <c r="AA32" s="898">
        <v>0.422699221894285</v>
      </c>
      <c r="AB32" s="895">
        <v>0.41716728906207723</v>
      </c>
      <c r="AC32" s="895">
        <v>0.4347270306258322</v>
      </c>
      <c r="AD32" s="895">
        <v>0.4430712595319485</v>
      </c>
      <c r="AE32" s="895">
        <v>0.38925752202265185</v>
      </c>
      <c r="AF32" s="895">
        <v>0.4234452334839681</v>
      </c>
      <c r="AG32" s="895">
        <v>0.4376763138647999</v>
      </c>
      <c r="AH32" s="895">
        <v>0.4283092204707407</v>
      </c>
      <c r="AI32" s="895">
        <v>0.4514242391422073</v>
      </c>
      <c r="AJ32" s="895">
        <v>0.4503276262946523</v>
      </c>
      <c r="AK32" s="895">
        <v>0.4607793379574804</v>
      </c>
      <c r="AL32" s="899">
        <v>0.45324123273113703</v>
      </c>
    </row>
    <row r="33" spans="1:38" ht="12.75">
      <c r="A33" s="788" t="s">
        <v>171</v>
      </c>
      <c r="B33" s="817">
        <v>47.295</v>
      </c>
      <c r="C33" s="817">
        <v>48.749</v>
      </c>
      <c r="D33" s="817">
        <v>51.424</v>
      </c>
      <c r="E33" s="817">
        <v>46.957</v>
      </c>
      <c r="F33" s="817">
        <v>42.145</v>
      </c>
      <c r="G33" s="817">
        <v>44.029</v>
      </c>
      <c r="H33" s="817">
        <v>42.711</v>
      </c>
      <c r="I33" s="817">
        <v>43.868</v>
      </c>
      <c r="J33" s="817">
        <v>43.25</v>
      </c>
      <c r="K33" s="817">
        <v>43.128</v>
      </c>
      <c r="L33" s="817">
        <v>45.989</v>
      </c>
      <c r="M33" s="817">
        <v>46.675</v>
      </c>
      <c r="N33" s="792">
        <f t="shared" si="0"/>
        <v>1.4916610493813636</v>
      </c>
      <c r="O33" s="895">
        <v>0.6617189977798922</v>
      </c>
      <c r="P33" s="895">
        <v>0.6561365361340745</v>
      </c>
      <c r="Q33" s="895">
        <v>0.6858276291225887</v>
      </c>
      <c r="R33" s="895">
        <v>0.6669719104712822</v>
      </c>
      <c r="S33" s="895">
        <v>0.7397318780400997</v>
      </c>
      <c r="T33" s="895">
        <v>0.7175043721183765</v>
      </c>
      <c r="U33" s="895">
        <v>0.7192760647140081</v>
      </c>
      <c r="V33" s="895">
        <v>0.7151226406492204</v>
      </c>
      <c r="W33" s="895">
        <v>0.7266589595375722</v>
      </c>
      <c r="X33" s="895">
        <v>0.7384297903913931</v>
      </c>
      <c r="Y33" s="895">
        <v>0.7425906194959664</v>
      </c>
      <c r="Z33" s="896">
        <v>0.7181360471344402</v>
      </c>
      <c r="AA33" s="898">
        <v>0.3382810022201078</v>
      </c>
      <c r="AB33" s="895">
        <v>0.3438634638659255</v>
      </c>
      <c r="AC33" s="895">
        <v>0.31417237087741134</v>
      </c>
      <c r="AD33" s="895">
        <v>0.33302808952871776</v>
      </c>
      <c r="AE33" s="895">
        <v>0.26026812195990034</v>
      </c>
      <c r="AF33" s="895">
        <v>0.2824956278816235</v>
      </c>
      <c r="AG33" s="895">
        <v>0.28072393528599193</v>
      </c>
      <c r="AH33" s="895">
        <v>0.2848773593507796</v>
      </c>
      <c r="AI33" s="895">
        <v>0.2733410404624278</v>
      </c>
      <c r="AJ33" s="895">
        <v>0.2615702096086069</v>
      </c>
      <c r="AK33" s="895">
        <v>0.2574093805040336</v>
      </c>
      <c r="AL33" s="896">
        <v>0.28186395286555976</v>
      </c>
    </row>
    <row r="34" spans="1:38" ht="12.75">
      <c r="A34" s="795" t="s">
        <v>187</v>
      </c>
      <c r="B34" s="818">
        <v>48.227</v>
      </c>
      <c r="C34" s="818">
        <v>50.88</v>
      </c>
      <c r="D34" s="818">
        <v>52.577</v>
      </c>
      <c r="E34" s="818">
        <v>53.259</v>
      </c>
      <c r="F34" s="818">
        <v>50.019</v>
      </c>
      <c r="G34" s="818">
        <v>51</v>
      </c>
      <c r="H34" s="818">
        <v>51.07</v>
      </c>
      <c r="I34" s="818">
        <v>50.89</v>
      </c>
      <c r="J34" s="818">
        <v>50.461</v>
      </c>
      <c r="K34" s="818">
        <v>49.67</v>
      </c>
      <c r="L34" s="818">
        <v>48.554</v>
      </c>
      <c r="M34" s="820">
        <v>46.824</v>
      </c>
      <c r="N34" s="797">
        <f t="shared" si="0"/>
        <v>-3.563043209622279</v>
      </c>
      <c r="O34" s="895">
        <v>0.6512534472390984</v>
      </c>
      <c r="P34" s="895">
        <v>0.6394850628930817</v>
      </c>
      <c r="Q34" s="895">
        <v>0.6581014512048995</v>
      </c>
      <c r="R34" s="895">
        <v>0.6586492423815693</v>
      </c>
      <c r="S34" s="895">
        <v>0.7021331893880326</v>
      </c>
      <c r="T34" s="895">
        <v>0.6872156862745098</v>
      </c>
      <c r="U34" s="895">
        <v>0.6966516545917368</v>
      </c>
      <c r="V34" s="895">
        <v>0.7089801532717627</v>
      </c>
      <c r="W34" s="895">
        <v>0.7153643407780266</v>
      </c>
      <c r="X34" s="895">
        <v>0.7182605194282263</v>
      </c>
      <c r="Y34" s="895">
        <v>0.7391358075544754</v>
      </c>
      <c r="Z34" s="896">
        <v>0.7160216982743892</v>
      </c>
      <c r="AA34" s="898">
        <v>0.3487465527609016</v>
      </c>
      <c r="AB34" s="895">
        <v>0.3605149371069183</v>
      </c>
      <c r="AC34" s="895">
        <v>0.3418985487951005</v>
      </c>
      <c r="AD34" s="895">
        <v>0.3413507576184307</v>
      </c>
      <c r="AE34" s="895">
        <v>0.2978668106119674</v>
      </c>
      <c r="AF34" s="895">
        <v>0.3127843137254902</v>
      </c>
      <c r="AG34" s="895">
        <v>0.30334834540826316</v>
      </c>
      <c r="AH34" s="895">
        <v>0.29101984672823733</v>
      </c>
      <c r="AI34" s="895">
        <v>0.2846356592219734</v>
      </c>
      <c r="AJ34" s="895">
        <v>0.28173948057177367</v>
      </c>
      <c r="AK34" s="895">
        <v>0.2608641924455246</v>
      </c>
      <c r="AL34" s="896">
        <v>0.2839783017256108</v>
      </c>
    </row>
    <row r="35" spans="1:38" ht="12.75">
      <c r="A35" s="788" t="s">
        <v>188</v>
      </c>
      <c r="B35" s="817">
        <v>127.683</v>
      </c>
      <c r="C35" s="817">
        <v>131.453</v>
      </c>
      <c r="D35" s="817">
        <v>135.904</v>
      </c>
      <c r="E35" s="817">
        <v>142.468</v>
      </c>
      <c r="F35" s="817">
        <v>135.812</v>
      </c>
      <c r="G35" s="817">
        <v>140.582</v>
      </c>
      <c r="H35" s="817">
        <v>147.19</v>
      </c>
      <c r="I35" s="817">
        <v>145.73</v>
      </c>
      <c r="J35" s="817">
        <v>151.185</v>
      </c>
      <c r="K35" s="817">
        <v>152.984</v>
      </c>
      <c r="L35" s="817">
        <v>152.738</v>
      </c>
      <c r="M35" s="817">
        <v>157.723</v>
      </c>
      <c r="N35" s="792">
        <f t="shared" si="0"/>
        <v>3.2637588550328047</v>
      </c>
      <c r="O35" s="895">
        <v>0.6564538740474456</v>
      </c>
      <c r="P35" s="895">
        <v>0.6541957962161381</v>
      </c>
      <c r="Q35" s="895">
        <v>0.6654844596185543</v>
      </c>
      <c r="R35" s="895">
        <v>0.6653774882780694</v>
      </c>
      <c r="S35" s="895">
        <v>0.7023974317438813</v>
      </c>
      <c r="T35" s="895">
        <v>0.6980623408402213</v>
      </c>
      <c r="U35" s="895">
        <v>0.7053875942659148</v>
      </c>
      <c r="V35" s="895">
        <v>0.727448020311535</v>
      </c>
      <c r="W35" s="895">
        <v>0.7476667658828587</v>
      </c>
      <c r="X35" s="895">
        <v>0.7575040527113946</v>
      </c>
      <c r="Y35" s="895">
        <v>0.7678508295250691</v>
      </c>
      <c r="Z35" s="896">
        <v>0.7733241188666206</v>
      </c>
      <c r="AA35" s="898">
        <v>0.3435461259525544</v>
      </c>
      <c r="AB35" s="895">
        <v>0.3458042037838619</v>
      </c>
      <c r="AC35" s="895">
        <v>0.3345155403814457</v>
      </c>
      <c r="AD35" s="895">
        <v>0.3346225117219306</v>
      </c>
      <c r="AE35" s="895">
        <v>0.29760256825611875</v>
      </c>
      <c r="AF35" s="895">
        <v>0.30193765915977866</v>
      </c>
      <c r="AG35" s="895">
        <v>0.2946124057340852</v>
      </c>
      <c r="AH35" s="895">
        <v>0.272551979688465</v>
      </c>
      <c r="AI35" s="895">
        <v>0.25233323411714126</v>
      </c>
      <c r="AJ35" s="895">
        <v>0.24249594728860535</v>
      </c>
      <c r="AK35" s="895">
        <v>0.2321491704749309</v>
      </c>
      <c r="AL35" s="896">
        <v>0.22667588113337944</v>
      </c>
    </row>
    <row r="36" spans="1:38" ht="12.75">
      <c r="A36" s="795" t="s">
        <v>177</v>
      </c>
      <c r="B36" s="818">
        <v>491.411</v>
      </c>
      <c r="C36" s="818">
        <v>497.541</v>
      </c>
      <c r="D36" s="818">
        <v>495.72</v>
      </c>
      <c r="E36" s="818">
        <v>509.655</v>
      </c>
      <c r="F36" s="818">
        <v>538.468</v>
      </c>
      <c r="G36" s="818">
        <v>544.02</v>
      </c>
      <c r="H36" s="818">
        <v>552.795</v>
      </c>
      <c r="I36" s="818">
        <v>560.418</v>
      </c>
      <c r="J36" s="821">
        <v>560.737</v>
      </c>
      <c r="K36" s="821">
        <v>564.018</v>
      </c>
      <c r="L36" s="821">
        <v>569.764</v>
      </c>
      <c r="M36" s="821">
        <v>565.568</v>
      </c>
      <c r="N36" s="797">
        <f t="shared" si="0"/>
        <v>-0.7364452650571138</v>
      </c>
      <c r="O36" s="895">
        <v>0.9064815398922694</v>
      </c>
      <c r="P36" s="895">
        <v>0.9070528860938094</v>
      </c>
      <c r="Q36" s="895">
        <v>0.9158557250060518</v>
      </c>
      <c r="R36" s="895">
        <v>0.9204579568531653</v>
      </c>
      <c r="S36" s="895">
        <v>0.9315799638975761</v>
      </c>
      <c r="T36" s="895">
        <v>0.9369104077055991</v>
      </c>
      <c r="U36" s="895">
        <v>0.9321520636040486</v>
      </c>
      <c r="V36" s="895">
        <v>0.9327501971742521</v>
      </c>
      <c r="W36" s="903">
        <v>0.9304807779761278</v>
      </c>
      <c r="X36" s="903">
        <v>0.932149328567528</v>
      </c>
      <c r="Y36" s="903">
        <v>0.9340463770964821</v>
      </c>
      <c r="Z36" s="904">
        <v>0.94045985628607</v>
      </c>
      <c r="AA36" s="898">
        <v>0.09351846010773057</v>
      </c>
      <c r="AB36" s="895">
        <v>0.09294711390619059</v>
      </c>
      <c r="AC36" s="895">
        <v>0.08414427499394816</v>
      </c>
      <c r="AD36" s="895">
        <v>0.07954204314683466</v>
      </c>
      <c r="AE36" s="895">
        <v>0.06842003610242386</v>
      </c>
      <c r="AF36" s="895">
        <v>0.06308959229440092</v>
      </c>
      <c r="AG36" s="895">
        <v>0.06784793639595144</v>
      </c>
      <c r="AH36" s="895">
        <v>0.06724980282574788</v>
      </c>
      <c r="AI36" s="903">
        <v>0.06951922202387217</v>
      </c>
      <c r="AJ36" s="903">
        <v>0.06785067143247203</v>
      </c>
      <c r="AK36" s="903">
        <v>0.06595362290351792</v>
      </c>
      <c r="AL36" s="904">
        <v>0.059540143713930016</v>
      </c>
    </row>
    <row r="37" spans="1:38" ht="12.75">
      <c r="A37" s="805" t="s">
        <v>591</v>
      </c>
      <c r="B37" s="806"/>
      <c r="C37" s="806"/>
      <c r="D37" s="806"/>
      <c r="E37" s="806"/>
      <c r="F37" s="806"/>
      <c r="G37" s="806"/>
      <c r="H37" s="806"/>
      <c r="I37" s="806"/>
      <c r="J37" s="806"/>
      <c r="K37" s="806"/>
      <c r="L37" s="806"/>
      <c r="M37" s="806"/>
      <c r="N37" s="807"/>
      <c r="O37" s="905"/>
      <c r="P37" s="905"/>
      <c r="Q37" s="905"/>
      <c r="R37" s="905"/>
      <c r="S37" s="905"/>
      <c r="T37" s="905"/>
      <c r="U37" s="905"/>
      <c r="V37" s="905"/>
      <c r="W37" s="905"/>
      <c r="X37" s="905"/>
      <c r="Y37" s="905"/>
      <c r="Z37" s="906"/>
      <c r="AA37" s="833"/>
      <c r="AB37" s="829"/>
      <c r="AC37" s="829"/>
      <c r="AD37" s="829"/>
      <c r="AE37" s="829"/>
      <c r="AF37" s="829"/>
      <c r="AG37" s="829"/>
      <c r="AH37" s="829"/>
      <c r="AI37" s="829"/>
      <c r="AJ37" s="829"/>
      <c r="AK37" s="829"/>
      <c r="AL37" s="831"/>
    </row>
    <row r="38" spans="1:38" ht="12.75">
      <c r="A38" s="795" t="s">
        <v>548</v>
      </c>
      <c r="B38" s="808"/>
      <c r="C38" s="808"/>
      <c r="D38" s="808"/>
      <c r="E38" s="796"/>
      <c r="F38" s="796"/>
      <c r="G38" s="796"/>
      <c r="H38" s="796"/>
      <c r="I38" s="796"/>
      <c r="J38" s="796">
        <v>1.252</v>
      </c>
      <c r="K38" s="796">
        <v>1.317</v>
      </c>
      <c r="L38" s="796">
        <v>1.401</v>
      </c>
      <c r="M38" s="800">
        <v>1.4402359999999998</v>
      </c>
      <c r="N38" s="801">
        <f t="shared" si="0"/>
        <v>2.800571020699479</v>
      </c>
      <c r="O38" s="907"/>
      <c r="P38" s="907"/>
      <c r="Q38" s="907"/>
      <c r="R38" s="908"/>
      <c r="S38" s="908"/>
      <c r="T38" s="908"/>
      <c r="U38" s="908"/>
      <c r="V38" s="908"/>
      <c r="W38" s="908">
        <v>0.7731629392971247</v>
      </c>
      <c r="X38" s="908">
        <v>0.7471526195899773</v>
      </c>
      <c r="Y38" s="908">
        <v>0.7501784439685939</v>
      </c>
      <c r="Z38" s="909">
        <v>0.7560122091101736</v>
      </c>
      <c r="AA38" s="910"/>
      <c r="AB38" s="907"/>
      <c r="AC38" s="907"/>
      <c r="AD38" s="908"/>
      <c r="AE38" s="908"/>
      <c r="AF38" s="908"/>
      <c r="AG38" s="908"/>
      <c r="AH38" s="908"/>
      <c r="AI38" s="908">
        <v>0.22683706070287535</v>
      </c>
      <c r="AJ38" s="908">
        <v>0.25284738041002275</v>
      </c>
      <c r="AK38" s="908">
        <v>0.2498215560314061</v>
      </c>
      <c r="AL38" s="909">
        <v>0.24398779088982636</v>
      </c>
    </row>
    <row r="39" spans="1:38" ht="12.75">
      <c r="A39" s="788" t="s">
        <v>592</v>
      </c>
      <c r="B39" s="798"/>
      <c r="C39" s="798"/>
      <c r="D39" s="798"/>
      <c r="E39" s="794"/>
      <c r="F39" s="794">
        <v>2.772</v>
      </c>
      <c r="G39" s="794">
        <v>2.79</v>
      </c>
      <c r="H39" s="794">
        <v>2.517</v>
      </c>
      <c r="I39" s="794">
        <v>2.292</v>
      </c>
      <c r="J39" s="794">
        <v>2.207</v>
      </c>
      <c r="K39" s="794">
        <v>2.222</v>
      </c>
      <c r="L39" s="794">
        <v>2.172</v>
      </c>
      <c r="M39" s="794">
        <v>1.962</v>
      </c>
      <c r="N39" s="792">
        <f t="shared" si="0"/>
        <v>-9.668508287292823</v>
      </c>
      <c r="O39" s="900"/>
      <c r="P39" s="900"/>
      <c r="Q39" s="900"/>
      <c r="R39" s="908"/>
      <c r="S39" s="908">
        <v>0.6042568542568543</v>
      </c>
      <c r="T39" s="908">
        <v>0.6129032258064516</v>
      </c>
      <c r="U39" s="908">
        <v>0.6150178784266984</v>
      </c>
      <c r="V39" s="908">
        <v>0.6579406631762653</v>
      </c>
      <c r="W39" s="908">
        <v>0.6647032170367014</v>
      </c>
      <c r="X39" s="908">
        <v>0.6741674167416741</v>
      </c>
      <c r="Y39" s="908">
        <v>0.7546040515653776</v>
      </c>
      <c r="Z39" s="911">
        <v>0.7706422018348624</v>
      </c>
      <c r="AA39" s="902"/>
      <c r="AB39" s="900"/>
      <c r="AC39" s="900"/>
      <c r="AD39" s="908"/>
      <c r="AE39" s="908">
        <v>0.39574314574314573</v>
      </c>
      <c r="AF39" s="908">
        <v>0.3870967741935484</v>
      </c>
      <c r="AG39" s="908">
        <v>0.3849821215733016</v>
      </c>
      <c r="AH39" s="908">
        <v>0.3420593368237347</v>
      </c>
      <c r="AI39" s="908">
        <v>0.33529678296329857</v>
      </c>
      <c r="AJ39" s="908">
        <v>0.32583258325832587</v>
      </c>
      <c r="AK39" s="908">
        <v>0.24539594843462242</v>
      </c>
      <c r="AL39" s="911">
        <v>0.22935779816513757</v>
      </c>
    </row>
    <row r="40" spans="1:38" ht="12.75">
      <c r="A40" s="795" t="s">
        <v>593</v>
      </c>
      <c r="B40" s="802"/>
      <c r="C40" s="802"/>
      <c r="D40" s="802"/>
      <c r="E40" s="808"/>
      <c r="F40" s="808"/>
      <c r="G40" s="800"/>
      <c r="H40" s="800"/>
      <c r="I40" s="800"/>
      <c r="J40" s="800"/>
      <c r="K40" s="800"/>
      <c r="L40" s="800"/>
      <c r="M40" s="800"/>
      <c r="N40" s="801"/>
      <c r="O40" s="900"/>
      <c r="P40" s="900"/>
      <c r="Q40" s="900"/>
      <c r="R40" s="907"/>
      <c r="S40" s="907"/>
      <c r="T40" s="912"/>
      <c r="U40" s="912"/>
      <c r="V40" s="912"/>
      <c r="W40" s="912"/>
      <c r="X40" s="912"/>
      <c r="Y40" s="912"/>
      <c r="Z40" s="909"/>
      <c r="AA40" s="902"/>
      <c r="AB40" s="900"/>
      <c r="AC40" s="900"/>
      <c r="AD40" s="907"/>
      <c r="AE40" s="907"/>
      <c r="AF40" s="912"/>
      <c r="AG40" s="912"/>
      <c r="AH40" s="912"/>
      <c r="AI40" s="912"/>
      <c r="AJ40" s="912"/>
      <c r="AK40" s="912"/>
      <c r="AL40" s="909"/>
    </row>
    <row r="41" spans="1:38" ht="12.75">
      <c r="A41" s="809" t="s">
        <v>173</v>
      </c>
      <c r="B41" s="794">
        <v>44.935</v>
      </c>
      <c r="C41" s="794">
        <v>43.821</v>
      </c>
      <c r="D41" s="794">
        <v>42.863</v>
      </c>
      <c r="E41" s="794">
        <v>42.472</v>
      </c>
      <c r="F41" s="794">
        <v>41.579</v>
      </c>
      <c r="G41" s="794">
        <v>38.761</v>
      </c>
      <c r="H41" s="794">
        <v>40.036</v>
      </c>
      <c r="I41" s="794">
        <v>35.089</v>
      </c>
      <c r="J41" s="794">
        <v>28.795</v>
      </c>
      <c r="K41" s="794">
        <v>42.378</v>
      </c>
      <c r="L41" s="794">
        <v>41.051</v>
      </c>
      <c r="M41" s="794">
        <v>41.698</v>
      </c>
      <c r="N41" s="826">
        <f t="shared" si="0"/>
        <v>1.576088280431648</v>
      </c>
      <c r="O41" s="908">
        <v>0.5907421831534438</v>
      </c>
      <c r="P41" s="908">
        <v>0.5893521371032153</v>
      </c>
      <c r="Q41" s="908">
        <v>0.591582483727224</v>
      </c>
      <c r="R41" s="908">
        <v>0.5574967037106799</v>
      </c>
      <c r="S41" s="908">
        <v>0.5769739531975276</v>
      </c>
      <c r="T41" s="908">
        <v>0.5564097933489848</v>
      </c>
      <c r="U41" s="908">
        <v>0.5619192726546108</v>
      </c>
      <c r="V41" s="908">
        <v>0.5010687109920487</v>
      </c>
      <c r="W41" s="908">
        <v>0.5115818718527522</v>
      </c>
      <c r="X41" s="908">
        <v>0.5070791448393034</v>
      </c>
      <c r="Y41" s="908">
        <v>0.5481230664295632</v>
      </c>
      <c r="Z41" s="911">
        <v>0.5437910691160247</v>
      </c>
      <c r="AA41" s="913">
        <v>0.40925781684655615</v>
      </c>
      <c r="AB41" s="908">
        <v>0.4106478628967847</v>
      </c>
      <c r="AC41" s="908">
        <v>0.408417516272776</v>
      </c>
      <c r="AD41" s="908">
        <v>0.44250329628932006</v>
      </c>
      <c r="AE41" s="908">
        <v>0.42302604680247236</v>
      </c>
      <c r="AF41" s="908">
        <v>0.44359020665101523</v>
      </c>
      <c r="AG41" s="908">
        <v>0.43808072734538916</v>
      </c>
      <c r="AH41" s="908">
        <v>0.49893128900795125</v>
      </c>
      <c r="AI41" s="908">
        <v>0.48841812814724783</v>
      </c>
      <c r="AJ41" s="908">
        <v>0.4929208551606966</v>
      </c>
      <c r="AK41" s="908">
        <v>0.4518769335704368</v>
      </c>
      <c r="AL41" s="911">
        <v>0.4562089308839753</v>
      </c>
    </row>
    <row r="42" spans="1:38" ht="12.75">
      <c r="A42" s="795" t="s">
        <v>160</v>
      </c>
      <c r="B42" s="810" t="s">
        <v>193</v>
      </c>
      <c r="C42" s="810" t="s">
        <v>193</v>
      </c>
      <c r="D42" s="810" t="s">
        <v>193</v>
      </c>
      <c r="E42" s="810" t="s">
        <v>193</v>
      </c>
      <c r="F42" s="810" t="s">
        <v>193</v>
      </c>
      <c r="G42" s="810" t="s">
        <v>193</v>
      </c>
      <c r="H42" s="810" t="s">
        <v>193</v>
      </c>
      <c r="I42" s="810" t="s">
        <v>193</v>
      </c>
      <c r="J42" s="810" t="s">
        <v>193</v>
      </c>
      <c r="K42" s="810" t="s">
        <v>193</v>
      </c>
      <c r="L42" s="810" t="s">
        <v>193</v>
      </c>
      <c r="M42" s="810" t="s">
        <v>193</v>
      </c>
      <c r="N42" s="811" t="s">
        <v>193</v>
      </c>
      <c r="O42" s="905" t="s">
        <v>193</v>
      </c>
      <c r="P42" s="905" t="s">
        <v>193</v>
      </c>
      <c r="Q42" s="905" t="s">
        <v>193</v>
      </c>
      <c r="R42" s="905" t="s">
        <v>193</v>
      </c>
      <c r="S42" s="905" t="s">
        <v>193</v>
      </c>
      <c r="T42" s="905" t="s">
        <v>193</v>
      </c>
      <c r="U42" s="905" t="s">
        <v>193</v>
      </c>
      <c r="V42" s="905" t="s">
        <v>193</v>
      </c>
      <c r="W42" s="905" t="s">
        <v>193</v>
      </c>
      <c r="X42" s="905" t="s">
        <v>193</v>
      </c>
      <c r="Y42" s="905" t="s">
        <v>193</v>
      </c>
      <c r="Z42" s="906" t="s">
        <v>193</v>
      </c>
      <c r="AA42" s="914" t="s">
        <v>193</v>
      </c>
      <c r="AB42" s="905" t="s">
        <v>193</v>
      </c>
      <c r="AC42" s="905" t="s">
        <v>193</v>
      </c>
      <c r="AD42" s="905" t="s">
        <v>193</v>
      </c>
      <c r="AE42" s="905" t="s">
        <v>193</v>
      </c>
      <c r="AF42" s="905" t="s">
        <v>193</v>
      </c>
      <c r="AG42" s="905" t="s">
        <v>193</v>
      </c>
      <c r="AH42" s="905" t="s">
        <v>193</v>
      </c>
      <c r="AI42" s="905" t="s">
        <v>193</v>
      </c>
      <c r="AJ42" s="905" t="s">
        <v>193</v>
      </c>
      <c r="AK42" s="905" t="s">
        <v>193</v>
      </c>
      <c r="AL42" s="906" t="s">
        <v>193</v>
      </c>
    </row>
    <row r="43" spans="1:38" ht="12.75">
      <c r="A43" s="788" t="s">
        <v>189</v>
      </c>
      <c r="B43" s="794">
        <v>41.141</v>
      </c>
      <c r="C43" s="794">
        <v>41.816</v>
      </c>
      <c r="D43" s="794">
        <v>42.364</v>
      </c>
      <c r="E43" s="794">
        <v>43.764</v>
      </c>
      <c r="F43" s="794">
        <v>43.74</v>
      </c>
      <c r="G43" s="794">
        <v>43.788</v>
      </c>
      <c r="H43" s="794">
        <v>43.294</v>
      </c>
      <c r="I43" s="794">
        <v>43.689</v>
      </c>
      <c r="J43" s="794">
        <v>45.924</v>
      </c>
      <c r="K43" s="794">
        <v>46.165</v>
      </c>
      <c r="L43" s="794">
        <v>48.562</v>
      </c>
      <c r="M43" s="812">
        <v>47.448</v>
      </c>
      <c r="N43" s="827">
        <f t="shared" si="0"/>
        <v>-2.293974712738347</v>
      </c>
      <c r="O43" s="908">
        <v>0.8080017500789967</v>
      </c>
      <c r="P43" s="908">
        <v>0.8021092404821121</v>
      </c>
      <c r="Q43" s="908">
        <v>0.7987914266830327</v>
      </c>
      <c r="R43" s="908">
        <v>0.7808015720683666</v>
      </c>
      <c r="S43" s="908">
        <v>0.7929126657521719</v>
      </c>
      <c r="T43" s="908">
        <v>0.8111354709052708</v>
      </c>
      <c r="U43" s="908">
        <v>0.8155864553979766</v>
      </c>
      <c r="V43" s="908">
        <v>0.8228844789306232</v>
      </c>
      <c r="W43" s="908">
        <v>0.8290436373138228</v>
      </c>
      <c r="X43" s="908">
        <v>0.8232210549117297</v>
      </c>
      <c r="Y43" s="908">
        <v>0.8390305176887278</v>
      </c>
      <c r="Z43" s="911">
        <v>0.8592986005732591</v>
      </c>
      <c r="AA43" s="913">
        <v>0.19199824992100334</v>
      </c>
      <c r="AB43" s="908">
        <v>0.19789075951788793</v>
      </c>
      <c r="AC43" s="908">
        <v>0.2012085733169673</v>
      </c>
      <c r="AD43" s="908">
        <v>0.21919842793163336</v>
      </c>
      <c r="AE43" s="908">
        <v>0.2070873342478281</v>
      </c>
      <c r="AF43" s="908">
        <v>0.18886452909472917</v>
      </c>
      <c r="AG43" s="908">
        <v>0.18441354460202342</v>
      </c>
      <c r="AH43" s="908">
        <v>0.17711552106937678</v>
      </c>
      <c r="AI43" s="908">
        <v>0.1709563626861772</v>
      </c>
      <c r="AJ43" s="908">
        <v>0.1767789450882703</v>
      </c>
      <c r="AK43" s="908">
        <v>0.16096948231127217</v>
      </c>
      <c r="AL43" s="911">
        <v>0.14070139942674087</v>
      </c>
    </row>
    <row r="44" spans="1:38" ht="12.75">
      <c r="A44" s="813" t="s">
        <v>561</v>
      </c>
      <c r="B44" s="814">
        <v>0</v>
      </c>
      <c r="C44" s="814">
        <v>0</v>
      </c>
      <c r="D44" s="814">
        <v>0</v>
      </c>
      <c r="E44" s="814">
        <v>200.81</v>
      </c>
      <c r="F44" s="814">
        <v>207.564</v>
      </c>
      <c r="G44" s="814">
        <v>210.546</v>
      </c>
      <c r="H44" s="814">
        <v>212.097</v>
      </c>
      <c r="I44" s="814">
        <v>213.87</v>
      </c>
      <c r="J44" s="814">
        <v>218.205</v>
      </c>
      <c r="K44" s="814">
        <v>222.468</v>
      </c>
      <c r="L44" s="814">
        <v>224.829</v>
      </c>
      <c r="M44" s="814">
        <v>229.374</v>
      </c>
      <c r="N44" s="915">
        <f t="shared" si="0"/>
        <v>2.021536367639399</v>
      </c>
      <c r="O44" s="916"/>
      <c r="P44" s="916"/>
      <c r="Q44" s="916"/>
      <c r="R44" s="916">
        <v>0.8553309098152483</v>
      </c>
      <c r="S44" s="916">
        <v>0.8714854213640131</v>
      </c>
      <c r="T44" s="916">
        <v>0.8711777948761791</v>
      </c>
      <c r="U44" s="916">
        <v>0.8719218093608113</v>
      </c>
      <c r="V44" s="916">
        <v>0.8770421283957545</v>
      </c>
      <c r="W44" s="916">
        <v>0.8729680804747829</v>
      </c>
      <c r="X44" s="916">
        <v>0.8719681032777747</v>
      </c>
      <c r="Y44" s="916">
        <v>0.8731391413029458</v>
      </c>
      <c r="Z44" s="917">
        <v>0.8776190849878365</v>
      </c>
      <c r="AA44" s="918"/>
      <c r="AB44" s="916"/>
      <c r="AC44" s="916"/>
      <c r="AD44" s="916">
        <v>0.14466909018475171</v>
      </c>
      <c r="AE44" s="916">
        <v>0.12851457863598692</v>
      </c>
      <c r="AF44" s="916">
        <v>0.12882220512382092</v>
      </c>
      <c r="AG44" s="916">
        <v>0.12807819063918868</v>
      </c>
      <c r="AH44" s="916">
        <v>0.12295787160424554</v>
      </c>
      <c r="AI44" s="916">
        <v>0.12703191952521709</v>
      </c>
      <c r="AJ44" s="916">
        <v>0.12803189672222526</v>
      </c>
      <c r="AK44" s="916">
        <v>0.1268608586970542</v>
      </c>
      <c r="AL44" s="917">
        <v>0.12238091501216353</v>
      </c>
    </row>
    <row r="45" spans="1:8" ht="12.75">
      <c r="A45" s="919" t="s">
        <v>597</v>
      </c>
      <c r="B45" s="919"/>
      <c r="C45" s="919"/>
      <c r="D45" s="919"/>
      <c r="E45" s="919"/>
      <c r="F45" s="919"/>
      <c r="G45" s="919"/>
      <c r="H45" s="919"/>
    </row>
    <row r="46" spans="1:8" ht="24" customHeight="1">
      <c r="A46" s="1055"/>
      <c r="B46" s="1055"/>
      <c r="C46" s="1055"/>
      <c r="D46" s="1055"/>
      <c r="E46" s="1055"/>
      <c r="F46" s="1055"/>
      <c r="G46" s="1055"/>
      <c r="H46" s="1055"/>
    </row>
  </sheetData>
  <sheetProtection/>
  <mergeCells count="4">
    <mergeCell ref="A2:N4"/>
    <mergeCell ref="O6:Z6"/>
    <mergeCell ref="AA6:AL6"/>
    <mergeCell ref="A46:H4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L51"/>
  <sheetViews>
    <sheetView zoomScalePageLayoutView="0" workbookViewId="0" topLeftCell="A1">
      <selection activeCell="P37" sqref="P37"/>
    </sheetView>
  </sheetViews>
  <sheetFormatPr defaultColWidth="9.140625" defaultRowHeight="12.75"/>
  <cols>
    <col min="7" max="10" width="9.140625" style="0" customWidth="1"/>
    <col min="11" max="11" width="13.140625" style="0" customWidth="1"/>
    <col min="12" max="12" width="13.00390625" style="0" customWidth="1"/>
  </cols>
  <sheetData>
    <row r="1" ht="15.75">
      <c r="L1" s="44" t="s">
        <v>599</v>
      </c>
    </row>
    <row r="2" spans="2:12" ht="11.25" customHeight="1">
      <c r="B2" s="1008" t="s">
        <v>499</v>
      </c>
      <c r="C2" s="1008"/>
      <c r="D2" s="1008"/>
      <c r="E2" s="1008"/>
      <c r="F2" s="1008"/>
      <c r="G2" s="1008"/>
      <c r="H2" s="1008"/>
      <c r="I2" s="1008"/>
      <c r="J2" s="1008"/>
      <c r="K2" s="1008"/>
      <c r="L2" s="1008"/>
    </row>
    <row r="3" spans="2:12" ht="18.75" customHeight="1">
      <c r="B3" s="1008"/>
      <c r="C3" s="1008"/>
      <c r="D3" s="1008"/>
      <c r="E3" s="1008"/>
      <c r="F3" s="1008"/>
      <c r="G3" s="1008"/>
      <c r="H3" s="1008"/>
      <c r="I3" s="1008"/>
      <c r="J3" s="1008"/>
      <c r="K3" s="1008"/>
      <c r="L3" s="1008"/>
    </row>
    <row r="4" spans="2:12" ht="26.25" customHeight="1">
      <c r="B4" s="1008"/>
      <c r="C4" s="1008"/>
      <c r="D4" s="1008"/>
      <c r="E4" s="1008"/>
      <c r="F4" s="1008"/>
      <c r="G4" s="1008"/>
      <c r="H4" s="1008"/>
      <c r="I4" s="1008"/>
      <c r="J4" s="1008"/>
      <c r="K4" s="1008"/>
      <c r="L4" s="1008"/>
    </row>
    <row r="5" spans="3:12" ht="38.25">
      <c r="C5" s="324"/>
      <c r="D5" s="72"/>
      <c r="E5" s="72"/>
      <c r="F5" s="72"/>
      <c r="G5" s="72"/>
      <c r="H5" s="72"/>
      <c r="I5" s="72"/>
      <c r="J5" s="323"/>
      <c r="K5" s="773" t="s">
        <v>620</v>
      </c>
      <c r="L5" s="773" t="s">
        <v>621</v>
      </c>
    </row>
    <row r="6" spans="3:12" ht="12.75">
      <c r="C6" s="39">
        <v>2006</v>
      </c>
      <c r="D6" s="70">
        <v>2008</v>
      </c>
      <c r="E6" s="70">
        <v>2010</v>
      </c>
      <c r="F6" s="70">
        <v>2012</v>
      </c>
      <c r="G6" s="70">
        <v>2013</v>
      </c>
      <c r="H6" s="70">
        <v>2014</v>
      </c>
      <c r="I6" s="70">
        <v>2015</v>
      </c>
      <c r="J6" s="45">
        <v>2016</v>
      </c>
      <c r="K6" s="769">
        <v>2016</v>
      </c>
      <c r="L6" s="769">
        <v>2016</v>
      </c>
    </row>
    <row r="7" spans="3:12" ht="12.75">
      <c r="C7" s="58"/>
      <c r="D7" s="75"/>
      <c r="E7" s="75"/>
      <c r="F7" s="75"/>
      <c r="G7" s="75"/>
      <c r="H7" s="674"/>
      <c r="I7" s="674"/>
      <c r="J7" s="76"/>
      <c r="K7" s="770"/>
      <c r="L7" s="770"/>
    </row>
    <row r="8" spans="2:12" ht="12.75">
      <c r="B8" s="325" t="s">
        <v>178</v>
      </c>
      <c r="C8" s="327">
        <v>0</v>
      </c>
      <c r="D8" s="327">
        <v>0</v>
      </c>
      <c r="E8" s="327">
        <v>0.002</v>
      </c>
      <c r="F8" s="327">
        <v>0.006</v>
      </c>
      <c r="G8" s="635">
        <v>0</v>
      </c>
      <c r="H8" s="635">
        <v>0</v>
      </c>
      <c r="I8" s="684">
        <v>0.0326</v>
      </c>
      <c r="J8" s="684"/>
      <c r="K8" s="771">
        <v>0</v>
      </c>
      <c r="L8" s="771"/>
    </row>
    <row r="9" spans="2:12" ht="12.75">
      <c r="B9" s="293" t="s">
        <v>161</v>
      </c>
      <c r="C9" s="326">
        <v>0</v>
      </c>
      <c r="D9" s="326">
        <v>0</v>
      </c>
      <c r="E9" s="326">
        <v>0.026</v>
      </c>
      <c r="F9" s="326">
        <v>0</v>
      </c>
      <c r="G9" s="636">
        <v>0</v>
      </c>
      <c r="H9" s="636">
        <v>0</v>
      </c>
      <c r="I9" s="683">
        <v>0</v>
      </c>
      <c r="J9" s="683">
        <v>0</v>
      </c>
      <c r="K9" s="771">
        <v>0</v>
      </c>
      <c r="L9" s="771">
        <v>0</v>
      </c>
    </row>
    <row r="10" spans="2:12" ht="12.75">
      <c r="B10" s="322" t="s">
        <v>163</v>
      </c>
      <c r="C10" s="425"/>
      <c r="D10" s="425">
        <v>0</v>
      </c>
      <c r="E10" s="425">
        <v>0.0024</v>
      </c>
      <c r="F10" s="425">
        <v>0.0294</v>
      </c>
      <c r="G10" s="499">
        <v>0.0513</v>
      </c>
      <c r="H10" s="499">
        <v>0.066</v>
      </c>
      <c r="I10" s="500">
        <v>0.050000000000000044</v>
      </c>
      <c r="J10" s="500"/>
      <c r="K10" s="771">
        <v>0.050000000000000044</v>
      </c>
      <c r="L10" s="771"/>
    </row>
    <row r="11" spans="2:12" ht="12.75">
      <c r="B11" s="293" t="s">
        <v>174</v>
      </c>
      <c r="C11" s="326"/>
      <c r="D11" s="326">
        <v>0.09</v>
      </c>
      <c r="E11" s="636">
        <v>0.18</v>
      </c>
      <c r="F11" s="638">
        <v>0.06799999999999995</v>
      </c>
      <c r="G11" s="636">
        <v>0.06499999999999995</v>
      </c>
      <c r="H11" s="636">
        <v>0.06699999999999995</v>
      </c>
      <c r="I11" s="683">
        <v>0.06999999999999995</v>
      </c>
      <c r="J11" s="683">
        <v>0.12</v>
      </c>
      <c r="K11" s="771">
        <v>0.07099999999999995</v>
      </c>
      <c r="L11" s="771"/>
    </row>
    <row r="12" spans="2:12" ht="12.75">
      <c r="B12" s="302" t="s">
        <v>179</v>
      </c>
      <c r="C12" s="425">
        <v>0.038</v>
      </c>
      <c r="D12" s="425">
        <v>0.057</v>
      </c>
      <c r="E12" s="425">
        <v>0.08</v>
      </c>
      <c r="F12" s="425">
        <v>0.10399999999999998</v>
      </c>
      <c r="G12" s="499">
        <v>0.11699999999999999</v>
      </c>
      <c r="H12" s="499">
        <v>0.12</v>
      </c>
      <c r="I12" s="500">
        <v>0.1349109663409337</v>
      </c>
      <c r="J12" s="500">
        <v>0.157</v>
      </c>
      <c r="K12" s="771">
        <v>0.264</v>
      </c>
      <c r="L12" s="771">
        <v>0.006000000000000005</v>
      </c>
    </row>
    <row r="13" spans="2:12" ht="12.75">
      <c r="B13" s="293" t="s">
        <v>164</v>
      </c>
      <c r="C13" s="326">
        <v>0.4</v>
      </c>
      <c r="D13" s="326">
        <v>0.577</v>
      </c>
      <c r="E13" s="326">
        <v>0.5</v>
      </c>
      <c r="F13" s="326">
        <v>0.56</v>
      </c>
      <c r="G13" s="636">
        <v>0.665</v>
      </c>
      <c r="H13" s="636">
        <v>0.063</v>
      </c>
      <c r="I13" s="683">
        <v>0</v>
      </c>
      <c r="J13" s="683">
        <v>0.059942911512844914</v>
      </c>
      <c r="K13" s="771">
        <v>0</v>
      </c>
      <c r="L13" s="771">
        <v>1</v>
      </c>
    </row>
    <row r="14" spans="2:12" ht="12.75">
      <c r="B14" s="302" t="s">
        <v>182</v>
      </c>
      <c r="C14" s="425">
        <v>0</v>
      </c>
      <c r="D14" s="425">
        <v>0</v>
      </c>
      <c r="E14" s="425">
        <v>0</v>
      </c>
      <c r="F14" s="425">
        <v>0</v>
      </c>
      <c r="G14" s="499">
        <v>0</v>
      </c>
      <c r="H14" s="499"/>
      <c r="I14" s="500"/>
      <c r="J14" s="500">
        <v>0</v>
      </c>
      <c r="K14" s="771">
        <v>0</v>
      </c>
      <c r="L14" s="771">
        <v>1</v>
      </c>
    </row>
    <row r="15" spans="2:12" ht="12.75">
      <c r="B15" s="293" t="s">
        <v>175</v>
      </c>
      <c r="C15" s="326"/>
      <c r="D15" s="326">
        <v>0</v>
      </c>
      <c r="E15" s="326">
        <v>0</v>
      </c>
      <c r="F15" s="326">
        <v>0</v>
      </c>
      <c r="G15" s="636">
        <v>0</v>
      </c>
      <c r="H15" s="636">
        <v>0</v>
      </c>
      <c r="I15" s="683">
        <v>0</v>
      </c>
      <c r="J15" s="683">
        <v>0</v>
      </c>
      <c r="K15" s="771">
        <v>0</v>
      </c>
      <c r="L15" s="771">
        <v>0</v>
      </c>
    </row>
    <row r="16" spans="2:12" ht="12.75">
      <c r="B16" s="302" t="s">
        <v>180</v>
      </c>
      <c r="C16" s="425"/>
      <c r="D16" s="425">
        <v>0</v>
      </c>
      <c r="E16" s="425">
        <v>0</v>
      </c>
      <c r="F16" s="425">
        <v>0</v>
      </c>
      <c r="G16" s="499">
        <v>0</v>
      </c>
      <c r="H16" s="499">
        <v>0</v>
      </c>
      <c r="I16" s="500">
        <v>0</v>
      </c>
      <c r="J16" s="500">
        <v>0</v>
      </c>
      <c r="K16" s="771">
        <v>0</v>
      </c>
      <c r="L16" s="771">
        <v>0</v>
      </c>
    </row>
    <row r="17" spans="2:12" ht="12.75">
      <c r="B17" s="293" t="s">
        <v>181</v>
      </c>
      <c r="C17" s="326"/>
      <c r="D17" s="326">
        <v>0</v>
      </c>
      <c r="E17" s="326">
        <v>0.01</v>
      </c>
      <c r="F17" s="326"/>
      <c r="G17" s="636"/>
      <c r="H17" s="636">
        <v>0.05</v>
      </c>
      <c r="I17" s="683">
        <v>0.04987594514091187</v>
      </c>
      <c r="J17" s="683">
        <v>0</v>
      </c>
      <c r="K17" s="771">
        <v>0</v>
      </c>
      <c r="L17" s="771">
        <v>0.07999999999999996</v>
      </c>
    </row>
    <row r="18" spans="2:12" ht="12.75">
      <c r="B18" s="322" t="s">
        <v>202</v>
      </c>
      <c r="C18" s="425">
        <v>0</v>
      </c>
      <c r="D18" s="425">
        <v>0</v>
      </c>
      <c r="E18" s="425">
        <v>0</v>
      </c>
      <c r="F18" s="425">
        <v>0</v>
      </c>
      <c r="G18" s="499">
        <v>0</v>
      </c>
      <c r="H18" s="499">
        <v>0</v>
      </c>
      <c r="I18" s="500">
        <v>0</v>
      </c>
      <c r="J18" s="500">
        <v>0</v>
      </c>
      <c r="K18" s="771">
        <v>0</v>
      </c>
      <c r="L18" s="771">
        <v>0</v>
      </c>
    </row>
    <row r="19" spans="2:12" ht="12.75">
      <c r="B19" s="293" t="s">
        <v>183</v>
      </c>
      <c r="C19" s="326">
        <v>0.098</v>
      </c>
      <c r="D19" s="326"/>
      <c r="E19" s="326">
        <v>0.083</v>
      </c>
      <c r="F19" s="326">
        <v>0.083</v>
      </c>
      <c r="G19" s="636"/>
      <c r="H19" s="677">
        <v>0.19</v>
      </c>
      <c r="I19" s="326">
        <v>0.23</v>
      </c>
      <c r="J19" s="683">
        <v>0.25166357633952047</v>
      </c>
      <c r="K19" s="771">
        <v>0.243</v>
      </c>
      <c r="L19" s="771">
        <v>0.263</v>
      </c>
    </row>
    <row r="20" spans="2:12" ht="12.75">
      <c r="B20" s="322" t="s">
        <v>162</v>
      </c>
      <c r="C20" s="425" t="s">
        <v>193</v>
      </c>
      <c r="D20" s="425" t="s">
        <v>193</v>
      </c>
      <c r="E20" s="425" t="s">
        <v>193</v>
      </c>
      <c r="F20" s="425" t="s">
        <v>193</v>
      </c>
      <c r="G20" s="499" t="s">
        <v>193</v>
      </c>
      <c r="H20" s="499" t="s">
        <v>193</v>
      </c>
      <c r="I20" s="500" t="s">
        <v>193</v>
      </c>
      <c r="J20" s="500" t="s">
        <v>193</v>
      </c>
      <c r="K20" s="771" t="s">
        <v>193</v>
      </c>
      <c r="L20" s="771" t="s">
        <v>193</v>
      </c>
    </row>
    <row r="21" spans="2:12" ht="12.75">
      <c r="B21" s="293" t="s">
        <v>166</v>
      </c>
      <c r="C21" s="326">
        <v>0.101</v>
      </c>
      <c r="D21" s="326">
        <v>0.0908</v>
      </c>
      <c r="E21" s="326">
        <v>0.1054</v>
      </c>
      <c r="F21" s="326">
        <v>0.117</v>
      </c>
      <c r="G21" s="636">
        <v>0.123</v>
      </c>
      <c r="H21" s="636">
        <v>0.11</v>
      </c>
      <c r="I21" s="683">
        <v>0.0826</v>
      </c>
      <c r="J21" s="683">
        <v>0.06960396716826266</v>
      </c>
      <c r="K21" s="771">
        <v>0.0010000000000000009</v>
      </c>
      <c r="L21" s="771">
        <v>0.999</v>
      </c>
    </row>
    <row r="22" spans="2:12" ht="12.75">
      <c r="B22" s="302" t="s">
        <v>167</v>
      </c>
      <c r="C22" s="425">
        <v>0</v>
      </c>
      <c r="D22" s="425">
        <v>0</v>
      </c>
      <c r="E22" s="425">
        <v>0</v>
      </c>
      <c r="F22" s="425">
        <v>0</v>
      </c>
      <c r="G22" s="499">
        <v>0</v>
      </c>
      <c r="H22" s="499">
        <v>0</v>
      </c>
      <c r="I22" s="500">
        <v>0</v>
      </c>
      <c r="J22" s="500">
        <v>0</v>
      </c>
      <c r="K22" s="771">
        <v>0</v>
      </c>
      <c r="L22" s="771">
        <v>0</v>
      </c>
    </row>
    <row r="23" spans="2:12" ht="12.75">
      <c r="B23" s="297" t="s">
        <v>184</v>
      </c>
      <c r="C23" s="326">
        <v>0</v>
      </c>
      <c r="D23" s="326"/>
      <c r="E23" s="326"/>
      <c r="F23" s="326"/>
      <c r="G23" s="636"/>
      <c r="H23" s="636">
        <v>0</v>
      </c>
      <c r="I23" s="683">
        <v>0</v>
      </c>
      <c r="J23" s="683">
        <v>0</v>
      </c>
      <c r="K23" s="771">
        <v>0</v>
      </c>
      <c r="L23" s="771">
        <v>0</v>
      </c>
    </row>
    <row r="24" spans="2:12" ht="12.75">
      <c r="B24" s="322" t="s">
        <v>165</v>
      </c>
      <c r="C24" s="425">
        <v>0.014</v>
      </c>
      <c r="D24" s="425">
        <v>0.018</v>
      </c>
      <c r="E24" s="425">
        <v>0.018</v>
      </c>
      <c r="F24" s="425">
        <v>0.029</v>
      </c>
      <c r="G24" s="499">
        <v>0.03200000000000003</v>
      </c>
      <c r="H24" s="499">
        <v>0.032</v>
      </c>
      <c r="I24" s="500">
        <v>0.03453796679136323</v>
      </c>
      <c r="J24" s="500">
        <v>0.03465586197882621</v>
      </c>
      <c r="K24" s="771">
        <v>0.03399999999999992</v>
      </c>
      <c r="L24" s="771">
        <v>0.04799999999999993</v>
      </c>
    </row>
    <row r="25" spans="2:12" ht="12.75">
      <c r="B25" s="293" t="s">
        <v>168</v>
      </c>
      <c r="C25" s="326" t="s">
        <v>193</v>
      </c>
      <c r="D25" s="326" t="s">
        <v>193</v>
      </c>
      <c r="E25" s="326" t="s">
        <v>193</v>
      </c>
      <c r="F25" s="326" t="s">
        <v>193</v>
      </c>
      <c r="G25" s="636" t="s">
        <v>193</v>
      </c>
      <c r="H25" s="636" t="s">
        <v>193</v>
      </c>
      <c r="I25" s="683" t="s">
        <v>193</v>
      </c>
      <c r="J25" s="683" t="s">
        <v>193</v>
      </c>
      <c r="K25" s="771" t="s">
        <v>193</v>
      </c>
      <c r="L25" s="771" t="s">
        <v>193</v>
      </c>
    </row>
    <row r="26" spans="2:12" ht="12.75">
      <c r="B26" s="302" t="s">
        <v>176</v>
      </c>
      <c r="C26" s="425">
        <v>0.019</v>
      </c>
      <c r="D26" s="425">
        <v>0.02</v>
      </c>
      <c r="E26" s="425">
        <v>0.048</v>
      </c>
      <c r="F26" s="425">
        <v>0.05</v>
      </c>
      <c r="G26" s="499"/>
      <c r="H26" s="499"/>
      <c r="I26" s="500">
        <v>0.149</v>
      </c>
      <c r="J26" s="500">
        <v>0.05</v>
      </c>
      <c r="K26" s="771">
        <v>0.051999999999999935</v>
      </c>
      <c r="L26" s="771"/>
    </row>
    <row r="27" spans="2:12" ht="12.75">
      <c r="B27" s="297" t="s">
        <v>185</v>
      </c>
      <c r="C27" s="326">
        <v>0.065</v>
      </c>
      <c r="D27" s="326"/>
      <c r="E27" s="326">
        <v>0.054</v>
      </c>
      <c r="F27" s="326">
        <v>0.08799999999999997</v>
      </c>
      <c r="G27" s="636">
        <v>0.123</v>
      </c>
      <c r="H27" s="636">
        <v>0.118</v>
      </c>
      <c r="I27" s="683">
        <v>0.12210335790335791</v>
      </c>
      <c r="J27" s="683">
        <v>0.117</v>
      </c>
      <c r="K27" s="771">
        <v>0.07099999999999995</v>
      </c>
      <c r="L27" s="771">
        <v>0.22199999999999998</v>
      </c>
    </row>
    <row r="28" spans="2:12" ht="12.75">
      <c r="B28" s="302" t="s">
        <v>169</v>
      </c>
      <c r="C28" s="425">
        <v>0.0917</v>
      </c>
      <c r="D28" s="425">
        <v>0.368</v>
      </c>
      <c r="E28" s="425">
        <v>0.4831</v>
      </c>
      <c r="F28" s="425">
        <v>0.514</v>
      </c>
      <c r="G28" s="499">
        <v>0.5782</v>
      </c>
      <c r="H28" s="499">
        <v>0.558</v>
      </c>
      <c r="I28" s="500">
        <v>0.5173633906917657</v>
      </c>
      <c r="J28" s="500">
        <v>0.4466307786653248</v>
      </c>
      <c r="K28" s="771">
        <v>0.5189999999999999</v>
      </c>
      <c r="L28" s="771">
        <v>0.02199999999999991</v>
      </c>
    </row>
    <row r="29" spans="2:12" ht="12.75">
      <c r="B29" s="293" t="s">
        <v>186</v>
      </c>
      <c r="C29" s="326">
        <v>0.09</v>
      </c>
      <c r="D29" s="326"/>
      <c r="E29" s="636">
        <v>0.09</v>
      </c>
      <c r="F29" s="638">
        <v>0.06130000000000002</v>
      </c>
      <c r="G29" s="636">
        <v>0.059</v>
      </c>
      <c r="H29" s="636">
        <v>0.068</v>
      </c>
      <c r="I29" s="683">
        <v>0.054051151153680865</v>
      </c>
      <c r="J29" s="683">
        <v>0.08281483625138666</v>
      </c>
      <c r="K29" s="771">
        <v>1</v>
      </c>
      <c r="L29" s="771">
        <v>0</v>
      </c>
    </row>
    <row r="30" spans="2:12" ht="12.75">
      <c r="B30" s="322" t="s">
        <v>170</v>
      </c>
      <c r="C30" s="425">
        <v>0.0053</v>
      </c>
      <c r="D30" s="425">
        <v>0.011</v>
      </c>
      <c r="E30" s="425">
        <v>0.0393</v>
      </c>
      <c r="F30" s="499"/>
      <c r="G30" s="425">
        <v>0.096</v>
      </c>
      <c r="H30" s="499">
        <v>0.091</v>
      </c>
      <c r="I30" s="500"/>
      <c r="J30" s="500"/>
      <c r="K30" s="771">
        <v>0.10599999999999998</v>
      </c>
      <c r="L30" s="771"/>
    </row>
    <row r="31" spans="2:12" ht="12.75">
      <c r="B31" s="293" t="s">
        <v>172</v>
      </c>
      <c r="C31" s="326">
        <v>0</v>
      </c>
      <c r="D31" s="326">
        <v>0</v>
      </c>
      <c r="E31" s="326">
        <v>0.0001</v>
      </c>
      <c r="F31" s="326">
        <v>0</v>
      </c>
      <c r="G31" s="636">
        <v>0</v>
      </c>
      <c r="H31" s="636">
        <v>0</v>
      </c>
      <c r="I31" s="683">
        <v>0</v>
      </c>
      <c r="J31" s="683">
        <v>0</v>
      </c>
      <c r="K31" s="771">
        <v>0</v>
      </c>
      <c r="L31" s="771">
        <v>0</v>
      </c>
    </row>
    <row r="32" spans="2:12" ht="12.75">
      <c r="B32" s="322" t="s">
        <v>171</v>
      </c>
      <c r="C32" s="425">
        <v>0</v>
      </c>
      <c r="D32" s="425">
        <v>0.0003</v>
      </c>
      <c r="E32" s="425">
        <v>0.0003</v>
      </c>
      <c r="F32" s="425">
        <v>0.0338</v>
      </c>
      <c r="G32" s="499">
        <v>0.0376</v>
      </c>
      <c r="H32" s="499">
        <v>0.0374</v>
      </c>
      <c r="I32" s="682">
        <v>0.06</v>
      </c>
      <c r="J32" s="425">
        <v>0.15342237225459432</v>
      </c>
      <c r="K32" s="771">
        <v>0.07999999999999996</v>
      </c>
      <c r="L32" s="771">
        <v>0.965</v>
      </c>
    </row>
    <row r="33" spans="2:12" ht="12.75">
      <c r="B33" s="293" t="s">
        <v>187</v>
      </c>
      <c r="C33" s="326">
        <v>0</v>
      </c>
      <c r="D33" s="326">
        <v>0</v>
      </c>
      <c r="E33" s="326">
        <v>0</v>
      </c>
      <c r="F33" s="326">
        <v>0</v>
      </c>
      <c r="G33" s="636">
        <v>0</v>
      </c>
      <c r="H33" s="636">
        <v>0</v>
      </c>
      <c r="I33" s="683">
        <v>0</v>
      </c>
      <c r="J33" s="683">
        <v>0</v>
      </c>
      <c r="K33" s="771">
        <v>0</v>
      </c>
      <c r="L33" s="771">
        <v>0</v>
      </c>
    </row>
    <row r="34" spans="2:12" ht="12.75">
      <c r="B34" s="302" t="s">
        <v>188</v>
      </c>
      <c r="C34" s="425">
        <v>0.19</v>
      </c>
      <c r="D34" s="425"/>
      <c r="E34" s="425"/>
      <c r="F34" s="425"/>
      <c r="G34" s="499">
        <v>0.36</v>
      </c>
      <c r="H34" s="499"/>
      <c r="I34" s="500">
        <v>0.3347</v>
      </c>
      <c r="J34" s="500">
        <v>0.3522820312499999</v>
      </c>
      <c r="K34" s="771">
        <v>0.6</v>
      </c>
      <c r="L34" s="771">
        <v>0.10999999999999999</v>
      </c>
    </row>
    <row r="35" spans="2:12" ht="12.75">
      <c r="B35" s="293" t="s">
        <v>177</v>
      </c>
      <c r="C35" s="326"/>
      <c r="D35" s="326">
        <v>0.895</v>
      </c>
      <c r="E35" s="326">
        <v>0.899</v>
      </c>
      <c r="F35" s="326">
        <v>0.8996929375639714</v>
      </c>
      <c r="G35" s="636">
        <v>0.897</v>
      </c>
      <c r="H35" s="678">
        <v>0.892</v>
      </c>
      <c r="I35" s="683"/>
      <c r="J35" s="683">
        <v>0.8689986064990513</v>
      </c>
      <c r="K35" s="771">
        <v>0.865</v>
      </c>
      <c r="L35" s="771">
        <v>1</v>
      </c>
    </row>
    <row r="36" spans="2:12" ht="12.75">
      <c r="B36" s="426" t="s">
        <v>189</v>
      </c>
      <c r="C36" s="427"/>
      <c r="D36" s="427">
        <v>0.12</v>
      </c>
      <c r="E36" s="427">
        <v>0.12</v>
      </c>
      <c r="F36" s="427">
        <v>0.1</v>
      </c>
      <c r="G36" s="637">
        <v>0.1</v>
      </c>
      <c r="H36" s="637">
        <v>0.1</v>
      </c>
      <c r="I36" s="427">
        <v>0.10699999999999998</v>
      </c>
      <c r="J36" s="427">
        <v>0.09098348047446242</v>
      </c>
      <c r="K36" s="772">
        <v>0.09199999999999998</v>
      </c>
      <c r="L36" s="772">
        <v>0</v>
      </c>
    </row>
    <row r="37" spans="2:10" ht="28.5" customHeight="1">
      <c r="B37" s="1056" t="s">
        <v>587</v>
      </c>
      <c r="C37" s="1056"/>
      <c r="D37" s="1056"/>
      <c r="E37" s="1056"/>
      <c r="F37" s="1056"/>
      <c r="G37" s="1056"/>
      <c r="H37" s="1056"/>
      <c r="I37" s="1056"/>
      <c r="J37" s="1056"/>
    </row>
    <row r="38" spans="2:10" ht="46.5" customHeight="1">
      <c r="B38" s="1057" t="s">
        <v>588</v>
      </c>
      <c r="C38" s="1057"/>
      <c r="D38" s="1057"/>
      <c r="E38" s="1057"/>
      <c r="F38" s="1057"/>
      <c r="G38" s="1057"/>
      <c r="H38" s="1057"/>
      <c r="I38" s="1057"/>
      <c r="J38" s="1057"/>
    </row>
    <row r="39" spans="2:10" ht="24.75" customHeight="1">
      <c r="B39" s="1042" t="s">
        <v>576</v>
      </c>
      <c r="C39" s="1042"/>
      <c r="D39" s="1042"/>
      <c r="E39" s="1042"/>
      <c r="F39" s="1042"/>
      <c r="G39" s="1042"/>
      <c r="H39" s="1042"/>
      <c r="I39" s="1042"/>
      <c r="J39" s="1042"/>
    </row>
    <row r="48" spans="9:11" ht="12.75">
      <c r="I48" s="680"/>
      <c r="J48" s="680"/>
      <c r="K48" s="681"/>
    </row>
    <row r="49" spans="9:11" ht="12.75">
      <c r="I49" s="680"/>
      <c r="J49" s="680"/>
      <c r="K49" s="681"/>
    </row>
    <row r="50" spans="9:11" ht="12.75">
      <c r="I50" s="680"/>
      <c r="J50" s="680"/>
      <c r="K50" s="681"/>
    </row>
    <row r="51" spans="9:12" ht="12.75">
      <c r="I51" s="681"/>
      <c r="J51" s="681"/>
      <c r="K51" s="681"/>
      <c r="L51" s="680"/>
    </row>
  </sheetData>
  <sheetProtection/>
  <mergeCells count="4">
    <mergeCell ref="B37:J37"/>
    <mergeCell ref="B39:J39"/>
    <mergeCell ref="B2:L4"/>
    <mergeCell ref="B38:J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37"/>
  <sheetViews>
    <sheetView zoomScalePageLayoutView="0" workbookViewId="0" topLeftCell="A1">
      <selection activeCell="A39" sqref="A39:IV82"/>
    </sheetView>
  </sheetViews>
  <sheetFormatPr defaultColWidth="9.140625" defaultRowHeight="12.75"/>
  <cols>
    <col min="1" max="1" width="12.00390625" style="0" customWidth="1"/>
    <col min="30" max="30" width="13.140625" style="0" customWidth="1"/>
  </cols>
  <sheetData>
    <row r="1" ht="14.25" customHeight="1">
      <c r="AD1" s="10" t="s">
        <v>395</v>
      </c>
    </row>
    <row r="2" spans="1:30" ht="19.5" customHeight="1">
      <c r="A2" s="930" t="s">
        <v>305</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row>
    <row r="3" spans="1:30" ht="19.5" customHeight="1">
      <c r="A3" s="931" t="s">
        <v>480</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row>
    <row r="4" spans="1:30" ht="12.75">
      <c r="A4" s="932">
        <v>2016</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row>
    <row r="5" spans="2:29" ht="13.5" customHeight="1">
      <c r="B5" s="114" t="s">
        <v>244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284"/>
    </row>
    <row r="6" spans="1:30" ht="24" customHeight="1">
      <c r="A6" s="113" t="s">
        <v>216</v>
      </c>
      <c r="B6" s="170" t="s">
        <v>217</v>
      </c>
      <c r="C6" s="171" t="s">
        <v>218</v>
      </c>
      <c r="D6" s="171" t="s">
        <v>219</v>
      </c>
      <c r="E6" s="171" t="s">
        <v>220</v>
      </c>
      <c r="F6" s="171" t="s">
        <v>221</v>
      </c>
      <c r="G6" s="171" t="s">
        <v>222</v>
      </c>
      <c r="H6" s="171" t="s">
        <v>223</v>
      </c>
      <c r="I6" s="171" t="s">
        <v>224</v>
      </c>
      <c r="J6" s="171" t="s">
        <v>225</v>
      </c>
      <c r="K6" s="171" t="s">
        <v>195</v>
      </c>
      <c r="L6" s="171" t="s">
        <v>459</v>
      </c>
      <c r="M6" s="171" t="s">
        <v>226</v>
      </c>
      <c r="N6" s="171" t="s">
        <v>227</v>
      </c>
      <c r="O6" s="171" t="s">
        <v>228</v>
      </c>
      <c r="P6" s="171" t="s">
        <v>229</v>
      </c>
      <c r="Q6" s="171" t="s">
        <v>230</v>
      </c>
      <c r="R6" s="171" t="s">
        <v>231</v>
      </c>
      <c r="S6" s="171" t="s">
        <v>232</v>
      </c>
      <c r="T6" s="171" t="s">
        <v>233</v>
      </c>
      <c r="U6" s="171" t="s">
        <v>194</v>
      </c>
      <c r="V6" s="171" t="s">
        <v>234</v>
      </c>
      <c r="W6" s="171" t="s">
        <v>235</v>
      </c>
      <c r="X6" s="171" t="s">
        <v>236</v>
      </c>
      <c r="Y6" s="171" t="s">
        <v>237</v>
      </c>
      <c r="Z6" s="171" t="s">
        <v>238</v>
      </c>
      <c r="AA6" s="171" t="s">
        <v>239</v>
      </c>
      <c r="AB6" s="171" t="s">
        <v>240</v>
      </c>
      <c r="AC6" s="172" t="s">
        <v>241</v>
      </c>
      <c r="AD6" s="8"/>
    </row>
    <row r="7" spans="1:30" ht="15" customHeight="1">
      <c r="A7" s="168" t="s">
        <v>217</v>
      </c>
      <c r="B7" s="328">
        <v>11.732</v>
      </c>
      <c r="C7" s="329">
        <v>218.702</v>
      </c>
      <c r="D7" s="329">
        <v>420.473</v>
      </c>
      <c r="E7" s="329">
        <v>722.691</v>
      </c>
      <c r="F7" s="329">
        <v>1917.578</v>
      </c>
      <c r="G7" s="329">
        <v>40.137</v>
      </c>
      <c r="H7" s="329">
        <v>506.387</v>
      </c>
      <c r="I7" s="329">
        <v>960.805</v>
      </c>
      <c r="J7" s="329">
        <v>5625.601</v>
      </c>
      <c r="K7" s="329">
        <v>2142.009</v>
      </c>
      <c r="L7" s="329">
        <v>223.755</v>
      </c>
      <c r="M7" s="329">
        <v>3309.307</v>
      </c>
      <c r="N7" s="329">
        <v>78.77</v>
      </c>
      <c r="O7" s="329">
        <v>112.164</v>
      </c>
      <c r="P7" s="329">
        <v>94.783</v>
      </c>
      <c r="Q7" s="329">
        <v>1.41</v>
      </c>
      <c r="R7" s="329">
        <v>511.34</v>
      </c>
      <c r="S7" s="329">
        <v>115.806</v>
      </c>
      <c r="T7" s="329">
        <v>222.898</v>
      </c>
      <c r="U7" s="329">
        <v>401.911</v>
      </c>
      <c r="V7" s="329">
        <v>701.527</v>
      </c>
      <c r="W7" s="329">
        <v>1315.557</v>
      </c>
      <c r="X7" s="329">
        <v>533.21</v>
      </c>
      <c r="Y7" s="329">
        <v>96.673</v>
      </c>
      <c r="Z7" s="329">
        <v>89.626</v>
      </c>
      <c r="AA7" s="329">
        <v>169.579</v>
      </c>
      <c r="AB7" s="329">
        <v>507.975</v>
      </c>
      <c r="AC7" s="329">
        <v>1473.446</v>
      </c>
      <c r="AD7" s="173" t="s">
        <v>217</v>
      </c>
    </row>
    <row r="8" spans="1:30" ht="15" customHeight="1">
      <c r="A8" s="168" t="s">
        <v>218</v>
      </c>
      <c r="B8" s="330">
        <v>210.189</v>
      </c>
      <c r="C8" s="328">
        <v>163.845</v>
      </c>
      <c r="D8" s="330">
        <v>278.488</v>
      </c>
      <c r="E8" s="330">
        <v>103.265</v>
      </c>
      <c r="F8" s="330">
        <v>1843.766</v>
      </c>
      <c r="G8" s="330">
        <v>37.771</v>
      </c>
      <c r="H8" s="330">
        <v>43.967</v>
      </c>
      <c r="I8" s="330">
        <v>155.576</v>
      </c>
      <c r="J8" s="330">
        <v>369.609</v>
      </c>
      <c r="K8" s="330">
        <v>204.522</v>
      </c>
      <c r="L8" s="330">
        <v>0.227</v>
      </c>
      <c r="M8" s="330">
        <v>555.523</v>
      </c>
      <c r="N8" s="330">
        <v>79.734</v>
      </c>
      <c r="O8" s="330">
        <v>26.648</v>
      </c>
      <c r="P8" s="330">
        <v>42.934</v>
      </c>
      <c r="Q8" s="330">
        <v>19.623</v>
      </c>
      <c r="R8" s="330">
        <v>46.993</v>
      </c>
      <c r="S8" s="330">
        <v>42.684</v>
      </c>
      <c r="T8" s="330">
        <v>227.941</v>
      </c>
      <c r="U8" s="330">
        <v>415.607</v>
      </c>
      <c r="V8" s="330">
        <v>485.494</v>
      </c>
      <c r="W8" s="330">
        <v>8.197</v>
      </c>
      <c r="X8" s="330">
        <v>49.766</v>
      </c>
      <c r="Y8" s="330">
        <v>0.269</v>
      </c>
      <c r="Z8" s="330">
        <v>94.935</v>
      </c>
      <c r="AA8" s="330">
        <v>40.187</v>
      </c>
      <c r="AB8" s="330">
        <v>73.249</v>
      </c>
      <c r="AC8" s="330">
        <v>1360.34</v>
      </c>
      <c r="AD8" s="174" t="s">
        <v>218</v>
      </c>
    </row>
    <row r="9" spans="1:30" ht="15" customHeight="1">
      <c r="A9" s="168" t="s">
        <v>219</v>
      </c>
      <c r="B9" s="329">
        <v>419.734</v>
      </c>
      <c r="C9" s="329">
        <v>281.099</v>
      </c>
      <c r="D9" s="328">
        <v>82.638</v>
      </c>
      <c r="E9" s="329">
        <v>250.303</v>
      </c>
      <c r="F9" s="329">
        <v>1165.783</v>
      </c>
      <c r="G9" s="329">
        <v>0.237</v>
      </c>
      <c r="H9" s="329">
        <v>193.174</v>
      </c>
      <c r="I9" s="329">
        <v>637.359</v>
      </c>
      <c r="J9" s="329">
        <v>843.039</v>
      </c>
      <c r="K9" s="329">
        <v>1003.465</v>
      </c>
      <c r="L9" s="329">
        <v>81.784</v>
      </c>
      <c r="M9" s="329">
        <v>1053.779</v>
      </c>
      <c r="N9" s="329">
        <v>19.887</v>
      </c>
      <c r="O9" s="329">
        <v>43.805</v>
      </c>
      <c r="P9" s="329">
        <v>0.003</v>
      </c>
      <c r="Q9" s="329">
        <v>12.024</v>
      </c>
      <c r="R9" s="329">
        <v>78.297</v>
      </c>
      <c r="S9" s="329">
        <v>20.231</v>
      </c>
      <c r="T9" s="329">
        <v>704.069</v>
      </c>
      <c r="U9" s="329">
        <v>142.773</v>
      </c>
      <c r="V9" s="329">
        <v>196.998</v>
      </c>
      <c r="W9" s="329">
        <v>119.22</v>
      </c>
      <c r="X9" s="329">
        <v>79.724</v>
      </c>
      <c r="Y9" s="329">
        <v>12.213</v>
      </c>
      <c r="Z9" s="329">
        <v>89.183</v>
      </c>
      <c r="AA9" s="329">
        <v>282.604</v>
      </c>
      <c r="AB9" s="329">
        <v>220.873</v>
      </c>
      <c r="AC9" s="329">
        <v>1929.508</v>
      </c>
      <c r="AD9" s="174" t="s">
        <v>219</v>
      </c>
    </row>
    <row r="10" spans="1:30" ht="15" customHeight="1">
      <c r="A10" s="168" t="s">
        <v>220</v>
      </c>
      <c r="B10" s="330">
        <v>722.266</v>
      </c>
      <c r="C10" s="330">
        <v>103.528</v>
      </c>
      <c r="D10" s="330">
        <v>251.143</v>
      </c>
      <c r="E10" s="328">
        <v>2011.617</v>
      </c>
      <c r="F10" s="330">
        <v>3045.105</v>
      </c>
      <c r="G10" s="330">
        <v>77.978</v>
      </c>
      <c r="H10" s="330">
        <v>282.451</v>
      </c>
      <c r="I10" s="330">
        <v>868.797</v>
      </c>
      <c r="J10" s="330">
        <v>3101.357</v>
      </c>
      <c r="K10" s="330">
        <v>1496.505</v>
      </c>
      <c r="L10" s="330">
        <v>172.718</v>
      </c>
      <c r="M10" s="330">
        <v>1489.091</v>
      </c>
      <c r="N10" s="330">
        <v>60.906</v>
      </c>
      <c r="O10" s="330">
        <v>182.108</v>
      </c>
      <c r="P10" s="330">
        <v>346.435</v>
      </c>
      <c r="Q10" s="330">
        <v>50.474</v>
      </c>
      <c r="R10" s="330">
        <v>273.27</v>
      </c>
      <c r="S10" s="330">
        <v>77.861</v>
      </c>
      <c r="T10" s="330">
        <v>1612.34</v>
      </c>
      <c r="U10" s="330">
        <v>404.274</v>
      </c>
      <c r="V10" s="330">
        <v>588.526</v>
      </c>
      <c r="W10" s="330">
        <v>324.272</v>
      </c>
      <c r="X10" s="330">
        <v>49.662</v>
      </c>
      <c r="Y10" s="330">
        <v>17.558</v>
      </c>
      <c r="Z10" s="330">
        <v>0.005</v>
      </c>
      <c r="AA10" s="330">
        <v>825.916</v>
      </c>
      <c r="AB10" s="330">
        <v>2058.786</v>
      </c>
      <c r="AC10" s="330">
        <v>3761.562</v>
      </c>
      <c r="AD10" s="174" t="s">
        <v>220</v>
      </c>
    </row>
    <row r="11" spans="1:30" ht="15" customHeight="1">
      <c r="A11" s="168" t="s">
        <v>221</v>
      </c>
      <c r="B11" s="329">
        <v>1903.564</v>
      </c>
      <c r="C11" s="329">
        <v>1831.128</v>
      </c>
      <c r="D11" s="329">
        <v>1128.611</v>
      </c>
      <c r="E11" s="329">
        <v>3025.838</v>
      </c>
      <c r="F11" s="328">
        <v>23774.944</v>
      </c>
      <c r="G11" s="329">
        <v>397.797</v>
      </c>
      <c r="H11" s="329">
        <v>1976.011</v>
      </c>
      <c r="I11" s="329">
        <v>5843.375</v>
      </c>
      <c r="J11" s="329">
        <v>27370.699</v>
      </c>
      <c r="K11" s="329">
        <v>7285.161</v>
      </c>
      <c r="L11" s="329">
        <v>1670.907</v>
      </c>
      <c r="M11" s="329">
        <v>13208.96</v>
      </c>
      <c r="N11" s="329">
        <v>241.278</v>
      </c>
      <c r="O11" s="329">
        <v>823.12</v>
      </c>
      <c r="P11" s="329">
        <v>442.095</v>
      </c>
      <c r="Q11" s="329">
        <v>470.094</v>
      </c>
      <c r="R11" s="329">
        <v>1673.384</v>
      </c>
      <c r="S11" s="329">
        <v>665.656</v>
      </c>
      <c r="T11" s="329">
        <v>4260.931</v>
      </c>
      <c r="U11" s="329">
        <v>6800.203</v>
      </c>
      <c r="V11" s="329">
        <v>3807.651</v>
      </c>
      <c r="W11" s="329">
        <v>4278.853</v>
      </c>
      <c r="X11" s="329">
        <v>2245.844</v>
      </c>
      <c r="Y11" s="329">
        <v>232.017</v>
      </c>
      <c r="Z11" s="329">
        <v>103.657</v>
      </c>
      <c r="AA11" s="329">
        <v>1769.149</v>
      </c>
      <c r="AB11" s="329">
        <v>3359.796</v>
      </c>
      <c r="AC11" s="329">
        <v>13867.473</v>
      </c>
      <c r="AD11" s="174" t="s">
        <v>221</v>
      </c>
    </row>
    <row r="12" spans="1:30" ht="15" customHeight="1">
      <c r="A12" s="168" t="s">
        <v>222</v>
      </c>
      <c r="B12" s="330">
        <v>39.918</v>
      </c>
      <c r="C12" s="330">
        <v>38.117</v>
      </c>
      <c r="D12" s="330">
        <v>0.219</v>
      </c>
      <c r="E12" s="330">
        <v>77.954</v>
      </c>
      <c r="F12" s="330">
        <v>399.33</v>
      </c>
      <c r="G12" s="328">
        <v>17.361</v>
      </c>
      <c r="H12" s="330">
        <v>21.867</v>
      </c>
      <c r="I12" s="330">
        <v>58.946</v>
      </c>
      <c r="J12" s="330">
        <v>61.609</v>
      </c>
      <c r="K12" s="330">
        <v>34.406</v>
      </c>
      <c r="L12" s="330">
        <v>11.604</v>
      </c>
      <c r="M12" s="330">
        <v>92.344</v>
      </c>
      <c r="N12" s="330">
        <v>3.126</v>
      </c>
      <c r="O12" s="330">
        <v>202.844</v>
      </c>
      <c r="P12" s="330">
        <v>64.498</v>
      </c>
      <c r="Q12" s="330"/>
      <c r="R12" s="330">
        <v>0.042</v>
      </c>
      <c r="S12" s="330">
        <v>1.162</v>
      </c>
      <c r="T12" s="330">
        <v>86.356</v>
      </c>
      <c r="U12" s="330">
        <v>38.334</v>
      </c>
      <c r="V12" s="330">
        <v>46.591</v>
      </c>
      <c r="W12" s="330">
        <v>1.386</v>
      </c>
      <c r="X12" s="338"/>
      <c r="Y12" s="338">
        <v>0.009</v>
      </c>
      <c r="Z12" s="338"/>
      <c r="AA12" s="338">
        <v>232.872</v>
      </c>
      <c r="AB12" s="330">
        <v>142.527</v>
      </c>
      <c r="AC12" s="330">
        <v>106.919</v>
      </c>
      <c r="AD12" s="174" t="s">
        <v>222</v>
      </c>
    </row>
    <row r="13" spans="1:30" ht="15" customHeight="1">
      <c r="A13" s="168" t="s">
        <v>223</v>
      </c>
      <c r="B13" s="329">
        <v>505.43</v>
      </c>
      <c r="C13" s="329">
        <v>44.537</v>
      </c>
      <c r="D13" s="329">
        <v>193.302</v>
      </c>
      <c r="E13" s="329">
        <v>282.673</v>
      </c>
      <c r="F13" s="329">
        <v>1988.165</v>
      </c>
      <c r="G13" s="329">
        <v>21.819</v>
      </c>
      <c r="H13" s="328">
        <v>81.788</v>
      </c>
      <c r="I13" s="329">
        <v>138.112</v>
      </c>
      <c r="J13" s="329">
        <v>3938.808</v>
      </c>
      <c r="K13" s="329">
        <v>1939.168</v>
      </c>
      <c r="L13" s="329">
        <v>109.537</v>
      </c>
      <c r="M13" s="329">
        <v>1300.39</v>
      </c>
      <c r="N13" s="329">
        <v>3.952</v>
      </c>
      <c r="O13" s="329">
        <v>118.42</v>
      </c>
      <c r="P13" s="329">
        <v>177.575</v>
      </c>
      <c r="Q13" s="329">
        <v>33.985</v>
      </c>
      <c r="R13" s="329">
        <v>230.772</v>
      </c>
      <c r="S13" s="329">
        <v>77.986</v>
      </c>
      <c r="T13" s="329">
        <v>1228.86</v>
      </c>
      <c r="U13" s="329">
        <v>131.488</v>
      </c>
      <c r="V13" s="329">
        <v>1056.435</v>
      </c>
      <c r="W13" s="329">
        <v>968.312</v>
      </c>
      <c r="X13" s="329">
        <v>178.313</v>
      </c>
      <c r="Z13" s="329">
        <v>133.519</v>
      </c>
      <c r="AA13" s="329">
        <v>93.915</v>
      </c>
      <c r="AB13" s="329">
        <v>109.401</v>
      </c>
      <c r="AC13" s="329">
        <v>12777.738</v>
      </c>
      <c r="AD13" s="174" t="s">
        <v>223</v>
      </c>
    </row>
    <row r="14" spans="1:30" ht="15" customHeight="1">
      <c r="A14" s="168" t="s">
        <v>224</v>
      </c>
      <c r="B14" s="330">
        <v>989.129</v>
      </c>
      <c r="C14" s="330">
        <v>154.235</v>
      </c>
      <c r="D14" s="330">
        <v>633.839</v>
      </c>
      <c r="E14" s="330">
        <v>867.608</v>
      </c>
      <c r="F14" s="330">
        <v>5827.201</v>
      </c>
      <c r="G14" s="330">
        <v>56.685</v>
      </c>
      <c r="H14" s="330">
        <v>136.996</v>
      </c>
      <c r="I14" s="328">
        <v>8176.181</v>
      </c>
      <c r="J14" s="330">
        <v>512.212</v>
      </c>
      <c r="K14" s="330">
        <v>2340.695</v>
      </c>
      <c r="L14" s="330">
        <v>41.4</v>
      </c>
      <c r="M14" s="330">
        <v>3204.679</v>
      </c>
      <c r="N14" s="330">
        <v>1507.41</v>
      </c>
      <c r="O14" s="330">
        <v>76.026</v>
      </c>
      <c r="P14" s="330">
        <v>99.404</v>
      </c>
      <c r="Q14" s="330">
        <v>68.425</v>
      </c>
      <c r="R14" s="330">
        <v>288.925</v>
      </c>
      <c r="S14" s="330">
        <v>63.443</v>
      </c>
      <c r="T14" s="330">
        <v>1592.105</v>
      </c>
      <c r="U14" s="330">
        <v>869.164</v>
      </c>
      <c r="V14" s="330">
        <v>1461.632</v>
      </c>
      <c r="W14" s="330">
        <v>24.744</v>
      </c>
      <c r="X14" s="330">
        <v>427.964</v>
      </c>
      <c r="Y14" s="330">
        <v>60.429</v>
      </c>
      <c r="Z14" s="330">
        <v>213.846</v>
      </c>
      <c r="AA14" s="330">
        <v>423.086</v>
      </c>
      <c r="AB14" s="330">
        <v>1128.494</v>
      </c>
      <c r="AC14" s="330">
        <v>6633.212</v>
      </c>
      <c r="AD14" s="174" t="s">
        <v>224</v>
      </c>
    </row>
    <row r="15" spans="1:30" ht="15" customHeight="1">
      <c r="A15" s="168" t="s">
        <v>225</v>
      </c>
      <c r="B15" s="329">
        <v>5647.838</v>
      </c>
      <c r="C15" s="329">
        <v>359.827</v>
      </c>
      <c r="D15" s="329">
        <v>844.609</v>
      </c>
      <c r="E15" s="329">
        <v>3112.388</v>
      </c>
      <c r="F15" s="329">
        <v>27681.165</v>
      </c>
      <c r="G15" s="329">
        <v>62.614</v>
      </c>
      <c r="H15" s="329">
        <v>3945.303</v>
      </c>
      <c r="I15" s="329">
        <v>515.734</v>
      </c>
      <c r="J15" s="328">
        <v>33434.638</v>
      </c>
      <c r="K15" s="329">
        <v>13068.319</v>
      </c>
      <c r="L15" s="329">
        <v>245.334</v>
      </c>
      <c r="M15" s="329">
        <v>13002.411</v>
      </c>
      <c r="N15" s="329">
        <v>6.587</v>
      </c>
      <c r="O15" s="329">
        <v>101.558</v>
      </c>
      <c r="P15" s="329">
        <v>247.87</v>
      </c>
      <c r="Q15" s="329">
        <v>407.676</v>
      </c>
      <c r="R15" s="329">
        <v>655.454</v>
      </c>
      <c r="S15" s="329">
        <v>178.038</v>
      </c>
      <c r="T15" s="329">
        <v>7553.085</v>
      </c>
      <c r="U15" s="329">
        <v>1559.017</v>
      </c>
      <c r="V15" s="329">
        <v>2110.576</v>
      </c>
      <c r="W15" s="329">
        <v>3584.256</v>
      </c>
      <c r="X15" s="329">
        <v>1391.247</v>
      </c>
      <c r="Y15" s="329">
        <v>5.657</v>
      </c>
      <c r="Z15" s="329">
        <v>165.901</v>
      </c>
      <c r="AA15" s="329">
        <v>1401.961</v>
      </c>
      <c r="AB15" s="329">
        <v>3436.05</v>
      </c>
      <c r="AC15" s="329">
        <v>41641.098</v>
      </c>
      <c r="AD15" s="174" t="s">
        <v>225</v>
      </c>
    </row>
    <row r="16" spans="1:30" ht="15" customHeight="1">
      <c r="A16" s="168" t="s">
        <v>195</v>
      </c>
      <c r="B16" s="330">
        <v>1946.87</v>
      </c>
      <c r="C16" s="330">
        <v>196.059</v>
      </c>
      <c r="D16" s="330">
        <v>953.724</v>
      </c>
      <c r="E16" s="330">
        <v>1398.88</v>
      </c>
      <c r="F16" s="330">
        <v>7384.237</v>
      </c>
      <c r="G16" s="330">
        <v>34.678</v>
      </c>
      <c r="H16" s="330">
        <v>1863.927</v>
      </c>
      <c r="I16" s="330">
        <v>2179.924</v>
      </c>
      <c r="J16" s="330">
        <v>11624.718</v>
      </c>
      <c r="K16" s="328">
        <v>28951.934</v>
      </c>
      <c r="L16" s="330">
        <v>550.282</v>
      </c>
      <c r="M16" s="330">
        <v>10482.78</v>
      </c>
      <c r="N16" s="330">
        <v>66.146</v>
      </c>
      <c r="O16" s="330">
        <v>126.003</v>
      </c>
      <c r="P16" s="330">
        <v>115.191</v>
      </c>
      <c r="Q16" s="330">
        <v>180.762</v>
      </c>
      <c r="R16" s="330">
        <v>637.731</v>
      </c>
      <c r="S16" s="330">
        <v>293.623</v>
      </c>
      <c r="T16" s="330">
        <v>3548.392</v>
      </c>
      <c r="U16" s="330">
        <v>1095.046</v>
      </c>
      <c r="V16" s="330">
        <v>1101.038</v>
      </c>
      <c r="W16" s="330">
        <v>5636.954</v>
      </c>
      <c r="X16" s="330">
        <v>742.148</v>
      </c>
      <c r="Y16" s="330">
        <v>74.398</v>
      </c>
      <c r="Z16" s="330">
        <v>32.793</v>
      </c>
      <c r="AA16" s="330">
        <v>590.395</v>
      </c>
      <c r="AB16" s="330">
        <v>1081.452</v>
      </c>
      <c r="AC16" s="330">
        <v>11413.462</v>
      </c>
      <c r="AD16" s="174" t="s">
        <v>195</v>
      </c>
    </row>
    <row r="17" spans="1:30" ht="15" customHeight="1">
      <c r="A17" s="286" t="s">
        <v>459</v>
      </c>
      <c r="B17" s="331">
        <v>216.846</v>
      </c>
      <c r="C17" s="332">
        <v>0.227</v>
      </c>
      <c r="D17" s="332">
        <v>81.411</v>
      </c>
      <c r="E17" s="332">
        <v>172.589</v>
      </c>
      <c r="F17" s="332">
        <v>1629.321</v>
      </c>
      <c r="G17" s="332">
        <v>8.416</v>
      </c>
      <c r="H17" s="332">
        <v>110.032</v>
      </c>
      <c r="I17" s="332">
        <v>49.096</v>
      </c>
      <c r="J17" s="332">
        <v>245.765</v>
      </c>
      <c r="K17" s="332">
        <v>599.661</v>
      </c>
      <c r="L17" s="335">
        <v>487.853</v>
      </c>
      <c r="M17" s="332">
        <v>250.706</v>
      </c>
      <c r="N17" s="332">
        <v>1.218</v>
      </c>
      <c r="O17" s="332">
        <v>8.319</v>
      </c>
      <c r="P17" s="332"/>
      <c r="Q17" s="332">
        <v>7.262</v>
      </c>
      <c r="R17" s="332">
        <v>0.228</v>
      </c>
      <c r="S17" s="332">
        <v>3.906</v>
      </c>
      <c r="T17" s="332">
        <v>291.475</v>
      </c>
      <c r="U17" s="332">
        <v>304.558</v>
      </c>
      <c r="V17" s="332">
        <v>80.334</v>
      </c>
      <c r="W17" s="332">
        <v>17.071</v>
      </c>
      <c r="X17" s="332">
        <v>0.908</v>
      </c>
      <c r="Y17" s="332">
        <v>0.155</v>
      </c>
      <c r="Z17" s="332">
        <v>1.524</v>
      </c>
      <c r="AA17" s="332">
        <v>155.96</v>
      </c>
      <c r="AB17" s="332">
        <v>283.018</v>
      </c>
      <c r="AC17" s="333">
        <v>1213.817</v>
      </c>
      <c r="AD17" s="287" t="s">
        <v>459</v>
      </c>
    </row>
    <row r="18" spans="1:30" ht="15" customHeight="1">
      <c r="A18" s="168" t="s">
        <v>226</v>
      </c>
      <c r="B18" s="334">
        <v>3308.144</v>
      </c>
      <c r="C18" s="334">
        <v>553.868</v>
      </c>
      <c r="D18" s="334">
        <v>1050.967</v>
      </c>
      <c r="E18" s="334">
        <v>1496.397</v>
      </c>
      <c r="F18" s="334">
        <v>13296.009</v>
      </c>
      <c r="G18" s="334">
        <v>92.923</v>
      </c>
      <c r="H18" s="334">
        <v>1295.655</v>
      </c>
      <c r="I18" s="334">
        <v>3183.304</v>
      </c>
      <c r="J18" s="334">
        <v>12926.359</v>
      </c>
      <c r="K18" s="334">
        <v>10933.642</v>
      </c>
      <c r="L18" s="334">
        <v>237.221</v>
      </c>
      <c r="M18" s="335">
        <v>30271.928</v>
      </c>
      <c r="N18" s="334">
        <v>74.095</v>
      </c>
      <c r="O18" s="334">
        <v>185.085</v>
      </c>
      <c r="P18" s="334">
        <v>285.438</v>
      </c>
      <c r="Q18" s="334">
        <v>244.042</v>
      </c>
      <c r="R18" s="334">
        <v>1035.902</v>
      </c>
      <c r="S18" s="334">
        <v>1072.904</v>
      </c>
      <c r="T18" s="334">
        <v>4639.828</v>
      </c>
      <c r="U18" s="334">
        <v>1234.301</v>
      </c>
      <c r="V18" s="334">
        <v>1802.28</v>
      </c>
      <c r="W18" s="334">
        <v>1660.776</v>
      </c>
      <c r="X18" s="334">
        <v>3128.033</v>
      </c>
      <c r="Y18" s="334">
        <v>3.833</v>
      </c>
      <c r="Z18" s="334">
        <v>225.305</v>
      </c>
      <c r="AA18" s="334">
        <v>492.281</v>
      </c>
      <c r="AB18" s="334">
        <v>804.647</v>
      </c>
      <c r="AC18" s="334">
        <v>14121.526</v>
      </c>
      <c r="AD18" s="174" t="s">
        <v>226</v>
      </c>
    </row>
    <row r="19" spans="1:30" ht="15" customHeight="1">
      <c r="A19" s="168" t="s">
        <v>227</v>
      </c>
      <c r="B19" s="336">
        <v>78.712</v>
      </c>
      <c r="C19" s="336">
        <v>79.7</v>
      </c>
      <c r="D19" s="336">
        <v>15.407</v>
      </c>
      <c r="E19" s="336">
        <v>60.674</v>
      </c>
      <c r="F19" s="336">
        <v>240.942</v>
      </c>
      <c r="G19" s="336">
        <v>3.126</v>
      </c>
      <c r="H19" s="336">
        <v>4.062</v>
      </c>
      <c r="I19" s="336">
        <v>1558.45</v>
      </c>
      <c r="J19" s="336">
        <v>6.615</v>
      </c>
      <c r="K19" s="336">
        <v>96.481</v>
      </c>
      <c r="L19" s="336">
        <v>1.283</v>
      </c>
      <c r="M19" s="336">
        <v>71.905</v>
      </c>
      <c r="N19" s="337">
        <v>0</v>
      </c>
      <c r="O19" s="336">
        <v>12.457</v>
      </c>
      <c r="P19" s="336">
        <v>44.634</v>
      </c>
      <c r="Q19" s="336">
        <v>0.083</v>
      </c>
      <c r="R19" s="336">
        <v>52.78</v>
      </c>
      <c r="S19" s="336">
        <v>16.315</v>
      </c>
      <c r="T19" s="336">
        <v>68.492</v>
      </c>
      <c r="U19" s="336">
        <v>229.642</v>
      </c>
      <c r="V19" s="336">
        <v>146.36</v>
      </c>
      <c r="W19" s="336">
        <v>0.015</v>
      </c>
      <c r="X19" s="336">
        <v>152.154</v>
      </c>
      <c r="Y19" s="336"/>
      <c r="Z19" s="336">
        <v>11.439</v>
      </c>
      <c r="AA19" s="336">
        <v>32.105</v>
      </c>
      <c r="AB19" s="336">
        <v>222.97</v>
      </c>
      <c r="AC19" s="336">
        <v>2744.094</v>
      </c>
      <c r="AD19" s="174" t="s">
        <v>227</v>
      </c>
    </row>
    <row r="20" spans="1:30" ht="15" customHeight="1">
      <c r="A20" s="168" t="s">
        <v>228</v>
      </c>
      <c r="B20" s="338">
        <v>111.748</v>
      </c>
      <c r="C20" s="338">
        <v>27.062</v>
      </c>
      <c r="D20" s="338">
        <v>43.81</v>
      </c>
      <c r="E20" s="338">
        <v>181.319</v>
      </c>
      <c r="F20" s="338">
        <v>834.711</v>
      </c>
      <c r="G20" s="338">
        <v>203.994</v>
      </c>
      <c r="H20" s="338">
        <v>118.526</v>
      </c>
      <c r="I20" s="338">
        <v>75.816</v>
      </c>
      <c r="J20" s="338">
        <v>100.952</v>
      </c>
      <c r="K20" s="338">
        <v>126.867</v>
      </c>
      <c r="L20" s="338">
        <v>15.52</v>
      </c>
      <c r="M20" s="338">
        <v>185.284</v>
      </c>
      <c r="N20" s="338">
        <v>12.47</v>
      </c>
      <c r="O20" s="337">
        <v>0.974</v>
      </c>
      <c r="P20" s="338">
        <v>201.957</v>
      </c>
      <c r="Q20" s="338">
        <v>0.002</v>
      </c>
      <c r="R20" s="338">
        <v>26.176</v>
      </c>
      <c r="S20" s="338">
        <v>5.497</v>
      </c>
      <c r="T20" s="338">
        <v>170.512</v>
      </c>
      <c r="U20" s="338">
        <v>91.165</v>
      </c>
      <c r="V20" s="338">
        <v>95.254</v>
      </c>
      <c r="W20" s="338">
        <v>1.962</v>
      </c>
      <c r="X20" s="338">
        <v>0.29</v>
      </c>
      <c r="Y20" s="338">
        <v>0.011</v>
      </c>
      <c r="Z20" s="338">
        <v>2.322</v>
      </c>
      <c r="AA20" s="338">
        <v>287.153</v>
      </c>
      <c r="AB20" s="338">
        <v>231.369</v>
      </c>
      <c r="AC20" s="338">
        <v>791.313</v>
      </c>
      <c r="AD20" s="174" t="s">
        <v>228</v>
      </c>
    </row>
    <row r="21" spans="1:30" ht="15" customHeight="1">
      <c r="A21" s="168" t="s">
        <v>229</v>
      </c>
      <c r="B21" s="336">
        <v>94.196</v>
      </c>
      <c r="C21" s="336">
        <v>42.772</v>
      </c>
      <c r="D21" s="336">
        <v>0.026</v>
      </c>
      <c r="E21" s="336">
        <v>344.81</v>
      </c>
      <c r="F21" s="336">
        <v>442.589</v>
      </c>
      <c r="G21" s="336">
        <v>64.384</v>
      </c>
      <c r="H21" s="336">
        <v>173.088</v>
      </c>
      <c r="I21" s="336">
        <v>99.746</v>
      </c>
      <c r="J21" s="336">
        <v>244.372</v>
      </c>
      <c r="K21" s="336">
        <v>115.468</v>
      </c>
      <c r="L21" s="336">
        <v>0.024</v>
      </c>
      <c r="M21" s="336">
        <v>283.895</v>
      </c>
      <c r="N21" s="336">
        <v>43.947</v>
      </c>
      <c r="O21" s="336">
        <v>198.134</v>
      </c>
      <c r="P21" s="337">
        <v>0.379</v>
      </c>
      <c r="Q21" s="336">
        <v>0.009</v>
      </c>
      <c r="R21" s="336">
        <v>0.088</v>
      </c>
      <c r="S21" s="336">
        <v>28.053</v>
      </c>
      <c r="T21" s="336">
        <v>109.952</v>
      </c>
      <c r="U21" s="336">
        <v>50.327</v>
      </c>
      <c r="V21" s="336">
        <v>129.948</v>
      </c>
      <c r="W21" s="336">
        <v>5.326</v>
      </c>
      <c r="X21" s="336">
        <v>0.198</v>
      </c>
      <c r="Y21" s="336">
        <v>0.261</v>
      </c>
      <c r="Z21" s="336"/>
      <c r="AA21" s="336">
        <v>93.695</v>
      </c>
      <c r="AB21" s="336">
        <v>170.802</v>
      </c>
      <c r="AC21" s="336">
        <v>974.047</v>
      </c>
      <c r="AD21" s="174" t="s">
        <v>229</v>
      </c>
    </row>
    <row r="22" spans="1:30" ht="15" customHeight="1">
      <c r="A22" s="168" t="s">
        <v>242</v>
      </c>
      <c r="B22" s="338">
        <v>0.359</v>
      </c>
      <c r="C22" s="338">
        <v>22.228</v>
      </c>
      <c r="D22" s="338">
        <v>11.921</v>
      </c>
      <c r="E22" s="338">
        <v>49.966</v>
      </c>
      <c r="F22" s="338">
        <v>468.362</v>
      </c>
      <c r="G22" s="338">
        <v>0.01</v>
      </c>
      <c r="H22" s="338">
        <v>33.893</v>
      </c>
      <c r="I22" s="338">
        <v>66.976</v>
      </c>
      <c r="J22" s="338">
        <v>397.248</v>
      </c>
      <c r="K22" s="338">
        <v>182.011</v>
      </c>
      <c r="L22" s="338">
        <v>5.942</v>
      </c>
      <c r="M22" s="338">
        <v>242.259</v>
      </c>
      <c r="N22" s="338">
        <v>0.062</v>
      </c>
      <c r="O22" s="338">
        <v>0.009</v>
      </c>
      <c r="P22" s="278"/>
      <c r="Q22" s="337">
        <v>0.672</v>
      </c>
      <c r="R22" s="338">
        <v>0.002</v>
      </c>
      <c r="S22" s="338">
        <v>4.428</v>
      </c>
      <c r="T22" s="338">
        <v>163.37</v>
      </c>
      <c r="U22" s="338">
        <v>101.825</v>
      </c>
      <c r="V22" s="338">
        <v>20.924</v>
      </c>
      <c r="W22" s="338">
        <v>445.517</v>
      </c>
      <c r="X22" s="338">
        <v>0.004</v>
      </c>
      <c r="Y22" s="338">
        <v>0.006</v>
      </c>
      <c r="Z22" s="338">
        <v>0.002</v>
      </c>
      <c r="AA22" s="338">
        <v>1.515</v>
      </c>
      <c r="AB22" s="338">
        <v>33.203</v>
      </c>
      <c r="AC22" s="338">
        <v>433.961</v>
      </c>
      <c r="AD22" s="174" t="s">
        <v>242</v>
      </c>
    </row>
    <row r="23" spans="1:30" ht="15" customHeight="1">
      <c r="A23" s="168" t="s">
        <v>231</v>
      </c>
      <c r="B23" s="336">
        <v>510.267</v>
      </c>
      <c r="C23" s="336">
        <v>46.474</v>
      </c>
      <c r="D23" s="336">
        <v>78.083</v>
      </c>
      <c r="E23" s="336">
        <v>266.198</v>
      </c>
      <c r="F23" s="336">
        <v>1671.261</v>
      </c>
      <c r="G23" s="336">
        <v>0.022</v>
      </c>
      <c r="H23" s="336">
        <v>230.664</v>
      </c>
      <c r="I23" s="336">
        <v>290.431</v>
      </c>
      <c r="J23" s="336">
        <v>653.315</v>
      </c>
      <c r="K23" s="336">
        <v>640.362</v>
      </c>
      <c r="L23" s="336">
        <v>0.105</v>
      </c>
      <c r="M23" s="336">
        <v>1035.471</v>
      </c>
      <c r="N23" s="336">
        <v>52.957</v>
      </c>
      <c r="O23" s="336">
        <v>26.237</v>
      </c>
      <c r="P23" s="336">
        <v>0.08</v>
      </c>
      <c r="Q23" s="336">
        <v>0</v>
      </c>
      <c r="R23" s="337">
        <v>0.195</v>
      </c>
      <c r="S23" s="336">
        <v>80.114</v>
      </c>
      <c r="T23" s="336">
        <v>787.465</v>
      </c>
      <c r="U23" s="336">
        <v>100.45</v>
      </c>
      <c r="V23" s="336">
        <v>212.617</v>
      </c>
      <c r="W23" s="336">
        <v>79.462</v>
      </c>
      <c r="X23" s="336">
        <v>99.927</v>
      </c>
      <c r="Y23" s="336">
        <v>0.016</v>
      </c>
      <c r="Z23" s="336">
        <v>0.242</v>
      </c>
      <c r="AA23" s="336">
        <v>232.687</v>
      </c>
      <c r="AB23" s="336">
        <v>356.924</v>
      </c>
      <c r="AC23" s="336">
        <v>2033.729</v>
      </c>
      <c r="AD23" s="174" t="s">
        <v>231</v>
      </c>
    </row>
    <row r="24" spans="1:30" ht="15" customHeight="1">
      <c r="A24" s="168" t="s">
        <v>232</v>
      </c>
      <c r="B24" s="338">
        <v>114.906</v>
      </c>
      <c r="C24" s="338">
        <v>42.29</v>
      </c>
      <c r="D24" s="338">
        <v>20.047</v>
      </c>
      <c r="E24" s="338">
        <v>78.348</v>
      </c>
      <c r="F24" s="338">
        <v>666.579</v>
      </c>
      <c r="G24" s="338">
        <v>1.269</v>
      </c>
      <c r="H24" s="338">
        <v>77.286</v>
      </c>
      <c r="I24" s="338">
        <v>62.895</v>
      </c>
      <c r="J24" s="338">
        <v>175.999</v>
      </c>
      <c r="K24" s="338">
        <v>294.024</v>
      </c>
      <c r="L24" s="338">
        <v>3.889</v>
      </c>
      <c r="M24" s="338">
        <v>1067.817</v>
      </c>
      <c r="N24" s="338">
        <v>16.311</v>
      </c>
      <c r="O24" s="338">
        <v>5.42</v>
      </c>
      <c r="P24" s="338">
        <v>27.989</v>
      </c>
      <c r="Q24" s="338">
        <v>5.61</v>
      </c>
      <c r="R24" s="338">
        <v>79.306</v>
      </c>
      <c r="S24" s="337">
        <v>0.346</v>
      </c>
      <c r="T24" s="338">
        <v>137.549</v>
      </c>
      <c r="U24" s="338">
        <v>102.99</v>
      </c>
      <c r="V24" s="338">
        <v>160.106</v>
      </c>
      <c r="W24" s="338">
        <v>2.895</v>
      </c>
      <c r="X24" s="338">
        <v>40.813</v>
      </c>
      <c r="Y24" s="338">
        <v>4.257</v>
      </c>
      <c r="Z24" s="338">
        <v>2.73</v>
      </c>
      <c r="AA24" s="338">
        <v>29.164</v>
      </c>
      <c r="AB24" s="338">
        <v>73.13</v>
      </c>
      <c r="AC24" s="338">
        <v>1354.567</v>
      </c>
      <c r="AD24" s="174" t="s">
        <v>232</v>
      </c>
    </row>
    <row r="25" spans="1:30" ht="15" customHeight="1">
      <c r="A25" s="168" t="s">
        <v>243</v>
      </c>
      <c r="B25" s="336">
        <v>217.82</v>
      </c>
      <c r="C25" s="336">
        <v>234.589</v>
      </c>
      <c r="D25" s="336">
        <v>704.061</v>
      </c>
      <c r="E25" s="336">
        <v>1613.709</v>
      </c>
      <c r="F25" s="336">
        <v>4282.359</v>
      </c>
      <c r="G25" s="336">
        <v>86.513</v>
      </c>
      <c r="H25" s="336">
        <v>1229.109</v>
      </c>
      <c r="I25" s="336">
        <v>1525.381</v>
      </c>
      <c r="J25" s="336">
        <v>7507.82</v>
      </c>
      <c r="K25" s="336">
        <v>3572.975</v>
      </c>
      <c r="L25" s="336">
        <v>288.359</v>
      </c>
      <c r="M25" s="336">
        <v>4642.86</v>
      </c>
      <c r="N25" s="336">
        <v>69.192</v>
      </c>
      <c r="O25" s="336">
        <v>170.053</v>
      </c>
      <c r="P25" s="336">
        <v>110.975</v>
      </c>
      <c r="Q25" s="336">
        <v>164.767</v>
      </c>
      <c r="R25" s="336">
        <v>788.08</v>
      </c>
      <c r="S25" s="336">
        <v>137.927</v>
      </c>
      <c r="T25" s="337">
        <v>1.637</v>
      </c>
      <c r="U25" s="336">
        <v>1064.588</v>
      </c>
      <c r="V25" s="336">
        <v>1084.358</v>
      </c>
      <c r="W25" s="336">
        <v>1965.972</v>
      </c>
      <c r="X25" s="336">
        <v>535.875</v>
      </c>
      <c r="Y25" s="336">
        <v>34.037</v>
      </c>
      <c r="Z25" s="336">
        <v>0.127</v>
      </c>
      <c r="AA25" s="336">
        <v>584.609</v>
      </c>
      <c r="AB25" s="336">
        <v>1238.049</v>
      </c>
      <c r="AC25" s="336">
        <v>10338.177</v>
      </c>
      <c r="AD25" s="174" t="s">
        <v>243</v>
      </c>
    </row>
    <row r="26" spans="1:30" ht="15" customHeight="1">
      <c r="A26" s="168" t="s">
        <v>194</v>
      </c>
      <c r="B26" s="338">
        <v>400.36</v>
      </c>
      <c r="C26" s="338">
        <v>414.973</v>
      </c>
      <c r="D26" s="338">
        <v>139.982</v>
      </c>
      <c r="E26" s="338">
        <v>403.432</v>
      </c>
      <c r="F26" s="338">
        <v>6812.48</v>
      </c>
      <c r="G26" s="338">
        <v>38.308</v>
      </c>
      <c r="H26" s="338">
        <v>130.762</v>
      </c>
      <c r="I26" s="338">
        <v>873.962</v>
      </c>
      <c r="J26" s="338">
        <v>1581.957</v>
      </c>
      <c r="K26" s="338">
        <v>1149.158</v>
      </c>
      <c r="L26" s="338">
        <v>310.988</v>
      </c>
      <c r="M26" s="338">
        <v>1226.987</v>
      </c>
      <c r="N26" s="338">
        <v>229.836</v>
      </c>
      <c r="O26" s="338">
        <v>91.085</v>
      </c>
      <c r="P26" s="338">
        <v>50.497</v>
      </c>
      <c r="Q26" s="338">
        <v>101.859</v>
      </c>
      <c r="R26" s="338">
        <v>100.026</v>
      </c>
      <c r="S26" s="338">
        <v>103.249</v>
      </c>
      <c r="T26" s="338">
        <v>1061.417</v>
      </c>
      <c r="U26" s="337">
        <v>510.578</v>
      </c>
      <c r="V26" s="338">
        <v>275.344</v>
      </c>
      <c r="W26" s="338">
        <v>238.383</v>
      </c>
      <c r="X26" s="338">
        <v>484.269</v>
      </c>
      <c r="Y26" s="338">
        <v>63.217</v>
      </c>
      <c r="Z26" s="338">
        <v>54.256</v>
      </c>
      <c r="AA26" s="338">
        <v>197.298</v>
      </c>
      <c r="AB26" s="338">
        <v>337.688</v>
      </c>
      <c r="AC26" s="338">
        <v>2086.399</v>
      </c>
      <c r="AD26" s="174" t="s">
        <v>194</v>
      </c>
    </row>
    <row r="27" spans="1:30" ht="15" customHeight="1">
      <c r="A27" s="168" t="s">
        <v>234</v>
      </c>
      <c r="B27" s="336">
        <v>698.463</v>
      </c>
      <c r="C27" s="336">
        <v>492.29</v>
      </c>
      <c r="D27" s="336">
        <v>196.919</v>
      </c>
      <c r="E27" s="336">
        <v>586.519</v>
      </c>
      <c r="F27" s="336">
        <v>3838.278</v>
      </c>
      <c r="G27" s="336">
        <v>46.643</v>
      </c>
      <c r="H27" s="336">
        <v>1044.963</v>
      </c>
      <c r="I27" s="336">
        <v>1476.619</v>
      </c>
      <c r="J27" s="336">
        <v>2064.441</v>
      </c>
      <c r="K27" s="336">
        <v>1186.071</v>
      </c>
      <c r="L27" s="336">
        <v>92.375</v>
      </c>
      <c r="M27" s="336">
        <v>1818.766</v>
      </c>
      <c r="N27" s="336">
        <v>153.178</v>
      </c>
      <c r="O27" s="336">
        <v>95.744</v>
      </c>
      <c r="P27" s="336">
        <v>130.903</v>
      </c>
      <c r="Q27" s="336">
        <v>21.037</v>
      </c>
      <c r="R27" s="336">
        <v>212.952</v>
      </c>
      <c r="S27" s="336">
        <v>161.718</v>
      </c>
      <c r="T27" s="336">
        <v>1080.381</v>
      </c>
      <c r="U27" s="336">
        <v>276.105</v>
      </c>
      <c r="V27" s="337">
        <v>1834.137</v>
      </c>
      <c r="W27" s="336">
        <v>299.045</v>
      </c>
      <c r="X27" s="336">
        <v>128.635</v>
      </c>
      <c r="Y27" s="336">
        <v>35.596</v>
      </c>
      <c r="Z27" s="336">
        <v>16.844</v>
      </c>
      <c r="AA27" s="336">
        <v>279.279</v>
      </c>
      <c r="AB27" s="336">
        <v>1096.708</v>
      </c>
      <c r="AC27" s="336">
        <v>7137.097</v>
      </c>
      <c r="AD27" s="174" t="s">
        <v>234</v>
      </c>
    </row>
    <row r="28" spans="1:30" ht="15" customHeight="1">
      <c r="A28" s="168" t="s">
        <v>235</v>
      </c>
      <c r="B28" s="338">
        <v>1319.363</v>
      </c>
      <c r="C28" s="338">
        <v>8.26</v>
      </c>
      <c r="D28" s="338">
        <v>123.313</v>
      </c>
      <c r="E28" s="338">
        <v>329.13</v>
      </c>
      <c r="F28" s="338">
        <v>4319.765</v>
      </c>
      <c r="G28" s="338">
        <v>1.557</v>
      </c>
      <c r="H28" s="338">
        <v>969.482</v>
      </c>
      <c r="I28" s="338">
        <v>25.221</v>
      </c>
      <c r="J28" s="338">
        <v>3635.676</v>
      </c>
      <c r="K28" s="338">
        <v>6176.962</v>
      </c>
      <c r="L28" s="338">
        <v>16.835</v>
      </c>
      <c r="M28" s="338">
        <v>1663.06</v>
      </c>
      <c r="N28" s="338">
        <v>0.057</v>
      </c>
      <c r="O28" s="338">
        <v>2.127</v>
      </c>
      <c r="P28" s="338">
        <v>5.462</v>
      </c>
      <c r="Q28" s="338">
        <v>453.227</v>
      </c>
      <c r="R28" s="338">
        <v>79.479</v>
      </c>
      <c r="S28" s="338">
        <v>3.173</v>
      </c>
      <c r="T28" s="338">
        <v>1981.995</v>
      </c>
      <c r="U28" s="338">
        <v>238.988</v>
      </c>
      <c r="V28" s="338">
        <v>301.382</v>
      </c>
      <c r="W28" s="337">
        <v>4471.815</v>
      </c>
      <c r="X28" s="338">
        <v>60.27</v>
      </c>
      <c r="Y28" s="338">
        <v>0.29</v>
      </c>
      <c r="Z28" s="338">
        <v>0.211</v>
      </c>
      <c r="AA28" s="338">
        <v>102.515</v>
      </c>
      <c r="AB28" s="338">
        <v>190.322</v>
      </c>
      <c r="AC28" s="338">
        <v>7448.518</v>
      </c>
      <c r="AD28" s="174" t="s">
        <v>235</v>
      </c>
    </row>
    <row r="29" spans="1:30" ht="15" customHeight="1">
      <c r="A29" s="168" t="s">
        <v>236</v>
      </c>
      <c r="B29" s="336">
        <v>534.327</v>
      </c>
      <c r="C29" s="336">
        <v>36.212</v>
      </c>
      <c r="D29" s="336">
        <v>79.778</v>
      </c>
      <c r="E29" s="336">
        <v>46.42</v>
      </c>
      <c r="F29" s="336">
        <v>2169.181</v>
      </c>
      <c r="G29" s="336">
        <v>0</v>
      </c>
      <c r="H29" s="336">
        <v>178.191</v>
      </c>
      <c r="I29" s="336">
        <v>414.329</v>
      </c>
      <c r="J29" s="336">
        <v>1361.544</v>
      </c>
      <c r="K29" s="336">
        <v>789.76</v>
      </c>
      <c r="L29" s="336">
        <v>0.755</v>
      </c>
      <c r="M29" s="336">
        <v>3010.638</v>
      </c>
      <c r="N29" s="336">
        <v>150.999</v>
      </c>
      <c r="O29" s="336">
        <v>0.286</v>
      </c>
      <c r="P29" s="336">
        <v>0.086</v>
      </c>
      <c r="Q29" s="336">
        <v>0.146</v>
      </c>
      <c r="R29" s="336">
        <v>99.338</v>
      </c>
      <c r="S29" s="336">
        <v>41.078</v>
      </c>
      <c r="T29" s="336">
        <v>532.166</v>
      </c>
      <c r="U29" s="336">
        <v>483.253</v>
      </c>
      <c r="V29" s="336">
        <v>128.543</v>
      </c>
      <c r="W29" s="336">
        <v>60.222</v>
      </c>
      <c r="X29" s="337">
        <v>895.36</v>
      </c>
      <c r="Y29" s="336">
        <v>0.015</v>
      </c>
      <c r="Z29" s="336">
        <v>0.114</v>
      </c>
      <c r="AA29" s="336">
        <v>0.294</v>
      </c>
      <c r="AB29" s="336">
        <v>149.776</v>
      </c>
      <c r="AC29" s="336">
        <v>2088.12</v>
      </c>
      <c r="AD29" s="174" t="s">
        <v>236</v>
      </c>
    </row>
    <row r="30" spans="1:30" ht="15" customHeight="1">
      <c r="A30" s="168" t="s">
        <v>237</v>
      </c>
      <c r="B30" s="338">
        <v>96.662</v>
      </c>
      <c r="C30" s="338">
        <v>0</v>
      </c>
      <c r="D30" s="338">
        <v>11.923</v>
      </c>
      <c r="E30" s="338">
        <v>17.628</v>
      </c>
      <c r="F30" s="338">
        <v>232.864</v>
      </c>
      <c r="G30" s="338"/>
      <c r="H30" s="338">
        <v>0</v>
      </c>
      <c r="I30" s="338">
        <v>51.473</v>
      </c>
      <c r="J30" s="338">
        <v>5.782</v>
      </c>
      <c r="K30" s="338">
        <v>75.025</v>
      </c>
      <c r="L30" s="338">
        <v>0.214</v>
      </c>
      <c r="M30" s="338">
        <v>3.944</v>
      </c>
      <c r="N30" s="338">
        <v>2.175</v>
      </c>
      <c r="O30" s="338"/>
      <c r="P30" s="330">
        <v>0.261</v>
      </c>
      <c r="Q30" s="330"/>
      <c r="R30" s="338">
        <v>0</v>
      </c>
      <c r="S30" s="338">
        <v>4.277</v>
      </c>
      <c r="T30" s="338">
        <v>34.115</v>
      </c>
      <c r="U30" s="338">
        <v>63.407</v>
      </c>
      <c r="V30" s="338">
        <v>35.482</v>
      </c>
      <c r="W30" s="338">
        <v>0.326</v>
      </c>
      <c r="X30" s="338">
        <v>0.072</v>
      </c>
      <c r="Y30" s="337">
        <v>0</v>
      </c>
      <c r="Z30" s="338">
        <v>0.48</v>
      </c>
      <c r="AA30" s="338">
        <v>32.819</v>
      </c>
      <c r="AB30" s="338">
        <v>0.81</v>
      </c>
      <c r="AC30" s="338">
        <v>187.68</v>
      </c>
      <c r="AD30" s="174" t="s">
        <v>237</v>
      </c>
    </row>
    <row r="31" spans="1:30" ht="15" customHeight="1">
      <c r="A31" s="168" t="s">
        <v>238</v>
      </c>
      <c r="B31" s="336">
        <v>88.784</v>
      </c>
      <c r="C31" s="336">
        <v>75.652</v>
      </c>
      <c r="D31" s="336">
        <v>53.952</v>
      </c>
      <c r="E31" s="336">
        <v>0.006</v>
      </c>
      <c r="F31" s="336">
        <v>103.688</v>
      </c>
      <c r="G31" s="336"/>
      <c r="H31" s="336">
        <v>132.116</v>
      </c>
      <c r="I31" s="336">
        <v>208.924</v>
      </c>
      <c r="J31" s="336">
        <v>164.213</v>
      </c>
      <c r="K31" s="336">
        <v>34.372</v>
      </c>
      <c r="L31" s="336">
        <v>2.623</v>
      </c>
      <c r="M31" s="336">
        <v>224.907</v>
      </c>
      <c r="N31" s="336">
        <v>11.335</v>
      </c>
      <c r="O31" s="336">
        <v>0.349</v>
      </c>
      <c r="P31" s="336"/>
      <c r="Q31" s="336">
        <v>0.011</v>
      </c>
      <c r="R31" s="336">
        <v>0.148</v>
      </c>
      <c r="S31" s="336">
        <v>2.771</v>
      </c>
      <c r="T31" s="336">
        <v>0.095</v>
      </c>
      <c r="U31" s="336">
        <v>54.781</v>
      </c>
      <c r="V31" s="336">
        <v>15.647</v>
      </c>
      <c r="W31" s="336">
        <v>0.194</v>
      </c>
      <c r="X31" s="336">
        <v>0.222</v>
      </c>
      <c r="Y31" s="336">
        <v>0.506</v>
      </c>
      <c r="Z31" s="337">
        <v>24.9</v>
      </c>
      <c r="AA31" s="336">
        <v>0.148</v>
      </c>
      <c r="AB31" s="336">
        <v>0.364</v>
      </c>
      <c r="AC31" s="336">
        <v>641.321</v>
      </c>
      <c r="AD31" s="174" t="s">
        <v>238</v>
      </c>
    </row>
    <row r="32" spans="1:30" ht="15" customHeight="1">
      <c r="A32" s="168" t="s">
        <v>239</v>
      </c>
      <c r="B32" s="338">
        <v>168.926</v>
      </c>
      <c r="C32" s="338">
        <v>40.236</v>
      </c>
      <c r="D32" s="338">
        <v>280.975</v>
      </c>
      <c r="E32" s="338">
        <v>821.265</v>
      </c>
      <c r="F32" s="338">
        <v>1770</v>
      </c>
      <c r="G32" s="338">
        <v>262.264</v>
      </c>
      <c r="H32" s="338">
        <v>93.131</v>
      </c>
      <c r="I32" s="338">
        <v>422.447</v>
      </c>
      <c r="J32" s="338">
        <v>1380.874</v>
      </c>
      <c r="K32" s="338">
        <v>590.943</v>
      </c>
      <c r="L32" s="338">
        <v>153.726</v>
      </c>
      <c r="M32" s="338">
        <v>487.857</v>
      </c>
      <c r="N32" s="338">
        <v>32.74</v>
      </c>
      <c r="O32" s="338">
        <v>286.566</v>
      </c>
      <c r="P32" s="338">
        <v>93.706</v>
      </c>
      <c r="Q32" s="338">
        <v>1.388</v>
      </c>
      <c r="R32" s="338">
        <v>231.429</v>
      </c>
      <c r="S32" s="338">
        <v>29.327</v>
      </c>
      <c r="T32" s="338">
        <v>581.452</v>
      </c>
      <c r="U32" s="338">
        <v>197.311</v>
      </c>
      <c r="V32" s="338">
        <v>277.1</v>
      </c>
      <c r="W32" s="338">
        <v>100.345</v>
      </c>
      <c r="X32" s="338">
        <v>0.619</v>
      </c>
      <c r="Y32" s="338">
        <v>32.551</v>
      </c>
      <c r="Z32" s="338">
        <v>0.155</v>
      </c>
      <c r="AA32" s="337">
        <v>2688.88</v>
      </c>
      <c r="AB32" s="338">
        <v>1744.035</v>
      </c>
      <c r="AC32" s="338">
        <v>1183.8</v>
      </c>
      <c r="AD32" s="174" t="s">
        <v>239</v>
      </c>
    </row>
    <row r="33" spans="1:30" ht="15" customHeight="1">
      <c r="A33" s="168" t="s">
        <v>240</v>
      </c>
      <c r="B33" s="336">
        <v>507.95</v>
      </c>
      <c r="C33" s="336">
        <v>73.529</v>
      </c>
      <c r="D33" s="336">
        <v>226.861</v>
      </c>
      <c r="E33" s="336">
        <v>2032.493</v>
      </c>
      <c r="F33" s="336">
        <v>3316.25</v>
      </c>
      <c r="G33" s="336">
        <v>143.255</v>
      </c>
      <c r="H33" s="336">
        <v>109.132</v>
      </c>
      <c r="I33" s="336">
        <v>1122.896</v>
      </c>
      <c r="J33" s="336">
        <v>3297.914</v>
      </c>
      <c r="K33" s="336">
        <v>1092.352</v>
      </c>
      <c r="L33" s="336">
        <v>303.551</v>
      </c>
      <c r="M33" s="336">
        <v>814.926</v>
      </c>
      <c r="N33" s="336">
        <v>217.12</v>
      </c>
      <c r="O33" s="336">
        <v>231.522</v>
      </c>
      <c r="P33" s="336">
        <v>172.407</v>
      </c>
      <c r="Q33" s="336">
        <v>33.721</v>
      </c>
      <c r="R33" s="336">
        <v>357.549</v>
      </c>
      <c r="S33" s="336">
        <v>73.91</v>
      </c>
      <c r="T33" s="336">
        <v>1104.4</v>
      </c>
      <c r="U33" s="336">
        <v>352.539</v>
      </c>
      <c r="V33" s="336">
        <v>1147.021</v>
      </c>
      <c r="W33" s="336">
        <v>184.898</v>
      </c>
      <c r="X33" s="336">
        <v>149.396</v>
      </c>
      <c r="Y33" s="336">
        <v>0.924</v>
      </c>
      <c r="Z33" s="336">
        <v>0.492</v>
      </c>
      <c r="AA33" s="336">
        <v>1750.818</v>
      </c>
      <c r="AB33" s="337">
        <v>7701.606</v>
      </c>
      <c r="AC33" s="336">
        <v>2781.435</v>
      </c>
      <c r="AD33" s="174" t="s">
        <v>240</v>
      </c>
    </row>
    <row r="34" spans="1:30" ht="15" customHeight="1">
      <c r="A34" s="169" t="s">
        <v>241</v>
      </c>
      <c r="B34" s="339">
        <v>1461.874</v>
      </c>
      <c r="C34" s="340">
        <v>1419.813</v>
      </c>
      <c r="D34" s="340">
        <v>1925.954</v>
      </c>
      <c r="E34" s="340">
        <v>3762.378</v>
      </c>
      <c r="F34" s="340">
        <v>13855.357</v>
      </c>
      <c r="G34" s="340">
        <v>106.66</v>
      </c>
      <c r="H34" s="340">
        <v>12728.697</v>
      </c>
      <c r="I34" s="340">
        <v>6636.583</v>
      </c>
      <c r="J34" s="340">
        <v>41414.072</v>
      </c>
      <c r="K34" s="340">
        <v>12603.308</v>
      </c>
      <c r="L34" s="340">
        <v>1238.857</v>
      </c>
      <c r="M34" s="340">
        <v>14119.211</v>
      </c>
      <c r="N34" s="340">
        <v>2724.448</v>
      </c>
      <c r="O34" s="340">
        <v>786.931</v>
      </c>
      <c r="P34" s="340">
        <v>987.949</v>
      </c>
      <c r="Q34" s="340">
        <v>434.987</v>
      </c>
      <c r="R34" s="340">
        <v>2032.062</v>
      </c>
      <c r="S34" s="340">
        <v>1359.927</v>
      </c>
      <c r="T34" s="340">
        <v>10309.512</v>
      </c>
      <c r="U34" s="340">
        <v>2086.483</v>
      </c>
      <c r="V34" s="340">
        <v>7117.295</v>
      </c>
      <c r="W34" s="340">
        <v>7376.793</v>
      </c>
      <c r="X34" s="340">
        <v>2224.854</v>
      </c>
      <c r="Y34" s="340">
        <v>187.819</v>
      </c>
      <c r="Z34" s="340">
        <v>708.885</v>
      </c>
      <c r="AA34" s="340">
        <v>1189.027</v>
      </c>
      <c r="AB34" s="340">
        <v>2781.423</v>
      </c>
      <c r="AC34" s="341">
        <v>23076.942</v>
      </c>
      <c r="AD34" s="175" t="s">
        <v>241</v>
      </c>
    </row>
    <row r="35" ht="8.25" customHeight="1"/>
    <row r="36" ht="12.75">
      <c r="A36" s="20" t="s">
        <v>460</v>
      </c>
    </row>
    <row r="37" spans="1:2" ht="11.25" customHeight="1">
      <c r="A37" s="68" t="s">
        <v>439</v>
      </c>
      <c r="B37" s="3" t="s">
        <v>502</v>
      </c>
    </row>
  </sheetData>
  <sheetProtection/>
  <mergeCells count="3">
    <mergeCell ref="A2:AD2"/>
    <mergeCell ref="A3:AD3"/>
    <mergeCell ref="A4:AD4"/>
  </mergeCells>
  <printOptions horizontalCentered="1" verticalCentered="1"/>
  <pageMargins left="0.4724409448818898" right="0.4724409448818898" top="0.3937007874015748" bottom="0.3937007874015748" header="0" footer="0"/>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dimension ref="A1:K38"/>
  <sheetViews>
    <sheetView zoomScalePageLayoutView="0" workbookViewId="0" topLeftCell="A1">
      <selection activeCell="B2" sqref="B2:J4"/>
    </sheetView>
  </sheetViews>
  <sheetFormatPr defaultColWidth="9.140625" defaultRowHeight="12.75"/>
  <sheetData>
    <row r="1" ht="15.75">
      <c r="J1" s="44" t="s">
        <v>600</v>
      </c>
    </row>
    <row r="2" spans="2:10" ht="15.75" customHeight="1">
      <c r="B2" s="1008" t="s">
        <v>500</v>
      </c>
      <c r="C2" s="1008"/>
      <c r="D2" s="1008"/>
      <c r="E2" s="1008"/>
      <c r="F2" s="1008"/>
      <c r="G2" s="1008"/>
      <c r="H2" s="1008"/>
      <c r="I2" s="1008"/>
      <c r="J2" s="1008"/>
    </row>
    <row r="3" spans="2:10" ht="15.75" customHeight="1">
      <c r="B3" s="1008"/>
      <c r="C3" s="1008"/>
      <c r="D3" s="1008"/>
      <c r="E3" s="1008"/>
      <c r="F3" s="1008"/>
      <c r="G3" s="1008"/>
      <c r="H3" s="1008"/>
      <c r="I3" s="1008"/>
      <c r="J3" s="1008"/>
    </row>
    <row r="4" spans="2:10" ht="25.5" customHeight="1">
      <c r="B4" s="1008"/>
      <c r="C4" s="1008"/>
      <c r="D4" s="1008"/>
      <c r="E4" s="1008"/>
      <c r="F4" s="1008"/>
      <c r="G4" s="1008"/>
      <c r="H4" s="1008"/>
      <c r="I4" s="1008"/>
      <c r="J4" s="1008"/>
    </row>
    <row r="5" spans="3:10" ht="12.75">
      <c r="C5" s="324"/>
      <c r="D5" s="72"/>
      <c r="E5" s="72"/>
      <c r="F5" s="72"/>
      <c r="G5" s="72"/>
      <c r="H5" s="72"/>
      <c r="I5" s="72"/>
      <c r="J5" s="323"/>
    </row>
    <row r="6" spans="3:10" ht="18.75" customHeight="1">
      <c r="C6" s="39">
        <v>2006</v>
      </c>
      <c r="D6" s="70">
        <v>2008</v>
      </c>
      <c r="E6" s="70">
        <v>2010</v>
      </c>
      <c r="F6" s="70">
        <v>2012</v>
      </c>
      <c r="G6" s="70">
        <v>2013</v>
      </c>
      <c r="H6" s="70">
        <v>2014</v>
      </c>
      <c r="I6" s="70">
        <v>2015</v>
      </c>
      <c r="J6" s="45">
        <v>2016</v>
      </c>
    </row>
    <row r="7" spans="3:10" ht="12.75">
      <c r="C7" s="58"/>
      <c r="D7" s="75"/>
      <c r="E7" s="75"/>
      <c r="F7" s="75"/>
      <c r="G7" s="75"/>
      <c r="H7" s="75"/>
      <c r="I7" s="674"/>
      <c r="J7" s="686"/>
    </row>
    <row r="8" spans="2:10" ht="15.75" customHeight="1">
      <c r="B8" s="325" t="s">
        <v>178</v>
      </c>
      <c r="C8" s="327">
        <v>0.0003</v>
      </c>
      <c r="D8" s="327">
        <v>0.061</v>
      </c>
      <c r="E8" s="327">
        <v>0.1182</v>
      </c>
      <c r="F8" s="327">
        <v>0.1339</v>
      </c>
      <c r="G8" s="498">
        <v>0.1854</v>
      </c>
      <c r="H8" s="635">
        <v>0.243</v>
      </c>
      <c r="I8" s="635">
        <v>0.251</v>
      </c>
      <c r="J8" s="327">
        <v>0.486</v>
      </c>
    </row>
    <row r="9" spans="2:10" ht="12.75">
      <c r="B9" s="293" t="s">
        <v>161</v>
      </c>
      <c r="C9" s="326">
        <v>0.0318</v>
      </c>
      <c r="D9" s="326">
        <v>0.1432</v>
      </c>
      <c r="E9" s="326">
        <v>0.216</v>
      </c>
      <c r="F9" s="326">
        <v>0.365</v>
      </c>
      <c r="G9" s="326">
        <v>0.44700000000000006</v>
      </c>
      <c r="H9" s="636">
        <v>0.488</v>
      </c>
      <c r="I9" s="636">
        <v>0.514</v>
      </c>
      <c r="J9" s="326">
        <v>0.5449999999999999</v>
      </c>
    </row>
    <row r="10" spans="2:10" ht="12.75">
      <c r="B10" s="322" t="s">
        <v>163</v>
      </c>
      <c r="C10" s="425"/>
      <c r="D10" s="425"/>
      <c r="E10" s="425">
        <v>0.1316</v>
      </c>
      <c r="F10" s="425">
        <v>0.20620000000000005</v>
      </c>
      <c r="G10" s="425">
        <v>0.2367</v>
      </c>
      <c r="H10" s="499">
        <v>0.301</v>
      </c>
      <c r="I10" s="499">
        <v>0.33499999999999996</v>
      </c>
      <c r="J10" s="425">
        <v>0.349</v>
      </c>
    </row>
    <row r="11" spans="2:10" ht="12.75">
      <c r="B11" s="293" t="s">
        <v>174</v>
      </c>
      <c r="C11" s="326"/>
      <c r="D11" s="326"/>
      <c r="E11" s="326">
        <v>0.25</v>
      </c>
      <c r="F11" s="326">
        <v>0.27</v>
      </c>
      <c r="G11" s="326">
        <v>0.25</v>
      </c>
      <c r="H11" s="636">
        <v>0.24</v>
      </c>
      <c r="I11" s="636">
        <v>0.29000000000000004</v>
      </c>
      <c r="J11" s="326">
        <v>0.261</v>
      </c>
    </row>
    <row r="12" spans="2:10" ht="14.25" customHeight="1">
      <c r="B12" s="302" t="s">
        <v>179</v>
      </c>
      <c r="C12" s="425">
        <v>0.164</v>
      </c>
      <c r="D12" s="425">
        <v>0.22</v>
      </c>
      <c r="E12" s="425">
        <v>0.25</v>
      </c>
      <c r="F12" s="425">
        <v>0.286</v>
      </c>
      <c r="G12" s="425">
        <v>0.326</v>
      </c>
      <c r="H12" s="499">
        <v>0.341</v>
      </c>
      <c r="I12" s="499">
        <v>0.4089999999999999</v>
      </c>
      <c r="J12" s="425">
        <v>0.45499999999999996</v>
      </c>
    </row>
    <row r="13" spans="2:10" ht="12.75">
      <c r="B13" s="293" t="s">
        <v>164</v>
      </c>
      <c r="C13" s="326">
        <v>0.306</v>
      </c>
      <c r="D13" s="326">
        <v>0.49</v>
      </c>
      <c r="E13" s="326">
        <v>0.45</v>
      </c>
      <c r="F13" s="326">
        <v>0.3</v>
      </c>
      <c r="G13" s="326">
        <v>0.35</v>
      </c>
      <c r="H13" s="636">
        <v>0.305</v>
      </c>
      <c r="I13" s="636">
        <v>0.29000000000000004</v>
      </c>
      <c r="J13" s="326">
        <v>0.20099999999999996</v>
      </c>
    </row>
    <row r="14" spans="2:10" ht="12.75">
      <c r="B14" s="302" t="s">
        <v>182</v>
      </c>
      <c r="C14" s="425">
        <v>0</v>
      </c>
      <c r="D14" s="425">
        <v>0</v>
      </c>
      <c r="E14" s="425">
        <v>0</v>
      </c>
      <c r="F14" s="425">
        <v>0</v>
      </c>
      <c r="G14" s="500">
        <v>0</v>
      </c>
      <c r="H14" s="676">
        <v>0</v>
      </c>
      <c r="I14" s="676"/>
      <c r="J14" s="500">
        <v>0</v>
      </c>
    </row>
    <row r="15" spans="2:10" ht="12.75">
      <c r="B15" s="293" t="s">
        <v>175</v>
      </c>
      <c r="C15" s="326">
        <v>0</v>
      </c>
      <c r="D15" s="326">
        <v>0</v>
      </c>
      <c r="E15" s="326"/>
      <c r="F15" s="326">
        <v>0</v>
      </c>
      <c r="G15" s="326">
        <v>0</v>
      </c>
      <c r="H15" s="636">
        <v>0</v>
      </c>
      <c r="I15" s="636">
        <v>0</v>
      </c>
      <c r="J15" s="326">
        <v>0</v>
      </c>
    </row>
    <row r="16" spans="2:10" ht="12.75">
      <c r="B16" s="302" t="s">
        <v>180</v>
      </c>
      <c r="C16" s="425">
        <v>0.049</v>
      </c>
      <c r="D16" s="425">
        <v>0.05</v>
      </c>
      <c r="E16" s="425">
        <v>0.0808</v>
      </c>
      <c r="F16" s="425">
        <v>0.1683</v>
      </c>
      <c r="G16" s="425">
        <v>0.1905</v>
      </c>
      <c r="H16" s="499">
        <v>0.205</v>
      </c>
      <c r="I16" s="499">
        <v>0.26</v>
      </c>
      <c r="J16" s="425">
        <v>0.29499999999999993</v>
      </c>
    </row>
    <row r="17" spans="2:10" ht="12.75">
      <c r="B17" s="293" t="s">
        <v>181</v>
      </c>
      <c r="C17" s="326">
        <v>0.006</v>
      </c>
      <c r="D17" s="326">
        <v>0.1</v>
      </c>
      <c r="E17" s="326">
        <v>0.2</v>
      </c>
      <c r="F17" s="326">
        <v>0.32</v>
      </c>
      <c r="G17" s="326">
        <v>0.36</v>
      </c>
      <c r="H17" s="636">
        <v>0.37</v>
      </c>
      <c r="I17" s="677">
        <v>0.256</v>
      </c>
      <c r="J17" s="326">
        <v>0.41000000000000003</v>
      </c>
    </row>
    <row r="18" spans="2:10" ht="12.75">
      <c r="B18" s="322" t="s">
        <v>202</v>
      </c>
      <c r="C18" s="425">
        <v>0</v>
      </c>
      <c r="D18" s="425">
        <v>0</v>
      </c>
      <c r="E18" s="425">
        <v>0</v>
      </c>
      <c r="F18" s="425">
        <v>0</v>
      </c>
      <c r="G18" s="425">
        <v>0</v>
      </c>
      <c r="H18" s="499">
        <v>0.005199999999999982</v>
      </c>
      <c r="I18" s="499">
        <v>0.020000000000000018</v>
      </c>
      <c r="J18" s="425">
        <v>0.1469999999999999</v>
      </c>
    </row>
    <row r="19" spans="2:10" ht="12.75">
      <c r="B19" s="293" t="s">
        <v>183</v>
      </c>
      <c r="C19" s="326">
        <v>0.115</v>
      </c>
      <c r="D19" s="326"/>
      <c r="E19" s="326">
        <v>0.241</v>
      </c>
      <c r="F19" s="326">
        <v>0.16800000000000004</v>
      </c>
      <c r="G19" s="636">
        <v>0.07599999999999996</v>
      </c>
      <c r="H19" s="677">
        <v>0.41</v>
      </c>
      <c r="I19" s="636">
        <v>0.412</v>
      </c>
      <c r="J19" s="326">
        <v>0.5509999999999999</v>
      </c>
    </row>
    <row r="20" spans="2:10" ht="12.75">
      <c r="B20" s="322" t="s">
        <v>162</v>
      </c>
      <c r="C20" s="425" t="s">
        <v>193</v>
      </c>
      <c r="D20" s="425" t="s">
        <v>193</v>
      </c>
      <c r="E20" s="425" t="s">
        <v>193</v>
      </c>
      <c r="F20" s="425" t="s">
        <v>193</v>
      </c>
      <c r="G20" s="425" t="s">
        <v>193</v>
      </c>
      <c r="H20" s="499" t="s">
        <v>193</v>
      </c>
      <c r="I20" s="499" t="s">
        <v>193</v>
      </c>
      <c r="J20" s="425" t="s">
        <v>193</v>
      </c>
    </row>
    <row r="21" spans="2:10" ht="12.75">
      <c r="B21" s="293" t="s">
        <v>166</v>
      </c>
      <c r="C21" s="326">
        <v>0.106</v>
      </c>
      <c r="D21" s="326">
        <v>0.0957</v>
      </c>
      <c r="E21" s="326">
        <v>0.233</v>
      </c>
      <c r="F21" s="326">
        <v>0.226</v>
      </c>
      <c r="G21" s="326">
        <v>0.233</v>
      </c>
      <c r="H21" s="636">
        <v>0.215</v>
      </c>
      <c r="I21" s="636">
        <v>0.31099999999999994</v>
      </c>
      <c r="J21" s="326">
        <v>0.255</v>
      </c>
    </row>
    <row r="22" spans="2:10" ht="12.75">
      <c r="B22" s="302" t="s">
        <v>167</v>
      </c>
      <c r="C22" s="425">
        <v>0</v>
      </c>
      <c r="D22" s="425">
        <v>0</v>
      </c>
      <c r="E22" s="425">
        <v>0</v>
      </c>
      <c r="F22" s="425">
        <v>0</v>
      </c>
      <c r="G22" s="425">
        <v>0</v>
      </c>
      <c r="H22" s="499">
        <v>0</v>
      </c>
      <c r="I22" s="499">
        <v>0</v>
      </c>
      <c r="J22" s="425">
        <v>0</v>
      </c>
    </row>
    <row r="23" spans="2:10" ht="12.75">
      <c r="B23" s="297" t="s">
        <v>184</v>
      </c>
      <c r="C23" s="326">
        <v>0</v>
      </c>
      <c r="D23" s="326"/>
      <c r="E23" s="326">
        <v>0</v>
      </c>
      <c r="F23" s="326">
        <v>0</v>
      </c>
      <c r="G23" s="326"/>
      <c r="H23" s="636">
        <v>0</v>
      </c>
      <c r="I23" s="636">
        <v>0</v>
      </c>
      <c r="J23" s="326">
        <v>0</v>
      </c>
    </row>
    <row r="24" spans="1:10" ht="12.75">
      <c r="A24" s="161"/>
      <c r="B24" s="322" t="s">
        <v>165</v>
      </c>
      <c r="C24" s="425">
        <v>0.09</v>
      </c>
      <c r="D24" s="425">
        <v>0.144</v>
      </c>
      <c r="E24" s="425">
        <v>0.1947</v>
      </c>
      <c r="F24" s="425">
        <v>0.318</v>
      </c>
      <c r="G24" s="425">
        <v>0.348</v>
      </c>
      <c r="H24" s="499">
        <v>0.376</v>
      </c>
      <c r="I24" s="499">
        <v>0.396</v>
      </c>
      <c r="J24" s="425">
        <v>0.42099999999999993</v>
      </c>
    </row>
    <row r="25" spans="2:10" ht="12.75">
      <c r="B25" s="293" t="s">
        <v>168</v>
      </c>
      <c r="C25" s="326" t="s">
        <v>193</v>
      </c>
      <c r="D25" s="326" t="s">
        <v>193</v>
      </c>
      <c r="E25" s="326" t="s">
        <v>193</v>
      </c>
      <c r="F25" s="326" t="s">
        <v>193</v>
      </c>
      <c r="G25" s="326" t="s">
        <v>193</v>
      </c>
      <c r="H25" s="636" t="s">
        <v>193</v>
      </c>
      <c r="I25" s="636" t="s">
        <v>193</v>
      </c>
      <c r="J25" s="326" t="s">
        <v>193</v>
      </c>
    </row>
    <row r="26" spans="2:10" ht="12.75">
      <c r="B26" s="302" t="s">
        <v>176</v>
      </c>
      <c r="C26" s="425">
        <v>0.14</v>
      </c>
      <c r="D26" s="425">
        <v>0.25</v>
      </c>
      <c r="E26" s="425">
        <v>0.4</v>
      </c>
      <c r="F26" s="425">
        <v>0.36</v>
      </c>
      <c r="G26" s="425">
        <v>0.414</v>
      </c>
      <c r="H26" s="499">
        <v>0.41</v>
      </c>
      <c r="I26" s="425"/>
      <c r="J26" s="425">
        <v>0.44999999999999996</v>
      </c>
    </row>
    <row r="27" spans="2:10" ht="12.75">
      <c r="B27" s="297" t="s">
        <v>185</v>
      </c>
      <c r="C27" s="326">
        <v>0.1</v>
      </c>
      <c r="D27" s="326">
        <v>0.14</v>
      </c>
      <c r="E27" s="326">
        <v>0.146</v>
      </c>
      <c r="F27" s="326">
        <v>0.176</v>
      </c>
      <c r="G27" s="326">
        <v>0.19300000000000006</v>
      </c>
      <c r="H27" s="636">
        <v>0.214</v>
      </c>
      <c r="I27" s="636">
        <v>0.236</v>
      </c>
      <c r="J27" s="326">
        <v>0.261</v>
      </c>
    </row>
    <row r="28" spans="2:10" ht="12.75">
      <c r="B28" s="302" t="s">
        <v>169</v>
      </c>
      <c r="C28" s="425">
        <v>0.169</v>
      </c>
      <c r="D28" s="425">
        <v>0.2397</v>
      </c>
      <c r="E28" s="425">
        <v>0.3582</v>
      </c>
      <c r="F28" s="425">
        <v>0.3293</v>
      </c>
      <c r="G28" s="425">
        <v>0.3453</v>
      </c>
      <c r="H28" s="499">
        <v>0.363</v>
      </c>
      <c r="I28" s="499">
        <v>0.381</v>
      </c>
      <c r="J28" s="425">
        <v>0.486</v>
      </c>
    </row>
    <row r="29" spans="2:10" ht="12.75">
      <c r="B29" s="293" t="s">
        <v>186</v>
      </c>
      <c r="C29" s="326">
        <v>0</v>
      </c>
      <c r="D29" s="326"/>
      <c r="E29" s="636">
        <v>0.09</v>
      </c>
      <c r="F29" s="638">
        <v>0.10999999999999999</v>
      </c>
      <c r="G29" s="326">
        <v>0.134</v>
      </c>
      <c r="H29" s="636">
        <v>0.113</v>
      </c>
      <c r="I29" s="636">
        <v>0.118</v>
      </c>
      <c r="J29" s="326">
        <v>0.15399999999999991</v>
      </c>
    </row>
    <row r="30" spans="2:11" ht="12.75">
      <c r="B30" s="322" t="s">
        <v>170</v>
      </c>
      <c r="C30" s="425">
        <v>0.267</v>
      </c>
      <c r="D30" s="425">
        <v>0.4099</v>
      </c>
      <c r="E30" s="425">
        <v>0.547</v>
      </c>
      <c r="F30" s="425">
        <v>0.5368</v>
      </c>
      <c r="G30" s="499">
        <v>0.5760000000000001</v>
      </c>
      <c r="H30" s="499">
        <v>0.428</v>
      </c>
      <c r="I30" s="499">
        <v>0.602</v>
      </c>
      <c r="J30" s="425">
        <v>0.629</v>
      </c>
      <c r="K30" s="161"/>
    </row>
    <row r="31" spans="2:10" ht="12.75">
      <c r="B31" s="293" t="s">
        <v>172</v>
      </c>
      <c r="C31" s="326">
        <v>0</v>
      </c>
      <c r="D31" s="326">
        <v>0</v>
      </c>
      <c r="E31" s="326">
        <v>0</v>
      </c>
      <c r="F31" s="326">
        <v>0.095</v>
      </c>
      <c r="G31" s="326">
        <v>0.0919</v>
      </c>
      <c r="H31" s="636">
        <v>0.099</v>
      </c>
      <c r="I31" s="636">
        <v>0.121</v>
      </c>
      <c r="J31" s="326">
        <v>0.13</v>
      </c>
    </row>
    <row r="32" spans="2:10" ht="15" customHeight="1">
      <c r="B32" s="322" t="s">
        <v>171</v>
      </c>
      <c r="C32" s="425">
        <v>0.029</v>
      </c>
      <c r="D32" s="425">
        <v>0.02</v>
      </c>
      <c r="E32" s="425">
        <v>0.0203</v>
      </c>
      <c r="F32" s="425">
        <v>0.1176</v>
      </c>
      <c r="G32" s="425">
        <v>0.1347</v>
      </c>
      <c r="H32" s="499">
        <v>0.1</v>
      </c>
      <c r="I32" s="499">
        <v>0.176</v>
      </c>
      <c r="J32" s="425">
        <v>0.19899999999999995</v>
      </c>
    </row>
    <row r="33" spans="2:10" ht="12.75">
      <c r="B33" s="293" t="s">
        <v>187</v>
      </c>
      <c r="C33" s="326">
        <v>0</v>
      </c>
      <c r="D33" s="326">
        <v>0</v>
      </c>
      <c r="E33" s="326">
        <v>0</v>
      </c>
      <c r="F33" s="326">
        <v>0</v>
      </c>
      <c r="G33" s="326">
        <v>0</v>
      </c>
      <c r="H33" s="636">
        <v>0</v>
      </c>
      <c r="I33" s="636">
        <v>0</v>
      </c>
      <c r="J33" s="326">
        <v>0.0010000000000000009</v>
      </c>
    </row>
    <row r="34" spans="2:10" ht="15" customHeight="1">
      <c r="B34" s="302" t="s">
        <v>188</v>
      </c>
      <c r="C34" s="425">
        <v>0.325</v>
      </c>
      <c r="D34" s="425"/>
      <c r="E34" s="425">
        <v>0.4</v>
      </c>
      <c r="F34" s="425"/>
      <c r="G34" s="425">
        <v>0.56</v>
      </c>
      <c r="H34" s="676">
        <v>0.55</v>
      </c>
      <c r="I34" s="499">
        <v>0.48</v>
      </c>
      <c r="J34" s="425">
        <v>0.45999999999999996</v>
      </c>
    </row>
    <row r="35" spans="2:10" ht="12.75">
      <c r="B35" s="293" t="s">
        <v>177</v>
      </c>
      <c r="C35" s="326"/>
      <c r="D35" s="326">
        <v>0.44200000000000006</v>
      </c>
      <c r="E35" s="326">
        <v>0.514</v>
      </c>
      <c r="F35" s="326">
        <v>0.536</v>
      </c>
      <c r="G35" s="326">
        <v>0.5449999999999999</v>
      </c>
      <c r="H35" s="678">
        <v>0.547</v>
      </c>
      <c r="I35" s="636">
        <v>0.526</v>
      </c>
      <c r="J35" s="774">
        <v>0.55</v>
      </c>
    </row>
    <row r="36" spans="2:10" ht="12.75">
      <c r="B36" s="426" t="s">
        <v>189</v>
      </c>
      <c r="C36" s="427"/>
      <c r="D36" s="427">
        <v>0.21</v>
      </c>
      <c r="E36" s="427">
        <v>0.25</v>
      </c>
      <c r="F36" s="427">
        <v>0.38</v>
      </c>
      <c r="G36" s="427">
        <v>0.42</v>
      </c>
      <c r="H36" s="679">
        <v>0.47</v>
      </c>
      <c r="I36" s="637">
        <v>0.42199999999999993</v>
      </c>
      <c r="J36" s="427">
        <v>0.498</v>
      </c>
    </row>
    <row r="37" spans="2:10" ht="12.75" customHeight="1">
      <c r="B37" s="1058" t="s">
        <v>589</v>
      </c>
      <c r="C37" s="1058"/>
      <c r="D37" s="1058"/>
      <c r="E37" s="1058"/>
      <c r="F37" s="1058"/>
      <c r="G37" s="1058"/>
      <c r="H37" s="1058"/>
      <c r="I37" s="1058"/>
      <c r="J37" s="1058"/>
    </row>
    <row r="38" spans="2:10" ht="27.75" customHeight="1">
      <c r="B38" s="1042" t="s">
        <v>575</v>
      </c>
      <c r="C38" s="1042"/>
      <c r="D38" s="1042"/>
      <c r="E38" s="1042"/>
      <c r="F38" s="1042"/>
      <c r="G38" s="1042"/>
      <c r="H38" s="1042"/>
      <c r="I38" s="1042"/>
      <c r="J38" s="1042"/>
    </row>
    <row r="64" ht="12.75" customHeight="1"/>
  </sheetData>
  <sheetProtection/>
  <mergeCells count="3">
    <mergeCell ref="B2:J4"/>
    <mergeCell ref="B37:J37"/>
    <mergeCell ref="B38:J3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T42"/>
  <sheetViews>
    <sheetView zoomScalePageLayoutView="0" workbookViewId="0" topLeftCell="A1">
      <selection activeCell="H2" sqref="H2"/>
    </sheetView>
  </sheetViews>
  <sheetFormatPr defaultColWidth="9.140625" defaultRowHeight="12.75"/>
  <cols>
    <col min="1" max="1" width="4.28125" style="0" customWidth="1"/>
    <col min="2" max="2" width="8.28125" style="0" customWidth="1"/>
    <col min="3" max="7" width="10.7109375" style="0" customWidth="1"/>
    <col min="8" max="8" width="5.140625" style="0" customWidth="1"/>
  </cols>
  <sheetData>
    <row r="1" spans="1:8" ht="14.25" customHeight="1">
      <c r="A1" s="1"/>
      <c r="B1" s="21"/>
      <c r="C1" s="994"/>
      <c r="D1" s="994"/>
      <c r="E1" s="22"/>
      <c r="F1" s="11"/>
      <c r="H1" s="10" t="s">
        <v>495</v>
      </c>
    </row>
    <row r="2" spans="2:7" ht="30" customHeight="1">
      <c r="B2" s="933" t="s">
        <v>557</v>
      </c>
      <c r="C2" s="933"/>
      <c r="D2" s="933"/>
      <c r="E2" s="933"/>
      <c r="F2" s="933"/>
      <c r="G2" s="933"/>
    </row>
    <row r="3" spans="2:7" ht="19.5" customHeight="1">
      <c r="B3" s="112"/>
      <c r="C3" s="943" t="s">
        <v>257</v>
      </c>
      <c r="D3" s="1013"/>
      <c r="E3" s="1013"/>
      <c r="F3" s="1013"/>
      <c r="G3" s="1017"/>
    </row>
    <row r="4" spans="2:7" ht="12.75" customHeight="1">
      <c r="B4" s="111"/>
      <c r="C4" s="1036" t="s">
        <v>116</v>
      </c>
      <c r="D4" s="1037"/>
      <c r="E4" s="1037"/>
      <c r="F4" s="1037"/>
      <c r="G4" s="1038"/>
    </row>
    <row r="5" spans="2:7" ht="12.75" customHeight="1">
      <c r="B5" s="111"/>
      <c r="C5" s="947" t="s">
        <v>148</v>
      </c>
      <c r="D5" s="936"/>
      <c r="E5" s="936"/>
      <c r="F5" s="936"/>
      <c r="G5" s="1061"/>
    </row>
    <row r="6" spans="2:7" ht="12.75" customHeight="1">
      <c r="B6" s="33"/>
      <c r="C6" s="1068" t="s">
        <v>151</v>
      </c>
      <c r="D6" s="1069"/>
      <c r="E6" s="118" t="s">
        <v>194</v>
      </c>
      <c r="F6" s="119" t="s">
        <v>195</v>
      </c>
      <c r="G6" s="120" t="s">
        <v>206</v>
      </c>
    </row>
    <row r="7" spans="2:7" ht="12.75" customHeight="1">
      <c r="B7" s="17"/>
      <c r="C7" s="1062" t="s">
        <v>149</v>
      </c>
      <c r="D7" s="1064" t="s">
        <v>152</v>
      </c>
      <c r="E7" s="1066" t="s">
        <v>150</v>
      </c>
      <c r="F7" s="207" t="s">
        <v>283</v>
      </c>
      <c r="G7" s="69"/>
    </row>
    <row r="8" spans="2:7" ht="12.75" customHeight="1">
      <c r="B8" s="17"/>
      <c r="C8" s="1063"/>
      <c r="D8" s="1065"/>
      <c r="E8" s="1067"/>
      <c r="F8" s="208"/>
      <c r="G8" s="126"/>
    </row>
    <row r="9" spans="2:7" ht="12.75" customHeight="1">
      <c r="B9" s="107">
        <v>1985</v>
      </c>
      <c r="C9" s="246">
        <v>11.2</v>
      </c>
      <c r="D9" s="246">
        <v>2.8</v>
      </c>
      <c r="E9" s="246">
        <v>4.7</v>
      </c>
      <c r="F9" s="246">
        <v>7.5</v>
      </c>
      <c r="G9" s="247">
        <f>SUM(C9:F9)</f>
        <v>26.2</v>
      </c>
    </row>
    <row r="10" spans="2:7" ht="12.75" customHeight="1">
      <c r="B10" s="106">
        <v>1990</v>
      </c>
      <c r="C10" s="248">
        <v>13.6</v>
      </c>
      <c r="D10" s="248">
        <v>4.3</v>
      </c>
      <c r="E10" s="248">
        <v>5.5</v>
      </c>
      <c r="F10" s="248">
        <v>7.2</v>
      </c>
      <c r="G10" s="239">
        <f aca="true" t="shared" si="0" ref="G10:G25">SUM(C10:F10)</f>
        <v>30.599999999999998</v>
      </c>
    </row>
    <row r="11" spans="2:7" ht="12.75" customHeight="1">
      <c r="B11" s="106">
        <v>1994</v>
      </c>
      <c r="C11" s="248">
        <v>13.2</v>
      </c>
      <c r="D11" s="248">
        <v>4.7</v>
      </c>
      <c r="E11" s="248">
        <v>8.3</v>
      </c>
      <c r="F11" s="248">
        <v>7.7</v>
      </c>
      <c r="G11" s="239">
        <f t="shared" si="0"/>
        <v>33.9</v>
      </c>
    </row>
    <row r="12" spans="2:7" ht="12.75" customHeight="1">
      <c r="B12" s="106">
        <v>1995</v>
      </c>
      <c r="C12" s="248">
        <v>13.6</v>
      </c>
      <c r="D12" s="248">
        <v>4.4</v>
      </c>
      <c r="E12" s="248">
        <v>8.4</v>
      </c>
      <c r="F12" s="248">
        <v>8</v>
      </c>
      <c r="G12" s="239">
        <f t="shared" si="0"/>
        <v>34.4</v>
      </c>
    </row>
    <row r="13" spans="2:7" ht="12.75" customHeight="1">
      <c r="B13" s="106">
        <v>1996</v>
      </c>
      <c r="C13" s="248">
        <v>11.7</v>
      </c>
      <c r="D13" s="248">
        <v>4</v>
      </c>
      <c r="E13" s="248">
        <v>7.9</v>
      </c>
      <c r="F13" s="248">
        <v>9.7</v>
      </c>
      <c r="G13" s="239">
        <f t="shared" si="0"/>
        <v>33.3</v>
      </c>
    </row>
    <row r="14" spans="2:7" ht="12.75" customHeight="1">
      <c r="B14" s="106">
        <v>1997</v>
      </c>
      <c r="C14" s="248">
        <v>13.7</v>
      </c>
      <c r="D14" s="248">
        <v>4.3</v>
      </c>
      <c r="E14" s="248">
        <v>7.8</v>
      </c>
      <c r="F14" s="248">
        <v>10.1</v>
      </c>
      <c r="G14" s="239">
        <f t="shared" si="0"/>
        <v>35.9</v>
      </c>
    </row>
    <row r="15" spans="2:7" ht="12.75" customHeight="1">
      <c r="B15" s="106">
        <v>1998</v>
      </c>
      <c r="C15" s="248">
        <v>15</v>
      </c>
      <c r="D15" s="248">
        <v>4.3</v>
      </c>
      <c r="E15" s="248">
        <v>8.6</v>
      </c>
      <c r="F15" s="248">
        <v>9.3</v>
      </c>
      <c r="G15" s="239">
        <f t="shared" si="0"/>
        <v>37.2</v>
      </c>
    </row>
    <row r="16" spans="2:7" ht="12.75" customHeight="1">
      <c r="B16" s="106">
        <v>1999</v>
      </c>
      <c r="C16" s="248">
        <v>14.9</v>
      </c>
      <c r="D16" s="248">
        <v>3.5</v>
      </c>
      <c r="E16" s="248">
        <v>8.3</v>
      </c>
      <c r="F16" s="248">
        <v>8.4</v>
      </c>
      <c r="G16" s="239">
        <f t="shared" si="0"/>
        <v>35.1</v>
      </c>
    </row>
    <row r="17" spans="2:7" ht="12.75" customHeight="1">
      <c r="B17" s="106">
        <v>2000</v>
      </c>
      <c r="C17" s="248">
        <v>16.8</v>
      </c>
      <c r="D17" s="248">
        <v>3.8</v>
      </c>
      <c r="E17" s="248">
        <v>8.7</v>
      </c>
      <c r="F17" s="248">
        <v>8.6</v>
      </c>
      <c r="G17" s="239">
        <f t="shared" si="0"/>
        <v>37.9</v>
      </c>
    </row>
    <row r="18" spans="2:7" ht="12.75" customHeight="1">
      <c r="B18" s="106">
        <v>2001</v>
      </c>
      <c r="C18" s="248">
        <v>15.8</v>
      </c>
      <c r="D18" s="248">
        <v>4.8</v>
      </c>
      <c r="E18" s="248">
        <v>10.7</v>
      </c>
      <c r="F18" s="248">
        <v>8.6</v>
      </c>
      <c r="G18" s="239">
        <f t="shared" si="0"/>
        <v>39.9</v>
      </c>
    </row>
    <row r="19" spans="2:7" ht="12.75" customHeight="1">
      <c r="B19" s="106">
        <v>2002</v>
      </c>
      <c r="C19" s="248">
        <v>14.2</v>
      </c>
      <c r="D19" s="248">
        <v>4.8</v>
      </c>
      <c r="E19" s="248">
        <v>10.5</v>
      </c>
      <c r="F19" s="248">
        <v>8.6</v>
      </c>
      <c r="G19" s="239">
        <f t="shared" si="0"/>
        <v>38.1</v>
      </c>
    </row>
    <row r="20" spans="2:7" ht="12.75" customHeight="1">
      <c r="B20" s="106">
        <v>2003</v>
      </c>
      <c r="C20" s="248">
        <v>14.3</v>
      </c>
      <c r="D20" s="248">
        <v>5.6</v>
      </c>
      <c r="E20" s="248">
        <v>10.7</v>
      </c>
      <c r="F20" s="248">
        <v>7.8</v>
      </c>
      <c r="G20" s="239">
        <f t="shared" si="0"/>
        <v>38.4</v>
      </c>
    </row>
    <row r="21" spans="2:7" ht="12.75" customHeight="1">
      <c r="B21" s="106">
        <v>2004</v>
      </c>
      <c r="C21" s="248">
        <v>16.1</v>
      </c>
      <c r="D21" s="248">
        <v>6.8</v>
      </c>
      <c r="E21" s="248">
        <v>10.7</v>
      </c>
      <c r="F21" s="248">
        <v>6.4</v>
      </c>
      <c r="G21" s="239">
        <f t="shared" si="0"/>
        <v>40</v>
      </c>
    </row>
    <row r="22" spans="2:7" ht="12.75" customHeight="1">
      <c r="B22" s="106">
        <v>2005</v>
      </c>
      <c r="C22" s="248">
        <v>15.6</v>
      </c>
      <c r="D22" s="248">
        <v>8.1</v>
      </c>
      <c r="E22" s="248">
        <v>10</v>
      </c>
      <c r="F22" s="248">
        <v>5.2</v>
      </c>
      <c r="G22" s="239">
        <f t="shared" si="0"/>
        <v>38.900000000000006</v>
      </c>
    </row>
    <row r="23" spans="2:7" ht="12.75" customHeight="1">
      <c r="B23" s="106">
        <v>2006</v>
      </c>
      <c r="C23" s="248">
        <v>16.2</v>
      </c>
      <c r="D23" s="248">
        <v>9</v>
      </c>
      <c r="E23" s="248">
        <v>11.6</v>
      </c>
      <c r="F23" s="248">
        <v>4.8</v>
      </c>
      <c r="G23" s="239">
        <f t="shared" si="0"/>
        <v>41.599999999999994</v>
      </c>
    </row>
    <row r="24" spans="2:7" ht="12.75" customHeight="1">
      <c r="B24" s="106">
        <v>2007</v>
      </c>
      <c r="C24" s="248">
        <v>15.5</v>
      </c>
      <c r="D24" s="248">
        <v>9.7</v>
      </c>
      <c r="E24" s="248">
        <v>13.3</v>
      </c>
      <c r="F24" s="248">
        <v>5.7</v>
      </c>
      <c r="G24" s="239">
        <f t="shared" si="0"/>
        <v>44.2</v>
      </c>
    </row>
    <row r="25" spans="2:7" ht="12.75" customHeight="1">
      <c r="B25" s="106">
        <v>2008</v>
      </c>
      <c r="C25" s="248">
        <v>15.5</v>
      </c>
      <c r="D25" s="248">
        <v>9.9</v>
      </c>
      <c r="E25" s="248">
        <v>14</v>
      </c>
      <c r="F25" s="248">
        <v>4.6</v>
      </c>
      <c r="G25" s="239">
        <f t="shared" si="0"/>
        <v>44</v>
      </c>
    </row>
    <row r="26" spans="2:7" ht="15" customHeight="1">
      <c r="B26" s="106">
        <v>2009</v>
      </c>
      <c r="C26" s="248">
        <v>11.6</v>
      </c>
      <c r="D26" s="248">
        <v>9.2</v>
      </c>
      <c r="E26" s="248">
        <v>13.1</v>
      </c>
      <c r="F26" s="248">
        <v>2.4</v>
      </c>
      <c r="G26" s="239">
        <f aca="true" t="shared" si="1" ref="G26:G33">SUM(C26:F26)</f>
        <v>36.3</v>
      </c>
    </row>
    <row r="27" spans="2:7" ht="15" customHeight="1">
      <c r="B27" s="106">
        <v>2010</v>
      </c>
      <c r="C27" s="248">
        <v>14.4</v>
      </c>
      <c r="D27" s="248">
        <v>9.6</v>
      </c>
      <c r="E27" s="248">
        <v>14.4</v>
      </c>
      <c r="F27" s="248">
        <v>3</v>
      </c>
      <c r="G27" s="239">
        <f t="shared" si="1"/>
        <v>41.4</v>
      </c>
    </row>
    <row r="28" spans="2:7" ht="15" customHeight="1">
      <c r="B28" s="106">
        <v>2011</v>
      </c>
      <c r="C28" s="248">
        <v>14.4</v>
      </c>
      <c r="D28" s="248">
        <v>11.3</v>
      </c>
      <c r="E28" s="248">
        <v>14.1</v>
      </c>
      <c r="F28" s="248">
        <v>3.4</v>
      </c>
      <c r="G28" s="239">
        <f t="shared" si="1"/>
        <v>43.2</v>
      </c>
    </row>
    <row r="29" spans="2:7" ht="16.5" customHeight="1">
      <c r="B29" s="106">
        <v>2012</v>
      </c>
      <c r="C29" s="248">
        <v>13.9</v>
      </c>
      <c r="D29" s="248">
        <v>9.8</v>
      </c>
      <c r="E29" s="248">
        <v>11.2</v>
      </c>
      <c r="F29" s="248">
        <v>3.4</v>
      </c>
      <c r="G29" s="239">
        <f t="shared" si="1"/>
        <v>38.300000000000004</v>
      </c>
    </row>
    <row r="30" spans="2:7" ht="16.5" customHeight="1">
      <c r="B30" s="106">
        <v>2013</v>
      </c>
      <c r="C30" s="248">
        <f>15.0445</f>
        <v>15.0445</v>
      </c>
      <c r="D30" s="248">
        <v>10.1301</v>
      </c>
      <c r="E30" s="248">
        <f>11.7016</f>
        <v>11.7016</v>
      </c>
      <c r="F30" s="248">
        <v>3.2448</v>
      </c>
      <c r="G30" s="239">
        <f t="shared" si="1"/>
        <v>40.120999999999995</v>
      </c>
    </row>
    <row r="31" spans="2:7" ht="16.5" customHeight="1">
      <c r="B31" s="642">
        <v>2014</v>
      </c>
      <c r="C31" s="248">
        <f>15.5863</f>
        <v>15.5863</v>
      </c>
      <c r="D31" s="248">
        <v>10.4625</v>
      </c>
      <c r="E31" s="248">
        <v>11.9261</v>
      </c>
      <c r="F31" s="248">
        <v>3.2989</v>
      </c>
      <c r="G31" s="108">
        <f t="shared" si="1"/>
        <v>41.2738</v>
      </c>
    </row>
    <row r="32" spans="2:7" ht="12.75" customHeight="1">
      <c r="B32" s="642">
        <v>2015</v>
      </c>
      <c r="C32" s="248">
        <v>15.2506</v>
      </c>
      <c r="D32" s="248">
        <v>11.6882</v>
      </c>
      <c r="E32" s="248">
        <v>12.5607</v>
      </c>
      <c r="F32" s="248">
        <v>3.1655</v>
      </c>
      <c r="G32" s="108">
        <f t="shared" si="1"/>
        <v>42.665</v>
      </c>
    </row>
    <row r="33" spans="2:7" ht="12.75" customHeight="1">
      <c r="B33" s="633">
        <v>2016</v>
      </c>
      <c r="C33" s="249">
        <f>15.3092</f>
        <v>15.3092</v>
      </c>
      <c r="D33" s="249">
        <v>13.5351</v>
      </c>
      <c r="E33" s="249">
        <v>13.4021</v>
      </c>
      <c r="F33" s="249">
        <v>2.9182</v>
      </c>
      <c r="G33" s="775">
        <f t="shared" si="1"/>
        <v>45.1646</v>
      </c>
    </row>
    <row r="34" ht="12.75" customHeight="1">
      <c r="B34" s="1"/>
    </row>
    <row r="35" spans="2:7" ht="15" customHeight="1">
      <c r="B35" s="250"/>
      <c r="C35" s="946" t="s">
        <v>341</v>
      </c>
      <c r="D35" s="935"/>
      <c r="E35" s="935"/>
      <c r="F35" s="935"/>
      <c r="G35" s="1060"/>
    </row>
    <row r="36" spans="2:8" ht="18" customHeight="1">
      <c r="B36" s="189" t="s">
        <v>1</v>
      </c>
      <c r="C36" s="251">
        <f>(POWER((C17/C9),1/15)-1)</f>
        <v>0.02739965906371644</v>
      </c>
      <c r="D36" s="182">
        <f>(POWER((D17/D9),1/15)-1)</f>
        <v>0.02056743010068951</v>
      </c>
      <c r="E36" s="182">
        <f>(POWER((E17/E9),1/15)-1)</f>
        <v>0.041904929963260784</v>
      </c>
      <c r="F36" s="252">
        <f>(POWER((F17/F9),1/15)-1)</f>
        <v>0.009165695583873257</v>
      </c>
      <c r="G36" s="253">
        <f>(POWER((G17/G9),1/15)-1)</f>
        <v>0.024918174951352734</v>
      </c>
      <c r="H36" s="121"/>
    </row>
    <row r="37" spans="2:7" ht="19.5" customHeight="1">
      <c r="B37" s="311" t="s">
        <v>554</v>
      </c>
      <c r="C37" s="254">
        <f>(POWER((C32/C17),1/15)-1)</f>
        <v>-0.00642990842169</v>
      </c>
      <c r="D37" s="183">
        <f>(POWER((D32/D17),1/15)-1)</f>
        <v>0.07778202398200174</v>
      </c>
      <c r="E37" s="183">
        <f>(POWER((E32/E17),1/15)-1)</f>
        <v>0.02478550207281538</v>
      </c>
      <c r="F37" s="255">
        <f>(POWER((F32/F17),1/15)-1)</f>
        <v>-0.06445878615342704</v>
      </c>
      <c r="G37" s="256">
        <f>(POWER((G32/G17),1/15)-1)</f>
        <v>0.007926435831420164</v>
      </c>
    </row>
    <row r="38" spans="2:7" ht="17.25" customHeight="1">
      <c r="B38" s="271" t="s">
        <v>586</v>
      </c>
      <c r="C38" s="148">
        <f>(C33/C32-1)</f>
        <v>0.0038424717716023515</v>
      </c>
      <c r="D38" s="149">
        <f>(D33/D32-1)</f>
        <v>0.15801406546773666</v>
      </c>
      <c r="E38" s="149">
        <f>(E33/E32-1)</f>
        <v>0.06698671252398358</v>
      </c>
      <c r="F38" s="257">
        <f>(F33/F32-1)</f>
        <v>-0.07812351919128102</v>
      </c>
      <c r="G38" s="181">
        <f>(G33/G32-1)</f>
        <v>0.058586663541544626</v>
      </c>
    </row>
    <row r="39" spans="2:7" ht="12.75" customHeight="1">
      <c r="B39" s="1056" t="s">
        <v>551</v>
      </c>
      <c r="C39" s="1059"/>
      <c r="D39" s="1059"/>
      <c r="E39" s="1059"/>
      <c r="F39" s="1059"/>
      <c r="G39" s="1059"/>
    </row>
    <row r="40" spans="2:20" ht="15.75">
      <c r="B40" s="11"/>
      <c r="C40" s="11"/>
      <c r="D40" s="11"/>
      <c r="E40" s="11"/>
      <c r="F40" s="11"/>
      <c r="G40" s="11"/>
      <c r="T40" s="272"/>
    </row>
    <row r="41" ht="12.75">
      <c r="T41" s="272"/>
    </row>
    <row r="42" spans="3:20" ht="12.75">
      <c r="C42" s="274"/>
      <c r="T42" s="272"/>
    </row>
  </sheetData>
  <sheetProtection/>
  <mergeCells count="11">
    <mergeCell ref="C6:D6"/>
    <mergeCell ref="B39:G39"/>
    <mergeCell ref="C1:D1"/>
    <mergeCell ref="B2:G2"/>
    <mergeCell ref="C3:G3"/>
    <mergeCell ref="C4:G4"/>
    <mergeCell ref="C35:G35"/>
    <mergeCell ref="C5:G5"/>
    <mergeCell ref="C7:C8"/>
    <mergeCell ref="D7:D8"/>
    <mergeCell ref="E7:E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1:I36"/>
  <sheetViews>
    <sheetView zoomScalePageLayoutView="0" workbookViewId="0" topLeftCell="A16">
      <selection activeCell="Q24" sqref="Q24"/>
    </sheetView>
  </sheetViews>
  <sheetFormatPr defaultColWidth="9.140625" defaultRowHeight="12.75"/>
  <cols>
    <col min="1" max="1" width="2.00390625" style="0" customWidth="1"/>
    <col min="2" max="2" width="5.28125" style="0" customWidth="1"/>
    <col min="3" max="8" width="8.7109375" style="0" customWidth="1"/>
    <col min="9" max="9" width="7.28125" style="0" customWidth="1"/>
  </cols>
  <sheetData>
    <row r="1" ht="15.75">
      <c r="H1" s="32" t="s">
        <v>496</v>
      </c>
    </row>
    <row r="2" spans="2:8" ht="15" customHeight="1">
      <c r="B2" s="999" t="s">
        <v>503</v>
      </c>
      <c r="C2" s="999"/>
      <c r="D2" s="999"/>
      <c r="E2" s="999"/>
      <c r="F2" s="999"/>
      <c r="G2" s="999"/>
      <c r="H2" s="999"/>
    </row>
    <row r="3" spans="2:8" ht="15" customHeight="1">
      <c r="B3" s="1071" t="s">
        <v>96</v>
      </c>
      <c r="C3" s="1071"/>
      <c r="D3" s="1071"/>
      <c r="E3" s="1071"/>
      <c r="F3" s="1071"/>
      <c r="G3" s="1071"/>
      <c r="H3" s="1071"/>
    </row>
    <row r="4" spans="2:8" ht="15" customHeight="1">
      <c r="B4" s="165"/>
      <c r="C4" s="165"/>
      <c r="D4" s="165"/>
      <c r="E4" s="165"/>
      <c r="F4" s="165"/>
      <c r="G4" s="165"/>
      <c r="H4" s="165"/>
    </row>
    <row r="5" spans="3:8" ht="12.75">
      <c r="C5" s="1072" t="s">
        <v>112</v>
      </c>
      <c r="D5" s="1078"/>
      <c r="E5" s="1078"/>
      <c r="F5" s="1073"/>
      <c r="G5" s="1072" t="s">
        <v>113</v>
      </c>
      <c r="H5" s="1073"/>
    </row>
    <row r="6" spans="3:8" ht="12.75" customHeight="1">
      <c r="C6" s="1074" t="s">
        <v>114</v>
      </c>
      <c r="D6" s="1021"/>
      <c r="E6" s="1022"/>
      <c r="F6" s="85" t="s">
        <v>279</v>
      </c>
      <c r="G6" s="129" t="s">
        <v>277</v>
      </c>
      <c r="H6" s="1075" t="s">
        <v>118</v>
      </c>
    </row>
    <row r="7" spans="3:8" ht="12.75" customHeight="1">
      <c r="C7" s="154"/>
      <c r="D7" s="155"/>
      <c r="E7" s="85"/>
      <c r="F7" s="85" t="s">
        <v>278</v>
      </c>
      <c r="G7" s="129" t="s">
        <v>278</v>
      </c>
      <c r="H7" s="1075"/>
    </row>
    <row r="8" spans="3:8" ht="12.75" customHeight="1">
      <c r="C8" s="1076" t="s">
        <v>115</v>
      </c>
      <c r="D8" s="1077"/>
      <c r="E8" s="45" t="s">
        <v>118</v>
      </c>
      <c r="F8" s="110" t="s">
        <v>208</v>
      </c>
      <c r="G8" s="129"/>
      <c r="H8" s="1075"/>
    </row>
    <row r="9" spans="3:8" ht="12.75">
      <c r="C9" s="86" t="s">
        <v>209</v>
      </c>
      <c r="D9" s="98" t="s">
        <v>210</v>
      </c>
      <c r="E9" s="232"/>
      <c r="F9" s="85"/>
      <c r="G9" s="129"/>
      <c r="H9" s="1075"/>
    </row>
    <row r="10" spans="3:8" ht="12.75">
      <c r="C10" s="87">
        <v>1000</v>
      </c>
      <c r="D10" s="99">
        <v>1000</v>
      </c>
      <c r="E10" s="233">
        <v>1000</v>
      </c>
      <c r="F10" s="79" t="s">
        <v>196</v>
      </c>
      <c r="G10" s="87" t="s">
        <v>196</v>
      </c>
      <c r="H10" s="79" t="s">
        <v>4</v>
      </c>
    </row>
    <row r="11" spans="2:8" ht="12.75">
      <c r="B11" s="640">
        <v>1995</v>
      </c>
      <c r="C11" s="428">
        <v>1223</v>
      </c>
      <c r="D11" s="234">
        <v>23</v>
      </c>
      <c r="E11" s="429">
        <v>391</v>
      </c>
      <c r="F11" s="144">
        <v>4.2</v>
      </c>
      <c r="G11" s="123">
        <v>2.92</v>
      </c>
      <c r="H11" s="430">
        <v>1411</v>
      </c>
    </row>
    <row r="12" spans="2:8" ht="15" customHeight="1">
      <c r="B12" s="641">
        <v>1996</v>
      </c>
      <c r="C12" s="431">
        <v>2077</v>
      </c>
      <c r="D12" s="235">
        <v>58</v>
      </c>
      <c r="E12" s="396">
        <v>519</v>
      </c>
      <c r="F12" s="146">
        <v>7.9</v>
      </c>
      <c r="G12" s="124">
        <v>4.866</v>
      </c>
      <c r="H12" s="432">
        <v>2361</v>
      </c>
    </row>
    <row r="13" spans="2:8" ht="12.75">
      <c r="B13" s="641">
        <v>1997</v>
      </c>
      <c r="C13" s="431">
        <v>2329</v>
      </c>
      <c r="D13" s="235">
        <v>54</v>
      </c>
      <c r="E13" s="396">
        <v>268</v>
      </c>
      <c r="F13" s="146">
        <v>8.6</v>
      </c>
      <c r="G13" s="124">
        <v>6.004</v>
      </c>
      <c r="H13" s="432">
        <v>2925</v>
      </c>
    </row>
    <row r="14" spans="2:8" ht="12.75">
      <c r="B14" s="641">
        <v>1998</v>
      </c>
      <c r="C14" s="431">
        <v>3351</v>
      </c>
      <c r="D14" s="235">
        <v>97</v>
      </c>
      <c r="E14" s="396">
        <v>705</v>
      </c>
      <c r="F14" s="146">
        <v>12.2</v>
      </c>
      <c r="G14" s="124">
        <v>6.307</v>
      </c>
      <c r="H14" s="432">
        <v>3141</v>
      </c>
    </row>
    <row r="15" spans="2:8" ht="15" customHeight="1">
      <c r="B15" s="641">
        <v>1999</v>
      </c>
      <c r="C15" s="431">
        <v>3260</v>
      </c>
      <c r="D15" s="235">
        <v>82</v>
      </c>
      <c r="E15" s="396">
        <v>839</v>
      </c>
      <c r="F15" s="146">
        <v>10.8</v>
      </c>
      <c r="G15" s="124">
        <v>6.593</v>
      </c>
      <c r="H15" s="432">
        <v>2865</v>
      </c>
    </row>
    <row r="16" spans="2:8" ht="12.75">
      <c r="B16" s="641">
        <v>2000</v>
      </c>
      <c r="C16" s="431">
        <v>2784.493</v>
      </c>
      <c r="D16" s="235">
        <v>79.46</v>
      </c>
      <c r="E16" s="396">
        <v>1133</v>
      </c>
      <c r="F16" s="147">
        <v>10.1</v>
      </c>
      <c r="G16" s="124">
        <v>7.13</v>
      </c>
      <c r="H16" s="432">
        <v>2947</v>
      </c>
    </row>
    <row r="17" spans="2:8" ht="12.75">
      <c r="B17" s="641">
        <v>2001</v>
      </c>
      <c r="C17" s="431">
        <v>2529.757</v>
      </c>
      <c r="D17" s="235">
        <v>75.502</v>
      </c>
      <c r="E17" s="396">
        <v>1198</v>
      </c>
      <c r="F17" s="147">
        <v>9.3</v>
      </c>
      <c r="G17" s="124">
        <v>6.947</v>
      </c>
      <c r="H17" s="432">
        <v>2447</v>
      </c>
    </row>
    <row r="18" spans="2:8" ht="12.75">
      <c r="B18" s="641">
        <v>2002</v>
      </c>
      <c r="C18" s="431">
        <v>2335.625</v>
      </c>
      <c r="D18" s="235">
        <v>71.911</v>
      </c>
      <c r="E18" s="396">
        <v>1231.1</v>
      </c>
      <c r="F18" s="147">
        <v>8.7</v>
      </c>
      <c r="G18" s="124">
        <v>6.603</v>
      </c>
      <c r="H18" s="432">
        <v>1464</v>
      </c>
    </row>
    <row r="19" spans="2:8" ht="12.75">
      <c r="B19" s="641">
        <v>2003</v>
      </c>
      <c r="C19" s="431">
        <v>2278.999</v>
      </c>
      <c r="D19" s="235">
        <v>71.942</v>
      </c>
      <c r="E19" s="396">
        <v>1284.875</v>
      </c>
      <c r="F19" s="147">
        <v>8.5</v>
      </c>
      <c r="G19" s="124">
        <v>6.314795</v>
      </c>
      <c r="H19" s="432">
        <v>1743.686</v>
      </c>
    </row>
    <row r="20" spans="2:8" ht="12.75">
      <c r="B20" s="641">
        <v>2004</v>
      </c>
      <c r="C20" s="431">
        <v>2101.323</v>
      </c>
      <c r="D20" s="235">
        <v>63.467</v>
      </c>
      <c r="E20" s="396">
        <v>1281.207</v>
      </c>
      <c r="F20" s="147">
        <v>7.8</v>
      </c>
      <c r="G20" s="124">
        <v>7.276675</v>
      </c>
      <c r="H20" s="432">
        <v>1899.175</v>
      </c>
    </row>
    <row r="21" spans="2:8" ht="12.75">
      <c r="B21" s="641">
        <v>2005</v>
      </c>
      <c r="C21" s="431">
        <v>2047.166</v>
      </c>
      <c r="D21" s="235">
        <v>77.267</v>
      </c>
      <c r="E21" s="396">
        <v>1308.786</v>
      </c>
      <c r="F21" s="312">
        <v>8.2</v>
      </c>
      <c r="G21" s="124">
        <v>7.454497</v>
      </c>
      <c r="H21" s="432">
        <v>1587.79</v>
      </c>
    </row>
    <row r="22" spans="2:8" ht="12.75">
      <c r="B22" s="641">
        <v>2006</v>
      </c>
      <c r="C22" s="431">
        <v>2021.543</v>
      </c>
      <c r="D22" s="235">
        <v>67.201</v>
      </c>
      <c r="E22" s="396">
        <v>1296.269</v>
      </c>
      <c r="F22" s="312">
        <v>7.8</v>
      </c>
      <c r="G22" s="124">
        <v>7.858337000000001</v>
      </c>
      <c r="H22" s="432">
        <v>1569.429</v>
      </c>
    </row>
    <row r="23" spans="2:8" ht="12.75">
      <c r="B23" s="641">
        <v>2007</v>
      </c>
      <c r="C23" s="431">
        <v>2141.573</v>
      </c>
      <c r="D23" s="235">
        <v>65.331</v>
      </c>
      <c r="E23" s="396">
        <v>1414.709</v>
      </c>
      <c r="F23" s="312">
        <v>9.5</v>
      </c>
      <c r="G23" s="124">
        <v>8.26098</v>
      </c>
      <c r="H23" s="432">
        <v>1213.647</v>
      </c>
    </row>
    <row r="24" spans="2:8" ht="12.75">
      <c r="B24" s="641">
        <v>2008</v>
      </c>
      <c r="C24" s="431">
        <v>1907.484</v>
      </c>
      <c r="D24" s="235">
        <v>55.751</v>
      </c>
      <c r="E24" s="396">
        <v>1254.282</v>
      </c>
      <c r="F24" s="312">
        <v>8.4</v>
      </c>
      <c r="G24" s="124">
        <v>9.113371</v>
      </c>
      <c r="H24" s="432">
        <v>1239.445</v>
      </c>
    </row>
    <row r="25" spans="2:8" ht="15" customHeight="1">
      <c r="B25" s="641">
        <v>2009</v>
      </c>
      <c r="C25" s="431">
        <v>1916.647</v>
      </c>
      <c r="D25" s="235">
        <v>54.547</v>
      </c>
      <c r="E25" s="396">
        <v>769.261</v>
      </c>
      <c r="F25" s="312">
        <v>7.8</v>
      </c>
      <c r="G25" s="124">
        <v>9.220233</v>
      </c>
      <c r="H25" s="432">
        <v>1181.089</v>
      </c>
    </row>
    <row r="26" spans="2:8" ht="12.75" customHeight="1">
      <c r="B26" s="641">
        <v>2010</v>
      </c>
      <c r="C26" s="431">
        <v>2125.259</v>
      </c>
      <c r="D26" s="235">
        <v>56.507</v>
      </c>
      <c r="E26" s="396">
        <v>1089.051</v>
      </c>
      <c r="F26" s="312">
        <v>8.8</v>
      </c>
      <c r="G26" s="124">
        <v>9.528558</v>
      </c>
      <c r="H26" s="432">
        <v>1128.079</v>
      </c>
    </row>
    <row r="27" spans="2:8" ht="12.75" customHeight="1">
      <c r="B27" s="641">
        <v>2011</v>
      </c>
      <c r="C27" s="431">
        <v>2262.811</v>
      </c>
      <c r="D27" s="235">
        <v>56.095</v>
      </c>
      <c r="E27" s="396">
        <v>1263.327</v>
      </c>
      <c r="F27" s="312">
        <v>9.3</v>
      </c>
      <c r="G27" s="124">
        <v>9.679764</v>
      </c>
      <c r="H27" s="432">
        <v>1324.673</v>
      </c>
    </row>
    <row r="28" spans="2:8" ht="12.75" customHeight="1">
      <c r="B28" s="641">
        <v>2012</v>
      </c>
      <c r="C28" s="431">
        <v>2424.342</v>
      </c>
      <c r="D28" s="235">
        <v>58.966</v>
      </c>
      <c r="E28" s="396">
        <v>1464.88</v>
      </c>
      <c r="F28" s="312">
        <v>10</v>
      </c>
      <c r="G28" s="124">
        <v>9.911649</v>
      </c>
      <c r="H28" s="432">
        <v>1227.139</v>
      </c>
    </row>
    <row r="29" spans="2:8" ht="12.75" customHeight="1">
      <c r="B29" s="641">
        <v>2013</v>
      </c>
      <c r="C29" s="431">
        <v>2481.167</v>
      </c>
      <c r="D29" s="235">
        <v>64.507</v>
      </c>
      <c r="E29" s="396">
        <v>1362.849</v>
      </c>
      <c r="F29" s="501">
        <v>10.3</v>
      </c>
      <c r="G29" s="502">
        <v>10.132691</v>
      </c>
      <c r="H29" s="432">
        <v>1360</v>
      </c>
    </row>
    <row r="30" spans="2:8" ht="12.75" customHeight="1">
      <c r="B30" s="642">
        <v>2014</v>
      </c>
      <c r="C30" s="431">
        <f>2572.263</f>
        <v>2572.263</v>
      </c>
      <c r="D30" s="235">
        <v>63.059</v>
      </c>
      <c r="E30" s="432">
        <v>1440.214</v>
      </c>
      <c r="F30" s="501">
        <v>10.6</v>
      </c>
      <c r="G30" s="639">
        <v>10.397894</v>
      </c>
      <c r="H30" s="432">
        <v>1650</v>
      </c>
    </row>
    <row r="31" spans="2:8" ht="12.75" customHeight="1">
      <c r="B31" s="642">
        <v>2015</v>
      </c>
      <c r="C31" s="431">
        <v>2556.585</v>
      </c>
      <c r="D31" s="235">
        <v>58.387</v>
      </c>
      <c r="E31" s="432">
        <v>1483.741</v>
      </c>
      <c r="F31" s="501">
        <v>10.5</v>
      </c>
      <c r="G31" s="639">
        <v>10.399267</v>
      </c>
      <c r="H31" s="432">
        <v>1420</v>
      </c>
    </row>
    <row r="32" spans="2:9" ht="15" customHeight="1">
      <c r="B32" s="642">
        <v>2016</v>
      </c>
      <c r="C32" s="778">
        <v>2610.242</v>
      </c>
      <c r="D32" s="235">
        <v>53.623</v>
      </c>
      <c r="E32" s="432">
        <v>1641.638</v>
      </c>
      <c r="F32" s="501">
        <v>10.6</v>
      </c>
      <c r="G32" s="639">
        <v>10.011337</v>
      </c>
      <c r="H32" s="432">
        <v>1040</v>
      </c>
      <c r="I32" s="176"/>
    </row>
    <row r="33" spans="2:9" ht="15" customHeight="1">
      <c r="B33" s="643">
        <v>2017</v>
      </c>
      <c r="C33" s="777">
        <v>2595.247</v>
      </c>
      <c r="D33" s="779">
        <v>51.229</v>
      </c>
      <c r="E33" s="776">
        <v>1637.28</v>
      </c>
      <c r="F33" s="313">
        <v>10.4</v>
      </c>
      <c r="G33" s="503">
        <v>10.300622</v>
      </c>
      <c r="H33" s="433">
        <v>1220</v>
      </c>
      <c r="I33" s="176"/>
    </row>
    <row r="34" spans="2:8" ht="18" customHeight="1">
      <c r="B34" s="4" t="s">
        <v>273</v>
      </c>
      <c r="C34" s="156"/>
      <c r="D34" s="157"/>
      <c r="E34" s="156"/>
      <c r="F34" s="145"/>
      <c r="G34" s="158"/>
      <c r="H34" s="156"/>
    </row>
    <row r="35" spans="2:8" ht="27.75" customHeight="1">
      <c r="B35" s="1070" t="s">
        <v>272</v>
      </c>
      <c r="C35" s="1070"/>
      <c r="D35" s="1070"/>
      <c r="E35" s="1070"/>
      <c r="F35" s="1070"/>
      <c r="G35" s="1070"/>
      <c r="H35" s="1070"/>
    </row>
    <row r="36" spans="2:8" ht="30" customHeight="1">
      <c r="B36" s="959" t="s">
        <v>483</v>
      </c>
      <c r="C36" s="959"/>
      <c r="D36" s="959"/>
      <c r="E36" s="959"/>
      <c r="F36" s="959"/>
      <c r="G36" s="959"/>
      <c r="H36" s="959"/>
    </row>
  </sheetData>
  <sheetProtection/>
  <mergeCells count="9">
    <mergeCell ref="B35:H35"/>
    <mergeCell ref="B36:H36"/>
    <mergeCell ref="B3:H3"/>
    <mergeCell ref="B2:H2"/>
    <mergeCell ref="G5:H5"/>
    <mergeCell ref="C6:E6"/>
    <mergeCell ref="H6:H9"/>
    <mergeCell ref="C8:D8"/>
    <mergeCell ref="C5:F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77"/>
  <sheetViews>
    <sheetView zoomScalePageLayoutView="0" workbookViewId="0" topLeftCell="A1">
      <selection activeCell="W35" sqref="W35"/>
    </sheetView>
  </sheetViews>
  <sheetFormatPr defaultColWidth="9.140625" defaultRowHeight="12.75"/>
  <cols>
    <col min="1" max="1" width="5.421875" style="227" customWidth="1"/>
    <col min="2" max="2" width="22.140625" style="0" customWidth="1"/>
    <col min="3" max="3" width="8.00390625" style="0" customWidth="1"/>
    <col min="4" max="4" width="10.140625" style="0" customWidth="1"/>
    <col min="5" max="5" width="6.8515625" style="0" customWidth="1"/>
    <col min="6" max="7" width="10.140625" style="0" customWidth="1"/>
    <col min="8" max="8" width="9.57421875" style="0" customWidth="1"/>
    <col min="9" max="9" width="10.8515625" style="0" customWidth="1"/>
    <col min="10" max="10" width="7.57421875" style="0" customWidth="1"/>
    <col min="11" max="19" width="7.140625" style="0" customWidth="1"/>
    <col min="20" max="21" width="6.57421875" style="0" customWidth="1"/>
    <col min="22" max="22" width="6.140625" style="0" customWidth="1"/>
    <col min="23" max="23" width="61.28125" style="0" customWidth="1"/>
  </cols>
  <sheetData>
    <row r="1" spans="2:23" ht="14.25" customHeight="1">
      <c r="B1" s="28"/>
      <c r="C1" s="28"/>
      <c r="D1" s="16"/>
      <c r="E1" s="16"/>
      <c r="F1" s="16"/>
      <c r="G1" s="16"/>
      <c r="H1" s="16"/>
      <c r="I1" s="16"/>
      <c r="J1" s="16"/>
      <c r="K1" s="16"/>
      <c r="L1" s="16"/>
      <c r="M1" s="16"/>
      <c r="N1" s="16"/>
      <c r="O1" s="16"/>
      <c r="P1" s="16"/>
      <c r="Q1" s="16"/>
      <c r="R1" s="16"/>
      <c r="S1" s="16"/>
      <c r="T1" s="10" t="s">
        <v>396</v>
      </c>
      <c r="U1" s="10"/>
      <c r="V1" s="10"/>
      <c r="W1" s="10"/>
    </row>
    <row r="2" spans="2:23" ht="30" customHeight="1">
      <c r="B2" s="933" t="s">
        <v>470</v>
      </c>
      <c r="C2" s="933"/>
      <c r="D2" s="933"/>
      <c r="E2" s="933"/>
      <c r="F2" s="933"/>
      <c r="G2" s="933"/>
      <c r="H2" s="933"/>
      <c r="I2" s="933"/>
      <c r="J2" s="933"/>
      <c r="K2" s="933"/>
      <c r="L2" s="933"/>
      <c r="M2" s="933"/>
      <c r="N2" s="933"/>
      <c r="O2" s="933"/>
      <c r="P2" s="933"/>
      <c r="Q2" s="933"/>
      <c r="R2" s="933"/>
      <c r="S2" s="933"/>
      <c r="T2" s="933"/>
      <c r="U2" s="577"/>
      <c r="V2" s="577"/>
      <c r="W2" s="577"/>
    </row>
    <row r="3" spans="2:23" ht="15" customHeight="1">
      <c r="B3" s="934" t="s">
        <v>338</v>
      </c>
      <c r="C3" s="934"/>
      <c r="D3" s="934"/>
      <c r="E3" s="934"/>
      <c r="F3" s="934"/>
      <c r="G3" s="934"/>
      <c r="H3" s="934"/>
      <c r="I3" s="934"/>
      <c r="J3" s="934"/>
      <c r="K3" s="934"/>
      <c r="L3" s="934"/>
      <c r="M3" s="934"/>
      <c r="N3" s="934"/>
      <c r="O3" s="934"/>
      <c r="P3" s="934"/>
      <c r="Q3" s="934"/>
      <c r="R3" s="934"/>
      <c r="S3" s="934"/>
      <c r="T3" s="934"/>
      <c r="U3" s="578"/>
      <c r="V3" s="578"/>
      <c r="W3" s="578"/>
    </row>
    <row r="4" spans="2:23" ht="12" customHeight="1">
      <c r="B4" s="938" t="s">
        <v>489</v>
      </c>
      <c r="C4" s="938"/>
      <c r="D4" s="938"/>
      <c r="E4" s="938"/>
      <c r="F4" s="938"/>
      <c r="G4" s="938"/>
      <c r="H4" s="938"/>
      <c r="I4" s="938"/>
      <c r="J4" s="938"/>
      <c r="K4" s="938"/>
      <c r="L4" s="938"/>
      <c r="M4" s="938"/>
      <c r="N4" s="938"/>
      <c r="O4" s="938"/>
      <c r="P4" s="938"/>
      <c r="Q4" s="938"/>
      <c r="R4" s="938"/>
      <c r="S4" s="938"/>
      <c r="T4" s="938"/>
      <c r="U4" s="938"/>
      <c r="V4" s="588"/>
      <c r="W4" s="588"/>
    </row>
    <row r="5" spans="1:23" ht="12" customHeight="1">
      <c r="A5" s="942" t="s">
        <v>339</v>
      </c>
      <c r="B5" s="943" t="s">
        <v>6</v>
      </c>
      <c r="C5" s="40"/>
      <c r="D5" s="946">
        <v>1990</v>
      </c>
      <c r="E5" s="935">
        <v>2000</v>
      </c>
      <c r="F5" s="163"/>
      <c r="G5" s="163"/>
      <c r="H5" s="163"/>
      <c r="I5" s="163"/>
      <c r="J5" s="935">
        <v>2005</v>
      </c>
      <c r="K5" s="935">
        <v>2006</v>
      </c>
      <c r="L5" s="935">
        <v>2007</v>
      </c>
      <c r="M5" s="935">
        <v>2008</v>
      </c>
      <c r="N5" s="163"/>
      <c r="O5" s="163"/>
      <c r="P5" s="163"/>
      <c r="Q5" s="163"/>
      <c r="R5" s="163"/>
      <c r="S5" s="163"/>
      <c r="T5" s="163"/>
      <c r="U5" s="691"/>
      <c r="V5" s="77" t="s">
        <v>322</v>
      </c>
      <c r="W5" s="589"/>
    </row>
    <row r="6" spans="1:23" ht="12" customHeight="1">
      <c r="A6" s="942"/>
      <c r="B6" s="944"/>
      <c r="C6" s="41"/>
      <c r="D6" s="947"/>
      <c r="E6" s="936"/>
      <c r="F6" s="70">
        <v>2001</v>
      </c>
      <c r="G6" s="70">
        <v>2002</v>
      </c>
      <c r="H6" s="70">
        <v>2003</v>
      </c>
      <c r="I6" s="70">
        <v>2004</v>
      </c>
      <c r="J6" s="936"/>
      <c r="K6" s="936"/>
      <c r="L6" s="936"/>
      <c r="M6" s="936"/>
      <c r="N6" s="70">
        <v>2009</v>
      </c>
      <c r="O6" s="70">
        <v>2010</v>
      </c>
      <c r="P6" s="70">
        <v>2011</v>
      </c>
      <c r="Q6" s="70">
        <v>2012</v>
      </c>
      <c r="R6" s="70">
        <v>2013</v>
      </c>
      <c r="S6" s="70">
        <v>2014</v>
      </c>
      <c r="T6" s="70">
        <v>2015</v>
      </c>
      <c r="U6" s="45">
        <v>2016</v>
      </c>
      <c r="V6" s="133" t="s">
        <v>577</v>
      </c>
      <c r="W6" s="590"/>
    </row>
    <row r="7" spans="1:23" ht="12" customHeight="1">
      <c r="A7" s="942"/>
      <c r="B7" s="945"/>
      <c r="C7" s="42"/>
      <c r="D7" s="948"/>
      <c r="E7" s="937"/>
      <c r="F7" s="132"/>
      <c r="G7" s="132"/>
      <c r="H7" s="132"/>
      <c r="I7" s="132"/>
      <c r="J7" s="937"/>
      <c r="K7" s="937"/>
      <c r="L7" s="937"/>
      <c r="M7" s="937"/>
      <c r="N7" s="132"/>
      <c r="O7" s="132"/>
      <c r="P7" s="132"/>
      <c r="Q7" s="132"/>
      <c r="R7" s="132"/>
      <c r="S7" s="132"/>
      <c r="T7" s="132"/>
      <c r="U7" s="46"/>
      <c r="V7" s="43" t="s">
        <v>191</v>
      </c>
      <c r="W7" s="671"/>
    </row>
    <row r="8" spans="1:26" s="7" customFormat="1" ht="12.75" customHeight="1">
      <c r="A8" s="17">
        <v>1</v>
      </c>
      <c r="B8" s="703" t="s">
        <v>442</v>
      </c>
      <c r="C8" s="704" t="s">
        <v>182</v>
      </c>
      <c r="D8" s="125">
        <v>0.399</v>
      </c>
      <c r="E8" s="125">
        <v>4.772</v>
      </c>
      <c r="F8" s="125">
        <v>4.989</v>
      </c>
      <c r="G8" s="125">
        <v>7.252</v>
      </c>
      <c r="H8" s="125">
        <v>10.849805</v>
      </c>
      <c r="I8" s="125">
        <v>16.775273000000002</v>
      </c>
      <c r="J8" s="125">
        <v>31.20502</v>
      </c>
      <c r="K8" s="125">
        <v>30.301518</v>
      </c>
      <c r="L8" s="125">
        <v>40.117582</v>
      </c>
      <c r="M8" s="125">
        <v>63.076488</v>
      </c>
      <c r="N8" s="125">
        <v>72.14928900000001</v>
      </c>
      <c r="O8" s="125">
        <v>85.690344</v>
      </c>
      <c r="P8" s="125">
        <v>94.262383</v>
      </c>
      <c r="Q8" s="125">
        <v>96.32375</v>
      </c>
      <c r="R8" s="125">
        <v>103.73291400000001</v>
      </c>
      <c r="S8" s="125">
        <v>113.184</v>
      </c>
      <c r="T8" s="125">
        <f>130564/1000</f>
        <v>130.564</v>
      </c>
      <c r="U8" s="696">
        <f>148.6442496</f>
        <v>148.6442496</v>
      </c>
      <c r="V8" s="705">
        <f>U8/T8*100-100</f>
        <v>13.84780613339052</v>
      </c>
      <c r="W8" s="587"/>
      <c r="X8" s="591"/>
      <c r="Y8" s="592"/>
      <c r="Z8" s="591"/>
    </row>
    <row r="9" spans="1:26" s="7" customFormat="1" ht="12.75" customHeight="1">
      <c r="A9" s="17">
        <v>2</v>
      </c>
      <c r="B9" s="673" t="s">
        <v>543</v>
      </c>
      <c r="C9" s="276" t="s">
        <v>179</v>
      </c>
      <c r="D9" s="277">
        <v>41.9667</v>
      </c>
      <c r="E9" s="277">
        <v>92.16</v>
      </c>
      <c r="F9" s="277">
        <v>90.389</v>
      </c>
      <c r="G9" s="277">
        <v>88.57</v>
      </c>
      <c r="H9" s="277">
        <v>90.708</v>
      </c>
      <c r="I9" s="277">
        <v>104.064</v>
      </c>
      <c r="J9" s="277">
        <v>108.185</v>
      </c>
      <c r="K9" s="277">
        <v>110.33</v>
      </c>
      <c r="L9" s="277">
        <v>117.656</v>
      </c>
      <c r="M9" s="277">
        <v>126.014</v>
      </c>
      <c r="N9" s="277">
        <v>123.02467200000001</v>
      </c>
      <c r="O9" s="277">
        <v>129.668</v>
      </c>
      <c r="P9" s="277">
        <v>147.848</v>
      </c>
      <c r="Q9" s="277">
        <v>149.887</v>
      </c>
      <c r="R9" s="277">
        <v>153.334</v>
      </c>
      <c r="S9" s="277">
        <v>156.826</v>
      </c>
      <c r="T9" s="277">
        <v>146.317</v>
      </c>
      <c r="U9" s="695">
        <f>145878007808/1000000000</f>
        <v>145.878007808</v>
      </c>
      <c r="V9" s="280">
        <f aca="true" t="shared" si="0" ref="V9:V37">U9/T9*100-100</f>
        <v>-0.30002815257283544</v>
      </c>
      <c r="W9" s="587"/>
      <c r="X9" s="591"/>
      <c r="Y9" s="592"/>
      <c r="Z9" s="591"/>
    </row>
    <row r="10" spans="1:26" s="7" customFormat="1" ht="12.75" customHeight="1">
      <c r="A10" s="17">
        <v>3</v>
      </c>
      <c r="B10" s="228" t="s">
        <v>7</v>
      </c>
      <c r="C10" s="37" t="s">
        <v>177</v>
      </c>
      <c r="D10" s="125">
        <v>66.965</v>
      </c>
      <c r="E10" s="125">
        <v>119.385</v>
      </c>
      <c r="F10" s="125">
        <v>123.197</v>
      </c>
      <c r="G10" s="125">
        <v>106.27</v>
      </c>
      <c r="H10" s="125">
        <v>100.112</v>
      </c>
      <c r="I10" s="125">
        <v>103.092</v>
      </c>
      <c r="J10" s="125">
        <v>107.892</v>
      </c>
      <c r="K10" s="125">
        <v>111.859</v>
      </c>
      <c r="L10" s="125">
        <v>112.851</v>
      </c>
      <c r="M10" s="125">
        <v>118.337</v>
      </c>
      <c r="N10" s="125">
        <v>112.371</v>
      </c>
      <c r="O10" s="125">
        <v>106.082</v>
      </c>
      <c r="P10" s="125">
        <v>117.348</v>
      </c>
      <c r="Q10" s="125">
        <v>126.436</v>
      </c>
      <c r="R10" s="125">
        <v>131.333</v>
      </c>
      <c r="S10" s="125">
        <v>138.431</v>
      </c>
      <c r="T10" s="125">
        <v>142.016</v>
      </c>
      <c r="U10" s="696">
        <v>144.399007744</v>
      </c>
      <c r="V10" s="279">
        <f t="shared" si="0"/>
        <v>1.6779853988283122</v>
      </c>
      <c r="W10" s="587"/>
      <c r="X10" s="591"/>
      <c r="Y10" s="592"/>
      <c r="Z10" s="591"/>
    </row>
    <row r="11" spans="1:26" s="7" customFormat="1" ht="12.75" customHeight="1">
      <c r="A11" s="17">
        <v>4</v>
      </c>
      <c r="B11" s="275" t="s">
        <v>440</v>
      </c>
      <c r="C11" s="276" t="s">
        <v>181</v>
      </c>
      <c r="D11" s="277">
        <v>36.78</v>
      </c>
      <c r="E11" s="277">
        <v>91.848</v>
      </c>
      <c r="F11" s="277">
        <v>93.355</v>
      </c>
      <c r="G11" s="277">
        <v>94.828</v>
      </c>
      <c r="H11" s="277">
        <v>99.932</v>
      </c>
      <c r="I11" s="277">
        <v>105.281547</v>
      </c>
      <c r="J11" s="277">
        <v>115.163047</v>
      </c>
      <c r="K11" s="277">
        <v>123.458031</v>
      </c>
      <c r="L11" s="277">
        <v>128.877742</v>
      </c>
      <c r="M11" s="277">
        <v>131.848906</v>
      </c>
      <c r="N11" s="277">
        <v>125.657242</v>
      </c>
      <c r="O11" s="277">
        <v>125.165469</v>
      </c>
      <c r="P11" s="277">
        <v>133.036297</v>
      </c>
      <c r="Q11" s="277">
        <v>135.82395300000002</v>
      </c>
      <c r="R11" s="277">
        <v>136.43534400000001</v>
      </c>
      <c r="S11" s="277">
        <v>136.47481200000001</v>
      </c>
      <c r="T11" s="277">
        <v>142.487</v>
      </c>
      <c r="U11" s="695">
        <v>140.44700672</v>
      </c>
      <c r="V11" s="280">
        <f t="shared" si="0"/>
        <v>-1.4317048432488662</v>
      </c>
      <c r="W11" s="587"/>
      <c r="X11" s="591"/>
      <c r="Y11" s="592"/>
      <c r="Z11" s="591"/>
    </row>
    <row r="12" spans="1:26" s="7" customFormat="1" ht="12.75" customHeight="1">
      <c r="A12" s="17">
        <v>5</v>
      </c>
      <c r="B12" s="228" t="s">
        <v>200</v>
      </c>
      <c r="C12" s="37" t="s">
        <v>173</v>
      </c>
      <c r="D12" s="125">
        <v>5.789</v>
      </c>
      <c r="E12" s="125">
        <v>17.396</v>
      </c>
      <c r="F12" s="125">
        <v>15.679</v>
      </c>
      <c r="G12" s="125">
        <v>16.594</v>
      </c>
      <c r="H12" s="125">
        <v>16.112</v>
      </c>
      <c r="I12" s="125">
        <v>18.595</v>
      </c>
      <c r="J12" s="125">
        <v>21.318</v>
      </c>
      <c r="K12" s="125">
        <v>24.334801</v>
      </c>
      <c r="L12" s="125">
        <v>30.252</v>
      </c>
      <c r="M12" s="125">
        <v>34.266</v>
      </c>
      <c r="N12" s="125">
        <v>40.129391000000005</v>
      </c>
      <c r="O12" s="125">
        <v>47.949898000000005</v>
      </c>
      <c r="P12" s="125">
        <v>58.940902</v>
      </c>
      <c r="Q12" s="125">
        <v>74.658008</v>
      </c>
      <c r="R12" s="125">
        <v>92.000281</v>
      </c>
      <c r="S12" s="125">
        <v>106.913336</v>
      </c>
      <c r="T12" s="125">
        <v>119.37192200000001</v>
      </c>
      <c r="U12" s="696">
        <v>126.903033856</v>
      </c>
      <c r="V12" s="279">
        <f t="shared" si="0"/>
        <v>6.308947472589054</v>
      </c>
      <c r="W12" s="587"/>
      <c r="X12" s="591"/>
      <c r="Y12" s="592"/>
      <c r="Z12" s="591"/>
    </row>
    <row r="13" spans="1:26" s="7" customFormat="1" ht="12.75" customHeight="1">
      <c r="A13" s="17">
        <v>6</v>
      </c>
      <c r="B13" s="275" t="s">
        <v>441</v>
      </c>
      <c r="C13" s="276" t="s">
        <v>176</v>
      </c>
      <c r="D13" s="277">
        <v>26.41</v>
      </c>
      <c r="E13" s="277">
        <v>60.336</v>
      </c>
      <c r="F13" s="277">
        <v>60.047</v>
      </c>
      <c r="G13" s="277">
        <v>58.447</v>
      </c>
      <c r="H13" s="277">
        <v>59.417</v>
      </c>
      <c r="I13" s="277">
        <v>63.027301</v>
      </c>
      <c r="J13" s="277">
        <v>68.322227</v>
      </c>
      <c r="K13" s="277">
        <v>71.76920299999999</v>
      </c>
      <c r="L13" s="277">
        <v>74.496234</v>
      </c>
      <c r="M13" s="277">
        <v>77.529523</v>
      </c>
      <c r="N13" s="277">
        <v>73.471953</v>
      </c>
      <c r="O13" s="277">
        <v>76.06456200000001</v>
      </c>
      <c r="P13" s="277">
        <v>84.217</v>
      </c>
      <c r="Q13" s="277">
        <v>86.281383</v>
      </c>
      <c r="R13" s="277">
        <v>89.039</v>
      </c>
      <c r="S13" s="277">
        <v>91.47735899999999</v>
      </c>
      <c r="T13" s="277">
        <v>93.227891</v>
      </c>
      <c r="U13" s="695">
        <v>97.735999488</v>
      </c>
      <c r="V13" s="280">
        <f t="shared" si="0"/>
        <v>4.835579180912731</v>
      </c>
      <c r="W13" s="587"/>
      <c r="X13" s="591"/>
      <c r="Y13" s="592"/>
      <c r="Z13" s="591"/>
    </row>
    <row r="14" spans="1:26" s="7" customFormat="1" ht="12.75" customHeight="1">
      <c r="A14" s="17">
        <v>7</v>
      </c>
      <c r="B14" s="228" t="s">
        <v>443</v>
      </c>
      <c r="C14" s="37" t="s">
        <v>177</v>
      </c>
      <c r="D14" s="125" t="s">
        <v>193</v>
      </c>
      <c r="E14" s="125">
        <v>3.926</v>
      </c>
      <c r="F14" s="125">
        <v>5.903</v>
      </c>
      <c r="G14" s="125">
        <v>9.208</v>
      </c>
      <c r="H14" s="125">
        <v>17.735</v>
      </c>
      <c r="I14" s="125">
        <v>21.566</v>
      </c>
      <c r="J14" s="125">
        <v>27.448</v>
      </c>
      <c r="K14" s="125">
        <v>31.621</v>
      </c>
      <c r="L14" s="125">
        <v>36.976</v>
      </c>
      <c r="M14" s="125">
        <v>47.69</v>
      </c>
      <c r="N14" s="125">
        <v>50.566</v>
      </c>
      <c r="O14" s="125">
        <v>56.128</v>
      </c>
      <c r="P14" s="125">
        <v>61.347</v>
      </c>
      <c r="Q14" s="125">
        <v>65.227</v>
      </c>
      <c r="R14" s="125">
        <v>67.573</v>
      </c>
      <c r="S14" s="125">
        <v>72.933</v>
      </c>
      <c r="T14" s="125">
        <v>77.619</v>
      </c>
      <c r="U14" s="696">
        <v>81.495998464</v>
      </c>
      <c r="V14" s="279">
        <f t="shared" si="0"/>
        <v>4.994909060925792</v>
      </c>
      <c r="W14" s="587"/>
      <c r="X14" s="591"/>
      <c r="Y14" s="592"/>
      <c r="Z14" s="591"/>
    </row>
    <row r="15" spans="1:26" s="7" customFormat="1" ht="12.75" customHeight="1">
      <c r="A15" s="17">
        <v>8</v>
      </c>
      <c r="B15" s="275" t="s">
        <v>8</v>
      </c>
      <c r="C15" s="276" t="s">
        <v>180</v>
      </c>
      <c r="D15" s="277">
        <v>22.11</v>
      </c>
      <c r="E15" s="277">
        <v>40.049</v>
      </c>
      <c r="F15" s="277">
        <v>41.39</v>
      </c>
      <c r="G15" s="277">
        <v>40.47</v>
      </c>
      <c r="H15" s="277">
        <v>42.1</v>
      </c>
      <c r="I15" s="277">
        <v>45.924</v>
      </c>
      <c r="J15" s="277">
        <v>49.06</v>
      </c>
      <c r="K15" s="277">
        <v>52.493</v>
      </c>
      <c r="L15" s="277">
        <v>54.229</v>
      </c>
      <c r="M15" s="277">
        <v>52.885</v>
      </c>
      <c r="N15" s="277">
        <v>49.612</v>
      </c>
      <c r="O15" s="277">
        <v>51.242</v>
      </c>
      <c r="P15" s="277">
        <v>51.268</v>
      </c>
      <c r="Q15" s="277">
        <v>49.663</v>
      </c>
      <c r="R15" s="277">
        <v>41.493</v>
      </c>
      <c r="S15" s="277">
        <v>42.686</v>
      </c>
      <c r="T15" s="277">
        <v>48.564</v>
      </c>
      <c r="U15" s="695">
        <v>51.071000576</v>
      </c>
      <c r="V15" s="280">
        <f t="shared" si="0"/>
        <v>5.162261296433584</v>
      </c>
      <c r="W15" s="587"/>
      <c r="X15" s="591"/>
      <c r="Y15" s="592"/>
      <c r="Z15" s="591"/>
    </row>
    <row r="16" spans="1:26" s="7" customFormat="1" ht="12.75" customHeight="1">
      <c r="A16" s="17">
        <v>9</v>
      </c>
      <c r="B16" s="228" t="s">
        <v>471</v>
      </c>
      <c r="C16" s="37" t="s">
        <v>189</v>
      </c>
      <c r="D16" s="125"/>
      <c r="E16" s="125"/>
      <c r="F16" s="125"/>
      <c r="G16" s="125">
        <v>0.13</v>
      </c>
      <c r="H16" s="125">
        <v>0.718</v>
      </c>
      <c r="I16" s="125">
        <v>1.538</v>
      </c>
      <c r="J16" s="125">
        <v>2.703</v>
      </c>
      <c r="K16" s="125">
        <v>4.223</v>
      </c>
      <c r="L16" s="125">
        <v>5.586</v>
      </c>
      <c r="M16" s="125">
        <v>9.074</v>
      </c>
      <c r="N16" s="125">
        <v>10.602</v>
      </c>
      <c r="O16" s="125">
        <v>13.774</v>
      </c>
      <c r="P16" s="125">
        <v>17.421</v>
      </c>
      <c r="Q16" s="125">
        <v>20.353</v>
      </c>
      <c r="R16" s="125">
        <v>26.881</v>
      </c>
      <c r="S16" s="125">
        <v>37.615</v>
      </c>
      <c r="T16" s="125">
        <v>42.284</v>
      </c>
      <c r="U16" s="696">
        <v>50.79799808</v>
      </c>
      <c r="V16" s="279">
        <f t="shared" si="0"/>
        <v>20.13527121369785</v>
      </c>
      <c r="W16" s="587"/>
      <c r="X16" s="591"/>
      <c r="Y16" s="592"/>
      <c r="Z16" s="591"/>
    </row>
    <row r="17" spans="1:26" s="7" customFormat="1" ht="12.75" customHeight="1">
      <c r="A17" s="17">
        <v>10</v>
      </c>
      <c r="B17" s="275" t="s">
        <v>9</v>
      </c>
      <c r="C17" s="276" t="s">
        <v>179</v>
      </c>
      <c r="D17" s="277" t="s">
        <v>190</v>
      </c>
      <c r="E17" s="277">
        <v>7.813</v>
      </c>
      <c r="F17" s="277">
        <v>10.63</v>
      </c>
      <c r="G17" s="277">
        <v>12.725</v>
      </c>
      <c r="H17" s="277">
        <v>15.822231</v>
      </c>
      <c r="I17" s="277">
        <v>17.201617</v>
      </c>
      <c r="J17" s="277">
        <v>20.527</v>
      </c>
      <c r="K17" s="277">
        <v>42.77</v>
      </c>
      <c r="L17" s="277">
        <v>46.07</v>
      </c>
      <c r="M17" s="277">
        <v>44.314602</v>
      </c>
      <c r="N17" s="277">
        <v>39.1635</v>
      </c>
      <c r="O17" s="277">
        <v>46.96</v>
      </c>
      <c r="P17" s="277">
        <v>52.14</v>
      </c>
      <c r="Q17" s="277">
        <v>50.388691</v>
      </c>
      <c r="R17" s="277">
        <v>48.574699</v>
      </c>
      <c r="S17" s="277">
        <v>49.269699</v>
      </c>
      <c r="T17" s="277">
        <v>47.01</v>
      </c>
      <c r="U17" s="695">
        <v>45.815001088</v>
      </c>
      <c r="V17" s="280">
        <f t="shared" si="0"/>
        <v>-2.5420100233992713</v>
      </c>
      <c r="W17" s="587"/>
      <c r="X17" s="591"/>
      <c r="Y17" s="592"/>
      <c r="Z17" s="591"/>
    </row>
    <row r="18" spans="1:26" s="7" customFormat="1" ht="12.75" customHeight="1">
      <c r="A18" s="17">
        <v>11</v>
      </c>
      <c r="B18" s="706" t="s">
        <v>560</v>
      </c>
      <c r="C18" s="37" t="s">
        <v>561</v>
      </c>
      <c r="D18" s="653" t="s">
        <v>190</v>
      </c>
      <c r="E18" s="653">
        <v>3.481</v>
      </c>
      <c r="F18" s="653">
        <v>3.168</v>
      </c>
      <c r="G18" s="653">
        <v>23.612</v>
      </c>
      <c r="H18" s="653">
        <v>25.059</v>
      </c>
      <c r="I18" s="653">
        <v>21.303</v>
      </c>
      <c r="J18" s="653">
        <v>21.164394</v>
      </c>
      <c r="K18" s="653">
        <v>22.74998</v>
      </c>
      <c r="L18" s="653">
        <v>25.85223</v>
      </c>
      <c r="M18" s="653">
        <v>28.866</v>
      </c>
      <c r="N18" s="653">
        <v>27.511</v>
      </c>
      <c r="O18" s="653">
        <v>29.522</v>
      </c>
      <c r="P18" s="653">
        <v>31.606</v>
      </c>
      <c r="Q18" s="653">
        <v>33.527</v>
      </c>
      <c r="R18" s="653">
        <v>35.093</v>
      </c>
      <c r="S18" s="653">
        <v>35.717</v>
      </c>
      <c r="T18" s="653">
        <v>40.047348</v>
      </c>
      <c r="U18" s="611">
        <v>42.289999872</v>
      </c>
      <c r="V18" s="279">
        <f t="shared" si="0"/>
        <v>5.600000958864996</v>
      </c>
      <c r="W18" s="587"/>
      <c r="X18" s="591"/>
      <c r="Y18" s="592"/>
      <c r="Z18" s="591"/>
    </row>
    <row r="19" spans="1:26" s="7" customFormat="1" ht="12.75" customHeight="1">
      <c r="A19" s="17">
        <v>12</v>
      </c>
      <c r="B19" s="275" t="s">
        <v>467</v>
      </c>
      <c r="C19" s="276" t="s">
        <v>165</v>
      </c>
      <c r="D19" s="277"/>
      <c r="E19" s="277"/>
      <c r="F19" s="277"/>
      <c r="G19" s="277"/>
      <c r="H19" s="277"/>
      <c r="I19" s="277"/>
      <c r="J19" s="277"/>
      <c r="K19" s="277"/>
      <c r="L19" s="277">
        <v>7.270752000000001</v>
      </c>
      <c r="M19" s="277">
        <v>9.8904</v>
      </c>
      <c r="N19" s="277">
        <v>12.2784</v>
      </c>
      <c r="O19" s="277">
        <v>14.25</v>
      </c>
      <c r="P19" s="277">
        <v>16.441187999999997</v>
      </c>
      <c r="Q19" s="277">
        <v>18.01715</v>
      </c>
      <c r="R19" s="277">
        <v>20.867031</v>
      </c>
      <c r="S19" s="277">
        <v>25.350822</v>
      </c>
      <c r="T19" s="277">
        <v>30.786117632</v>
      </c>
      <c r="U19" s="695">
        <v>37.627830272</v>
      </c>
      <c r="V19" s="280">
        <f t="shared" si="0"/>
        <v>22.223369382856248</v>
      </c>
      <c r="W19" s="587"/>
      <c r="X19" s="591"/>
      <c r="Y19" s="592"/>
      <c r="Z19" s="591"/>
    </row>
    <row r="20" spans="1:26" s="7" customFormat="1" ht="12.75" customHeight="1">
      <c r="A20" s="17">
        <v>13</v>
      </c>
      <c r="B20" s="228" t="s">
        <v>199</v>
      </c>
      <c r="C20" s="37" t="s">
        <v>177</v>
      </c>
      <c r="D20" s="125" t="s">
        <v>193</v>
      </c>
      <c r="E20" s="125">
        <v>31.315</v>
      </c>
      <c r="F20" s="125">
        <v>28.41</v>
      </c>
      <c r="G20" s="125">
        <v>27.004</v>
      </c>
      <c r="H20" s="125">
        <v>26.931</v>
      </c>
      <c r="I20" s="125">
        <v>30.222</v>
      </c>
      <c r="J20" s="125">
        <v>32.1179</v>
      </c>
      <c r="K20" s="125">
        <v>35.278602</v>
      </c>
      <c r="L20" s="125">
        <v>40.545898</v>
      </c>
      <c r="M20" s="125">
        <v>41.179</v>
      </c>
      <c r="N20" s="125">
        <v>39.256789</v>
      </c>
      <c r="O20" s="125">
        <v>38.157602</v>
      </c>
      <c r="P20" s="125">
        <v>37.99968</v>
      </c>
      <c r="Q20" s="125">
        <v>39.406445</v>
      </c>
      <c r="R20" s="125">
        <v>39.538277</v>
      </c>
      <c r="S20" s="125">
        <v>37.664254</v>
      </c>
      <c r="T20" s="125">
        <v>37.157</v>
      </c>
      <c r="U20" s="696">
        <v>37.12600064</v>
      </c>
      <c r="V20" s="279">
        <f t="shared" si="0"/>
        <v>-0.08342804855074348</v>
      </c>
      <c r="W20" s="587"/>
      <c r="X20" s="591"/>
      <c r="Y20" s="592"/>
      <c r="Z20" s="591"/>
    </row>
    <row r="21" spans="1:26" s="7" customFormat="1" ht="12.75" customHeight="1">
      <c r="A21" s="17">
        <v>14</v>
      </c>
      <c r="B21" s="275" t="s">
        <v>197</v>
      </c>
      <c r="C21" s="276" t="s">
        <v>472</v>
      </c>
      <c r="D21" s="277">
        <v>16.658</v>
      </c>
      <c r="E21" s="277">
        <v>22.922</v>
      </c>
      <c r="F21" s="277">
        <v>22.956</v>
      </c>
      <c r="G21" s="277">
        <v>23.212</v>
      </c>
      <c r="H21" s="277">
        <v>21.901</v>
      </c>
      <c r="I21" s="277">
        <v>26.443</v>
      </c>
      <c r="J21" s="277">
        <v>27.724</v>
      </c>
      <c r="K21" s="277">
        <v>30.732</v>
      </c>
      <c r="L21" s="277">
        <v>30.882</v>
      </c>
      <c r="M21" s="277">
        <v>27.89</v>
      </c>
      <c r="N21" s="277">
        <v>23.241</v>
      </c>
      <c r="O21" s="277">
        <v>23.496758000000003</v>
      </c>
      <c r="P21" s="277">
        <v>26.374</v>
      </c>
      <c r="Q21" s="277">
        <v>27.798</v>
      </c>
      <c r="R21" s="277">
        <v>32.658</v>
      </c>
      <c r="S21" s="277">
        <v>34.594</v>
      </c>
      <c r="T21" s="277">
        <v>33.78</v>
      </c>
      <c r="U21" s="695">
        <v>36.94000128</v>
      </c>
      <c r="V21" s="280">
        <f t="shared" si="0"/>
        <v>9.354651509769084</v>
      </c>
      <c r="W21" s="587"/>
      <c r="X21" s="591"/>
      <c r="Y21" s="592"/>
      <c r="Z21" s="591"/>
    </row>
    <row r="22" spans="1:26" s="7" customFormat="1" ht="12.75" customHeight="1">
      <c r="A22" s="17">
        <v>15</v>
      </c>
      <c r="B22" s="228" t="s">
        <v>484</v>
      </c>
      <c r="C22" s="37" t="s">
        <v>183</v>
      </c>
      <c r="D22" s="125">
        <v>23.422</v>
      </c>
      <c r="E22" s="125">
        <v>40.846</v>
      </c>
      <c r="F22" s="125">
        <v>36.523</v>
      </c>
      <c r="G22" s="125">
        <v>30.025</v>
      </c>
      <c r="H22" s="125">
        <v>31.626</v>
      </c>
      <c r="I22" s="125">
        <v>33.860102</v>
      </c>
      <c r="J22" s="125">
        <v>37.969</v>
      </c>
      <c r="K22" s="125">
        <v>38.429</v>
      </c>
      <c r="L22" s="125">
        <v>38.832</v>
      </c>
      <c r="M22" s="125">
        <v>29.205498</v>
      </c>
      <c r="N22" s="125">
        <v>30.034830000000003</v>
      </c>
      <c r="O22" s="125">
        <v>33.343523</v>
      </c>
      <c r="P22" s="125">
        <v>35.679241999999995</v>
      </c>
      <c r="Q22" s="125">
        <v>36.288106</v>
      </c>
      <c r="R22" s="125">
        <v>34.927672</v>
      </c>
      <c r="S22" s="125">
        <v>34.510734</v>
      </c>
      <c r="T22" s="125">
        <v>34.396789</v>
      </c>
      <c r="U22" s="696">
        <v>35.000000512</v>
      </c>
      <c r="V22" s="279">
        <f t="shared" si="0"/>
        <v>1.75368553151867</v>
      </c>
      <c r="W22" s="587"/>
      <c r="X22" s="591"/>
      <c r="Y22" s="592"/>
      <c r="Z22" s="591"/>
    </row>
    <row r="23" spans="1:26" s="7" customFormat="1" ht="12.75" customHeight="1">
      <c r="A23" s="17">
        <v>16</v>
      </c>
      <c r="B23" s="673" t="s">
        <v>579</v>
      </c>
      <c r="C23" s="276" t="s">
        <v>177</v>
      </c>
      <c r="D23" s="277"/>
      <c r="E23" s="277">
        <v>20.3</v>
      </c>
      <c r="F23" s="277">
        <v>18.972</v>
      </c>
      <c r="G23" s="277">
        <v>18.43</v>
      </c>
      <c r="H23" s="277">
        <v>18.769199</v>
      </c>
      <c r="I23" s="277">
        <v>21.244585999999998</v>
      </c>
      <c r="J23" s="277">
        <v>23.337</v>
      </c>
      <c r="K23" s="277">
        <v>24.01917</v>
      </c>
      <c r="L23" s="277">
        <v>23.147986</v>
      </c>
      <c r="M23" s="277">
        <v>33.639676</v>
      </c>
      <c r="N23" s="277">
        <v>32.649508000000004</v>
      </c>
      <c r="O23" s="277">
        <v>32.713643</v>
      </c>
      <c r="P23" s="277">
        <v>32.969238</v>
      </c>
      <c r="Q23" s="277">
        <v>32.073182</v>
      </c>
      <c r="R23" s="277">
        <v>31.574748</v>
      </c>
      <c r="S23" s="277">
        <v>31.651764</v>
      </c>
      <c r="T23" s="277">
        <v>33.395387</v>
      </c>
      <c r="U23" s="695">
        <v>34.414944256</v>
      </c>
      <c r="V23" s="280">
        <f t="shared" si="0"/>
        <v>3.0529882944611444</v>
      </c>
      <c r="W23" s="587"/>
      <c r="X23" s="591"/>
      <c r="Y23" s="592"/>
      <c r="Z23" s="591"/>
    </row>
    <row r="24" spans="1:26" s="7" customFormat="1" ht="12.75" customHeight="1">
      <c r="A24" s="17">
        <v>17</v>
      </c>
      <c r="B24" s="228" t="s">
        <v>201</v>
      </c>
      <c r="C24" s="37" t="s">
        <v>186</v>
      </c>
      <c r="D24" s="125">
        <v>6.85</v>
      </c>
      <c r="E24" s="125">
        <v>10.414</v>
      </c>
      <c r="F24" s="125">
        <v>10.456</v>
      </c>
      <c r="G24" s="125">
        <v>11.383</v>
      </c>
      <c r="H24" s="125">
        <v>12.013342</v>
      </c>
      <c r="I24" s="125">
        <v>13.641408</v>
      </c>
      <c r="J24" s="125">
        <v>14.536</v>
      </c>
      <c r="K24" s="125">
        <v>16.649</v>
      </c>
      <c r="L24" s="125">
        <v>19.135</v>
      </c>
      <c r="M24" s="125">
        <v>21.918680000000002</v>
      </c>
      <c r="N24" s="125">
        <v>21.074990000000003</v>
      </c>
      <c r="O24" s="125">
        <v>23.650740000000003</v>
      </c>
      <c r="P24" s="125">
        <v>25.97</v>
      </c>
      <c r="Q24" s="125">
        <v>27.226</v>
      </c>
      <c r="R24" s="125">
        <v>28.151684</v>
      </c>
      <c r="S24" s="125">
        <v>30.118641</v>
      </c>
      <c r="T24" s="125">
        <v>29.552336</v>
      </c>
      <c r="U24" s="696">
        <v>28.536025088</v>
      </c>
      <c r="V24" s="279">
        <f t="shared" si="0"/>
        <v>-3.4390205633828828</v>
      </c>
      <c r="W24" s="587"/>
      <c r="X24" s="591"/>
      <c r="Y24" s="592"/>
      <c r="Z24" s="591"/>
    </row>
    <row r="25" spans="1:26" s="7" customFormat="1" ht="12.75" customHeight="1">
      <c r="A25" s="17">
        <v>18</v>
      </c>
      <c r="B25" s="275" t="s">
        <v>469</v>
      </c>
      <c r="C25" s="276" t="s">
        <v>180</v>
      </c>
      <c r="D25" s="277"/>
      <c r="E25" s="277"/>
      <c r="F25" s="277"/>
      <c r="G25" s="277"/>
      <c r="H25" s="277"/>
      <c r="I25" s="277">
        <v>0.315</v>
      </c>
      <c r="J25" s="277">
        <v>1.661497</v>
      </c>
      <c r="K25" s="277">
        <v>3.2527779999999997</v>
      </c>
      <c r="L25" s="277">
        <v>5.477</v>
      </c>
      <c r="M25" s="277">
        <v>5.883</v>
      </c>
      <c r="N25" s="277">
        <v>7.5</v>
      </c>
      <c r="O25" s="277">
        <v>9.932</v>
      </c>
      <c r="P25" s="277">
        <v>10.82</v>
      </c>
      <c r="Q25" s="277">
        <v>13.693</v>
      </c>
      <c r="R25" s="277">
        <v>17.109</v>
      </c>
      <c r="S25" s="277">
        <v>21.445</v>
      </c>
      <c r="T25" s="277">
        <v>24.775</v>
      </c>
      <c r="U25" s="695">
        <v>28.046000128</v>
      </c>
      <c r="V25" s="280">
        <f t="shared" si="0"/>
        <v>13.202825945509588</v>
      </c>
      <c r="W25" s="587"/>
      <c r="X25" s="591"/>
      <c r="Y25" s="592"/>
      <c r="Z25" s="591"/>
    </row>
    <row r="26" spans="1:26" s="7" customFormat="1" ht="12.75" customHeight="1">
      <c r="A26" s="17">
        <v>19</v>
      </c>
      <c r="B26" s="228" t="s">
        <v>466</v>
      </c>
      <c r="C26" s="37" t="s">
        <v>179</v>
      </c>
      <c r="D26" s="125"/>
      <c r="E26" s="125"/>
      <c r="F26" s="125">
        <v>21.353</v>
      </c>
      <c r="G26" s="125">
        <v>17.406</v>
      </c>
      <c r="H26" s="125">
        <v>20.107666000000002</v>
      </c>
      <c r="I26" s="125">
        <v>21.5199</v>
      </c>
      <c r="J26" s="125">
        <v>22.244609</v>
      </c>
      <c r="K26" s="125">
        <v>22.945349999999998</v>
      </c>
      <c r="L26" s="125">
        <v>22.675289</v>
      </c>
      <c r="M26" s="125">
        <v>21.752352</v>
      </c>
      <c r="N26" s="125">
        <v>19.159234</v>
      </c>
      <c r="O26" s="125">
        <v>19.887815999999997</v>
      </c>
      <c r="P26" s="125">
        <v>21.55735</v>
      </c>
      <c r="Q26" s="125">
        <v>23.778857</v>
      </c>
      <c r="R26" s="125">
        <v>24.620635</v>
      </c>
      <c r="S26" s="125">
        <v>25.916127</v>
      </c>
      <c r="T26" s="125">
        <v>27.902644</v>
      </c>
      <c r="U26" s="696">
        <v>27.286116352</v>
      </c>
      <c r="V26" s="279">
        <f t="shared" si="0"/>
        <v>-2.2095671220261295</v>
      </c>
      <c r="W26" s="587"/>
      <c r="X26" s="591"/>
      <c r="Y26" s="592"/>
      <c r="Z26" s="591"/>
    </row>
    <row r="27" spans="1:26" s="7" customFormat="1" ht="12.75" customHeight="1">
      <c r="A27" s="17">
        <v>20</v>
      </c>
      <c r="B27" s="275" t="s">
        <v>485</v>
      </c>
      <c r="C27" s="276" t="s">
        <v>187</v>
      </c>
      <c r="D27" s="277">
        <v>9.276</v>
      </c>
      <c r="E27" s="277">
        <v>12.587</v>
      </c>
      <c r="F27" s="277">
        <v>12.796</v>
      </c>
      <c r="G27" s="277">
        <v>12.793</v>
      </c>
      <c r="H27" s="277">
        <v>13.292</v>
      </c>
      <c r="I27" s="277">
        <v>15.604299999999999</v>
      </c>
      <c r="J27" s="277">
        <v>16.735301</v>
      </c>
      <c r="K27" s="277">
        <v>17.923301</v>
      </c>
      <c r="L27" s="277">
        <v>20.304</v>
      </c>
      <c r="M27" s="277">
        <v>21.896099999999997</v>
      </c>
      <c r="N27" s="277">
        <v>19.9345</v>
      </c>
      <c r="O27" s="277">
        <v>19.222199</v>
      </c>
      <c r="P27" s="277">
        <v>21.4975</v>
      </c>
      <c r="Q27" s="277">
        <v>23.563199</v>
      </c>
      <c r="R27" s="277">
        <v>24.7761</v>
      </c>
      <c r="S27" s="277">
        <v>24.771699</v>
      </c>
      <c r="T27" s="277">
        <v>25.5916</v>
      </c>
      <c r="U27" s="695">
        <v>27.065300992</v>
      </c>
      <c r="V27" s="280">
        <f t="shared" si="0"/>
        <v>5.75853401897497</v>
      </c>
      <c r="W27" s="587"/>
      <c r="X27" s="591"/>
      <c r="Y27" s="592"/>
      <c r="Z27" s="591"/>
    </row>
    <row r="28" spans="1:26" s="7" customFormat="1" ht="12.75" customHeight="1">
      <c r="A28" s="17">
        <v>21</v>
      </c>
      <c r="B28" s="706" t="s">
        <v>559</v>
      </c>
      <c r="C28" s="37" t="s">
        <v>173</v>
      </c>
      <c r="D28" s="125"/>
      <c r="E28" s="125"/>
      <c r="F28" s="125"/>
      <c r="G28" s="125"/>
      <c r="H28" s="125"/>
      <c r="I28" s="125"/>
      <c r="J28" s="125"/>
      <c r="K28" s="125"/>
      <c r="L28" s="125">
        <v>4.647118000000001</v>
      </c>
      <c r="M28" s="125">
        <v>5.269972</v>
      </c>
      <c r="N28" s="125">
        <v>5.941458</v>
      </c>
      <c r="O28" s="125">
        <v>10.661601000000001</v>
      </c>
      <c r="P28" s="125">
        <v>11.561693</v>
      </c>
      <c r="Q28" s="125">
        <v>12.703926</v>
      </c>
      <c r="R28" s="125">
        <v>16.231281</v>
      </c>
      <c r="S28" s="125">
        <v>18.298826000000002</v>
      </c>
      <c r="T28" s="125">
        <v>21.223416</v>
      </c>
      <c r="U28" s="696">
        <v>24.720777216</v>
      </c>
      <c r="V28" s="279">
        <f t="shared" si="0"/>
        <v>16.47878558286753</v>
      </c>
      <c r="W28" s="587"/>
      <c r="X28" s="591"/>
      <c r="Y28" s="592"/>
      <c r="Z28" s="591"/>
    </row>
    <row r="29" spans="1:26" s="7" customFormat="1" ht="12.75" customHeight="1">
      <c r="A29" s="17">
        <v>22</v>
      </c>
      <c r="B29" s="275" t="s">
        <v>486</v>
      </c>
      <c r="C29" s="276" t="s">
        <v>180</v>
      </c>
      <c r="D29" s="277"/>
      <c r="E29" s="277">
        <v>8.831</v>
      </c>
      <c r="F29" s="277">
        <v>9.37</v>
      </c>
      <c r="G29" s="277">
        <v>9.033</v>
      </c>
      <c r="H29" s="277">
        <v>10.366526</v>
      </c>
      <c r="I29" s="277">
        <v>11.630321</v>
      </c>
      <c r="J29" s="277">
        <v>13.442390999999999</v>
      </c>
      <c r="K29" s="277">
        <v>14.604621999999999</v>
      </c>
      <c r="L29" s="277">
        <v>17.064514</v>
      </c>
      <c r="M29" s="277">
        <v>17.030971</v>
      </c>
      <c r="N29" s="277">
        <v>16.22337</v>
      </c>
      <c r="O29" s="277">
        <v>17.180086</v>
      </c>
      <c r="P29" s="277">
        <v>17.712580000000003</v>
      </c>
      <c r="Q29" s="277">
        <v>17.579301</v>
      </c>
      <c r="R29" s="277">
        <v>19.426959</v>
      </c>
      <c r="S29" s="277">
        <v>21.979509999999998</v>
      </c>
      <c r="T29" s="277">
        <v>22.50175</v>
      </c>
      <c r="U29" s="695">
        <v>23.812911104</v>
      </c>
      <c r="V29" s="280">
        <f t="shared" si="0"/>
        <v>5.826929478818315</v>
      </c>
      <c r="W29" s="587"/>
      <c r="X29" s="591"/>
      <c r="Y29" s="592"/>
      <c r="Z29" s="591"/>
    </row>
    <row r="30" spans="1:26" s="7" customFormat="1" ht="12.75" customHeight="1">
      <c r="A30" s="17">
        <v>23</v>
      </c>
      <c r="B30" s="228" t="s">
        <v>473</v>
      </c>
      <c r="C30" s="37" t="s">
        <v>177</v>
      </c>
      <c r="D30" s="125"/>
      <c r="E30" s="125">
        <v>14.292</v>
      </c>
      <c r="F30" s="125">
        <v>14.841</v>
      </c>
      <c r="G30" s="125">
        <v>13.97</v>
      </c>
      <c r="H30" s="125">
        <v>13.323125</v>
      </c>
      <c r="I30" s="125">
        <v>14.338434</v>
      </c>
      <c r="J30" s="125">
        <v>14.220383</v>
      </c>
      <c r="K30" s="125">
        <v>14.34402</v>
      </c>
      <c r="L30" s="125">
        <v>15.491786</v>
      </c>
      <c r="M30" s="125">
        <v>28.524732</v>
      </c>
      <c r="N30" s="125">
        <v>27.154721000000002</v>
      </c>
      <c r="O30" s="125">
        <v>27.384919999999997</v>
      </c>
      <c r="P30" s="125">
        <v>27.417908</v>
      </c>
      <c r="Q30" s="125">
        <v>22.298389</v>
      </c>
      <c r="R30" s="125">
        <v>19.808697</v>
      </c>
      <c r="S30" s="125">
        <v>20.695693</v>
      </c>
      <c r="T30" s="125">
        <v>22.460406</v>
      </c>
      <c r="U30" s="696">
        <v>23.583891456</v>
      </c>
      <c r="V30" s="279">
        <f t="shared" si="0"/>
        <v>5.002071004415498</v>
      </c>
      <c r="W30" s="587"/>
      <c r="X30" s="591"/>
      <c r="Y30" s="592"/>
      <c r="Z30" s="591"/>
    </row>
    <row r="31" spans="1:26" s="7" customFormat="1" ht="12.75" customHeight="1">
      <c r="A31" s="17">
        <v>24</v>
      </c>
      <c r="B31" s="673" t="s">
        <v>562</v>
      </c>
      <c r="C31" s="276" t="s">
        <v>179</v>
      </c>
      <c r="D31" s="277" t="s">
        <v>190</v>
      </c>
      <c r="E31" s="277"/>
      <c r="F31" s="277"/>
      <c r="G31" s="277">
        <v>0.185</v>
      </c>
      <c r="H31" s="277">
        <v>1.893004</v>
      </c>
      <c r="I31" s="277">
        <v>2.929724</v>
      </c>
      <c r="J31" s="277">
        <v>4.519465</v>
      </c>
      <c r="K31" s="277">
        <v>5.955651</v>
      </c>
      <c r="L31" s="277">
        <v>7.074782</v>
      </c>
      <c r="M31" s="277">
        <v>6.8109459999999995</v>
      </c>
      <c r="N31" s="277">
        <v>6.240258</v>
      </c>
      <c r="O31" s="277">
        <v>6.965882</v>
      </c>
      <c r="P31" s="277">
        <v>6.792045</v>
      </c>
      <c r="Q31" s="277">
        <v>7.030419</v>
      </c>
      <c r="R31" s="277">
        <v>8.136829</v>
      </c>
      <c r="S31" s="277">
        <v>13.032978</v>
      </c>
      <c r="T31" s="1079">
        <v>15.87</v>
      </c>
      <c r="U31" s="695">
        <v>20.106999808</v>
      </c>
      <c r="V31" s="280">
        <f t="shared" si="0"/>
        <v>26.69817144297417</v>
      </c>
      <c r="W31" s="587"/>
      <c r="X31" s="591"/>
      <c r="Y31" s="592"/>
      <c r="Z31" s="591"/>
    </row>
    <row r="32" spans="1:26" s="7" customFormat="1" ht="12.75" customHeight="1">
      <c r="A32" s="17">
        <v>25</v>
      </c>
      <c r="B32" s="228" t="s">
        <v>361</v>
      </c>
      <c r="C32" s="37" t="s">
        <v>182</v>
      </c>
      <c r="D32" s="125">
        <v>4.6</v>
      </c>
      <c r="E32" s="125">
        <v>8.808</v>
      </c>
      <c r="F32" s="125">
        <v>9.645</v>
      </c>
      <c r="G32" s="125">
        <v>8.69</v>
      </c>
      <c r="H32" s="125">
        <v>10.184</v>
      </c>
      <c r="I32" s="125">
        <v>11.291</v>
      </c>
      <c r="J32" s="125">
        <v>12.563</v>
      </c>
      <c r="K32" s="125">
        <v>13.363</v>
      </c>
      <c r="L32" s="125">
        <v>14.807</v>
      </c>
      <c r="M32" s="125">
        <v>16.277</v>
      </c>
      <c r="N32" s="125">
        <v>15.819</v>
      </c>
      <c r="O32" s="125">
        <v>13.895</v>
      </c>
      <c r="P32" s="125">
        <v>14.051</v>
      </c>
      <c r="Q32" s="125">
        <v>14.523</v>
      </c>
      <c r="R32" s="125">
        <v>14.807</v>
      </c>
      <c r="S32" s="125">
        <v>16.088</v>
      </c>
      <c r="T32" s="125">
        <v>17.531</v>
      </c>
      <c r="U32" s="696">
        <v>19.19399936</v>
      </c>
      <c r="V32" s="279">
        <f t="shared" si="0"/>
        <v>9.486049626376143</v>
      </c>
      <c r="W32" s="587"/>
      <c r="X32" s="591"/>
      <c r="Y32" s="592"/>
      <c r="Z32" s="591"/>
    </row>
    <row r="33" spans="1:26" s="7" customFormat="1" ht="12.75" customHeight="1">
      <c r="A33" s="17">
        <v>26</v>
      </c>
      <c r="B33" s="275" t="s">
        <v>207</v>
      </c>
      <c r="C33" s="276" t="s">
        <v>185</v>
      </c>
      <c r="D33" s="277">
        <v>2.818</v>
      </c>
      <c r="E33" s="277">
        <v>17.967</v>
      </c>
      <c r="F33" s="277">
        <v>8.14</v>
      </c>
      <c r="G33" s="277">
        <v>17.979</v>
      </c>
      <c r="H33" s="277">
        <v>17.965</v>
      </c>
      <c r="I33" s="277">
        <v>21.276801</v>
      </c>
      <c r="J33" s="277">
        <v>22.8936</v>
      </c>
      <c r="K33" s="277">
        <v>23.371800999999998</v>
      </c>
      <c r="L33" s="277">
        <v>20.05</v>
      </c>
      <c r="M33" s="277">
        <v>18.889599999999998</v>
      </c>
      <c r="N33" s="277">
        <v>16.82125</v>
      </c>
      <c r="O33" s="277">
        <v>17.4941</v>
      </c>
      <c r="P33" s="277">
        <v>17.792099999999998</v>
      </c>
      <c r="Q33" s="277">
        <v>17.952099999999998</v>
      </c>
      <c r="R33" s="277">
        <v>17.705099999999998</v>
      </c>
      <c r="S33" s="277">
        <v>18.4279</v>
      </c>
      <c r="T33" s="277">
        <v>18.189801</v>
      </c>
      <c r="U33" s="695">
        <v>18.609000448</v>
      </c>
      <c r="V33" s="280">
        <f t="shared" si="0"/>
        <v>2.3045851243782067</v>
      </c>
      <c r="W33" s="672"/>
      <c r="X33" s="591"/>
      <c r="Y33" s="592"/>
      <c r="Z33" s="591"/>
    </row>
    <row r="34" spans="1:26" s="7" customFormat="1" ht="12.75" customHeight="1">
      <c r="A34" s="17">
        <v>27</v>
      </c>
      <c r="B34" s="228" t="s">
        <v>488</v>
      </c>
      <c r="C34" s="37" t="s">
        <v>177</v>
      </c>
      <c r="D34" s="125" t="s">
        <v>190</v>
      </c>
      <c r="E34" s="125"/>
      <c r="F34" s="125">
        <v>0.012</v>
      </c>
      <c r="G34" s="125">
        <v>0.147</v>
      </c>
      <c r="H34" s="125">
        <v>0.8734</v>
      </c>
      <c r="I34" s="125">
        <v>1.682617</v>
      </c>
      <c r="J34" s="125">
        <v>3.105157</v>
      </c>
      <c r="K34" s="125">
        <v>3.9399699999999998</v>
      </c>
      <c r="L34" s="125">
        <v>5.665006999999999</v>
      </c>
      <c r="M34" s="125">
        <v>5.688105999999999</v>
      </c>
      <c r="N34" s="125">
        <v>5.36937</v>
      </c>
      <c r="O34" s="125">
        <v>6.218909</v>
      </c>
      <c r="P34" s="125">
        <v>8.048245</v>
      </c>
      <c r="Q34" s="125">
        <v>9.404808999999998</v>
      </c>
      <c r="R34" s="125">
        <v>10.807283</v>
      </c>
      <c r="S34" s="707">
        <v>12.255213</v>
      </c>
      <c r="T34" s="125">
        <v>12.222045</v>
      </c>
      <c r="U34" s="696">
        <v>14.260875264</v>
      </c>
      <c r="V34" s="279">
        <f t="shared" si="0"/>
        <v>16.681580406552257</v>
      </c>
      <c r="W34" s="587"/>
      <c r="X34" s="591"/>
      <c r="Y34" s="592"/>
      <c r="Z34" s="591"/>
    </row>
    <row r="35" spans="1:26" s="7" customFormat="1" ht="12.75" customHeight="1">
      <c r="A35" s="17">
        <v>28</v>
      </c>
      <c r="B35" s="275" t="s">
        <v>468</v>
      </c>
      <c r="C35" s="276" t="s">
        <v>176</v>
      </c>
      <c r="D35" s="277"/>
      <c r="E35" s="277">
        <v>7.921</v>
      </c>
      <c r="F35" s="277">
        <v>8.27</v>
      </c>
      <c r="G35" s="277">
        <v>7.457</v>
      </c>
      <c r="H35" s="277">
        <v>8.315</v>
      </c>
      <c r="I35" s="277">
        <v>8.091361</v>
      </c>
      <c r="J35" s="277">
        <v>8.72592</v>
      </c>
      <c r="K35" s="277">
        <v>9.575</v>
      </c>
      <c r="L35" s="277">
        <v>10.468</v>
      </c>
      <c r="M35" s="277">
        <v>11.159</v>
      </c>
      <c r="N35" s="277">
        <v>10.41</v>
      </c>
      <c r="O35" s="277">
        <v>10.643889999999999</v>
      </c>
      <c r="P35" s="277">
        <v>10.738</v>
      </c>
      <c r="Q35" s="277">
        <v>11.250287</v>
      </c>
      <c r="R35" s="277">
        <v>12.253652</v>
      </c>
      <c r="S35" s="277">
        <v>12.755124</v>
      </c>
      <c r="T35" s="277">
        <v>12.593205248</v>
      </c>
      <c r="U35" s="695">
        <v>13.776297984</v>
      </c>
      <c r="V35" s="280">
        <f t="shared" si="0"/>
        <v>9.394691126692251</v>
      </c>
      <c r="W35" s="587"/>
      <c r="X35" s="591"/>
      <c r="Y35" s="592"/>
      <c r="Z35" s="591"/>
    </row>
    <row r="36" spans="1:26" s="7" customFormat="1" ht="12.75" customHeight="1">
      <c r="A36" s="17">
        <v>29</v>
      </c>
      <c r="B36" s="228" t="s">
        <v>198</v>
      </c>
      <c r="C36" s="37" t="s">
        <v>178</v>
      </c>
      <c r="D36" s="125"/>
      <c r="E36" s="125">
        <v>3.418</v>
      </c>
      <c r="F36" s="125">
        <v>2.131</v>
      </c>
      <c r="G36" s="125">
        <v>2.971</v>
      </c>
      <c r="H36" s="125">
        <v>4.021</v>
      </c>
      <c r="I36" s="125">
        <v>4.55</v>
      </c>
      <c r="J36" s="125">
        <v>4.5591</v>
      </c>
      <c r="K36" s="125">
        <v>4.8506</v>
      </c>
      <c r="L36" s="125">
        <v>7.0694</v>
      </c>
      <c r="M36" s="125">
        <v>7.3647</v>
      </c>
      <c r="N36" s="125">
        <v>6.853702</v>
      </c>
      <c r="O36" s="125">
        <v>7.3129</v>
      </c>
      <c r="P36" s="125">
        <v>8.48637</v>
      </c>
      <c r="Q36" s="125">
        <v>9.229208</v>
      </c>
      <c r="R36" s="125">
        <v>9.772122</v>
      </c>
      <c r="S36" s="125">
        <v>10.75577</v>
      </c>
      <c r="T36" s="125">
        <v>11.832510000000001</v>
      </c>
      <c r="U36" s="696">
        <v>12.693728256</v>
      </c>
      <c r="V36" s="701">
        <f t="shared" si="0"/>
        <v>7.27840716804802</v>
      </c>
      <c r="W36" s="587"/>
      <c r="X36" s="591"/>
      <c r="Y36" s="592"/>
      <c r="Z36" s="591"/>
    </row>
    <row r="37" spans="1:26" s="7" customFormat="1" ht="12.75" customHeight="1">
      <c r="A37" s="17">
        <v>30</v>
      </c>
      <c r="B37" s="697" t="s">
        <v>487</v>
      </c>
      <c r="C37" s="698" t="s">
        <v>173</v>
      </c>
      <c r="D37" s="699"/>
      <c r="E37" s="699">
        <v>1.969</v>
      </c>
      <c r="F37" s="699">
        <v>2.686</v>
      </c>
      <c r="G37" s="699">
        <v>2.583</v>
      </c>
      <c r="H37" s="699">
        <v>2.739</v>
      </c>
      <c r="I37" s="699">
        <v>3.097</v>
      </c>
      <c r="J37" s="699">
        <v>3.938</v>
      </c>
      <c r="K37" s="699">
        <v>5.0619</v>
      </c>
      <c r="L37" s="699">
        <v>6.051</v>
      </c>
      <c r="M37" s="699">
        <v>7.957</v>
      </c>
      <c r="N37" s="699">
        <v>9.096</v>
      </c>
      <c r="O37" s="699">
        <v>10.84</v>
      </c>
      <c r="P37" s="699">
        <v>12.045914</v>
      </c>
      <c r="Q37" s="699">
        <v>10.398</v>
      </c>
      <c r="R37" s="699">
        <v>9.776594</v>
      </c>
      <c r="S37" s="699">
        <v>10.10699</v>
      </c>
      <c r="T37" s="699">
        <v>12.20998</v>
      </c>
      <c r="U37" s="700">
        <v>11.808126976</v>
      </c>
      <c r="V37" s="702">
        <f t="shared" si="0"/>
        <v>-3.29118494870589</v>
      </c>
      <c r="W37" s="587"/>
      <c r="X37" s="591"/>
      <c r="Y37" s="592"/>
      <c r="Z37" s="591"/>
    </row>
    <row r="38" spans="1:23" s="13" customFormat="1" ht="17.25" customHeight="1">
      <c r="A38" s="17"/>
      <c r="B38" s="940" t="s">
        <v>578</v>
      </c>
      <c r="C38" s="941"/>
      <c r="D38" s="941"/>
      <c r="E38" s="941"/>
      <c r="F38" s="941"/>
      <c r="G38" s="941"/>
      <c r="H38" s="941"/>
      <c r="I38" s="941"/>
      <c r="J38" s="941"/>
      <c r="K38" s="941"/>
      <c r="L38" s="941"/>
      <c r="M38" s="941"/>
      <c r="N38" s="941"/>
      <c r="O38" s="941"/>
      <c r="P38" s="941"/>
      <c r="Q38" s="941"/>
      <c r="R38" s="941"/>
      <c r="S38" s="941"/>
      <c r="T38" s="941"/>
      <c r="U38" s="121"/>
      <c r="V38" s="184"/>
      <c r="W38" s="670"/>
    </row>
    <row r="39" spans="2:23" ht="12.75" customHeight="1">
      <c r="B39" s="185" t="s">
        <v>343</v>
      </c>
      <c r="C39" s="186"/>
      <c r="D39" s="184"/>
      <c r="E39" s="184"/>
      <c r="F39" s="184"/>
      <c r="G39" s="184"/>
      <c r="H39" s="184"/>
      <c r="I39" s="184"/>
      <c r="J39" s="184"/>
      <c r="K39" s="184"/>
      <c r="L39" s="184"/>
      <c r="M39" s="184"/>
      <c r="N39" s="184"/>
      <c r="O39" s="184"/>
      <c r="P39" s="184"/>
      <c r="Q39" s="184"/>
      <c r="R39" s="184"/>
      <c r="S39" s="184"/>
      <c r="T39" s="184"/>
      <c r="U39" s="184"/>
      <c r="V39" s="184"/>
      <c r="W39" s="184"/>
    </row>
    <row r="40" spans="2:23" ht="12.75" customHeight="1">
      <c r="B40" s="187" t="s">
        <v>302</v>
      </c>
      <c r="C40" s="5"/>
      <c r="D40" s="184"/>
      <c r="E40" s="184"/>
      <c r="F40" s="184"/>
      <c r="G40" s="184"/>
      <c r="H40" s="184"/>
      <c r="I40" s="184"/>
      <c r="J40" s="184"/>
      <c r="K40" s="184"/>
      <c r="L40" s="184"/>
      <c r="M40" s="184"/>
      <c r="N40" s="184"/>
      <c r="O40" s="184"/>
      <c r="P40" s="184"/>
      <c r="Q40" s="184"/>
      <c r="R40" s="184"/>
      <c r="S40" s="184"/>
      <c r="T40" s="184"/>
      <c r="U40" s="184"/>
      <c r="W40" s="184"/>
    </row>
    <row r="41" spans="2:22" ht="12.75" customHeight="1">
      <c r="B41" s="188" t="s">
        <v>363</v>
      </c>
      <c r="C41" s="186"/>
      <c r="V41" s="579"/>
    </row>
    <row r="42" spans="2:23" ht="11.25" customHeight="1">
      <c r="B42" s="939" t="s">
        <v>411</v>
      </c>
      <c r="C42" s="939"/>
      <c r="D42" s="939"/>
      <c r="E42" s="939"/>
      <c r="F42" s="939"/>
      <c r="G42" s="939"/>
      <c r="H42" s="939"/>
      <c r="I42" s="939"/>
      <c r="J42" s="939"/>
      <c r="K42" s="939"/>
      <c r="L42" s="939"/>
      <c r="M42" s="939"/>
      <c r="N42" s="939"/>
      <c r="O42" s="939"/>
      <c r="P42" s="939"/>
      <c r="Q42" s="939"/>
      <c r="R42" s="939"/>
      <c r="S42" s="939"/>
      <c r="T42" s="939"/>
      <c r="U42" s="579"/>
      <c r="W42" s="579"/>
    </row>
    <row r="43" ht="12.75" customHeight="1">
      <c r="B43" s="188" t="s">
        <v>362</v>
      </c>
    </row>
    <row r="44" spans="2:19" ht="11.25" customHeight="1">
      <c r="B44" s="3" t="s">
        <v>412</v>
      </c>
      <c r="L44" s="273"/>
      <c r="M44" s="273"/>
      <c r="N44" s="273"/>
      <c r="O44" s="273"/>
      <c r="P44" s="273"/>
      <c r="Q44" s="273"/>
      <c r="R44" s="273"/>
      <c r="S44" s="273"/>
    </row>
    <row r="45" ht="12" customHeight="1">
      <c r="B45" s="3" t="s">
        <v>563</v>
      </c>
    </row>
    <row r="46" ht="12.75">
      <c r="B46" s="584"/>
    </row>
    <row r="47" spans="2:7" ht="12.75">
      <c r="B47" s="584"/>
      <c r="G47" s="161"/>
    </row>
    <row r="48" ht="12.75">
      <c r="B48" s="584"/>
    </row>
    <row r="49" ht="12.75">
      <c r="B49" s="584"/>
    </row>
    <row r="50" ht="12.75">
      <c r="B50" s="584"/>
    </row>
    <row r="51" spans="2:16" ht="15">
      <c r="B51" s="584"/>
      <c r="D51" s="314"/>
      <c r="E51" s="314"/>
      <c r="G51" s="314"/>
      <c r="H51" s="314"/>
      <c r="I51" s="314"/>
      <c r="J51" s="314"/>
      <c r="K51" s="314"/>
      <c r="L51" s="314"/>
      <c r="M51" s="314"/>
      <c r="N51" s="314"/>
      <c r="O51" s="314"/>
      <c r="P51" s="314"/>
    </row>
    <row r="52" ht="12.75">
      <c r="B52" s="584"/>
    </row>
    <row r="53" ht="12.75">
      <c r="B53" s="584"/>
    </row>
    <row r="55" spans="2:4" ht="15">
      <c r="B55" s="584"/>
      <c r="C55" s="586"/>
      <c r="D55" s="314"/>
    </row>
    <row r="56" spans="2:19" ht="15">
      <c r="B56" s="584"/>
      <c r="C56" s="586"/>
      <c r="D56" s="314"/>
      <c r="E56" s="314"/>
      <c r="F56" s="314"/>
      <c r="G56" s="314"/>
      <c r="H56" s="314"/>
      <c r="I56" s="314"/>
      <c r="J56" s="314"/>
      <c r="K56" s="314"/>
      <c r="L56" s="314"/>
      <c r="M56" s="314"/>
      <c r="N56" s="314"/>
      <c r="O56" s="314"/>
      <c r="P56" s="314"/>
      <c r="Q56" s="314"/>
      <c r="R56" s="441"/>
      <c r="S56" s="441"/>
    </row>
    <row r="57" ht="12.75">
      <c r="B57" s="584"/>
    </row>
    <row r="58" ht="12.75">
      <c r="B58" s="584"/>
    </row>
    <row r="59" ht="12.75">
      <c r="B59" s="585"/>
    </row>
    <row r="60" ht="12.75">
      <c r="B60" s="584"/>
    </row>
    <row r="61" ht="12.75">
      <c r="B61" s="585"/>
    </row>
    <row r="62" ht="12.75">
      <c r="B62" s="584"/>
    </row>
    <row r="63" ht="12.75">
      <c r="B63" s="585"/>
    </row>
    <row r="64" ht="12.75">
      <c r="B64" s="585"/>
    </row>
    <row r="65" ht="12.75">
      <c r="B65" s="585"/>
    </row>
    <row r="66" ht="12.75">
      <c r="B66" s="585"/>
    </row>
    <row r="67" ht="12.75">
      <c r="B67" s="584"/>
    </row>
    <row r="68" ht="12.75">
      <c r="B68" s="585"/>
    </row>
    <row r="69" ht="12.75">
      <c r="B69" s="585"/>
    </row>
    <row r="70" ht="12.75">
      <c r="B70" s="585"/>
    </row>
    <row r="71" ht="12.75">
      <c r="B71" s="584"/>
    </row>
    <row r="72" ht="12.75">
      <c r="B72" s="585"/>
    </row>
    <row r="73" ht="12.75">
      <c r="B73" s="585"/>
    </row>
    <row r="74" ht="12.75">
      <c r="B74" s="585"/>
    </row>
    <row r="75" ht="12.75">
      <c r="B75" s="585"/>
    </row>
    <row r="76" ht="12.75">
      <c r="B76" s="584"/>
    </row>
    <row r="77" ht="12.75">
      <c r="B77" s="585"/>
    </row>
  </sheetData>
  <sheetProtection/>
  <mergeCells count="13">
    <mergeCell ref="B42:T42"/>
    <mergeCell ref="B38:T38"/>
    <mergeCell ref="A5:A7"/>
    <mergeCell ref="B5:B7"/>
    <mergeCell ref="D5:D7"/>
    <mergeCell ref="E5:E7"/>
    <mergeCell ref="B2:T2"/>
    <mergeCell ref="B3:T3"/>
    <mergeCell ref="M5:M7"/>
    <mergeCell ref="J5:J7"/>
    <mergeCell ref="K5:K7"/>
    <mergeCell ref="L5:L7"/>
    <mergeCell ref="B4:U4"/>
  </mergeCells>
  <printOptions/>
  <pageMargins left="0.75" right="0.41"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X67"/>
  <sheetViews>
    <sheetView zoomScalePageLayoutView="0" workbookViewId="0" topLeftCell="G43">
      <selection activeCell="Y1" sqref="Y1:BJ16384"/>
    </sheetView>
  </sheetViews>
  <sheetFormatPr defaultColWidth="9.140625" defaultRowHeight="12.75"/>
  <cols>
    <col min="1" max="1" width="2.7109375" style="460" customWidth="1"/>
    <col min="2" max="2" width="3.7109375" style="523" customWidth="1"/>
    <col min="3" max="3" width="1.1484375" style="460" customWidth="1"/>
    <col min="4" max="4" width="22.28125" style="460" customWidth="1"/>
    <col min="5" max="5" width="3.421875" style="460" customWidth="1"/>
    <col min="6" max="9" width="6.7109375" style="523" customWidth="1"/>
    <col min="10" max="17" width="6.7109375" style="460" customWidth="1"/>
    <col min="18" max="18" width="7.28125" style="460" customWidth="1"/>
    <col min="19" max="22" width="7.00390625" style="460" customWidth="1"/>
    <col min="23" max="23" width="5.57421875" style="560" customWidth="1"/>
    <col min="24" max="24" width="14.8515625" style="460" customWidth="1"/>
    <col min="25" max="16384" width="9.140625" style="460" customWidth="1"/>
  </cols>
  <sheetData>
    <row r="1" spans="3:23" ht="14.25" customHeight="1">
      <c r="C1" s="951"/>
      <c r="D1" s="951"/>
      <c r="E1" s="524"/>
      <c r="F1" s="525"/>
      <c r="G1" s="525"/>
      <c r="H1" s="525"/>
      <c r="I1" s="525"/>
      <c r="J1" s="526"/>
      <c r="K1" s="527"/>
      <c r="L1" s="527"/>
      <c r="M1" s="527"/>
      <c r="N1" s="527"/>
      <c r="O1" s="527"/>
      <c r="P1" s="527"/>
      <c r="Q1" s="527"/>
      <c r="R1" s="527"/>
      <c r="S1" s="527"/>
      <c r="T1" s="527"/>
      <c r="U1" s="527"/>
      <c r="V1" s="527"/>
      <c r="W1" s="528" t="s">
        <v>413</v>
      </c>
    </row>
    <row r="2" spans="3:23" ht="20.25" customHeight="1">
      <c r="C2" s="952" t="s">
        <v>211</v>
      </c>
      <c r="D2" s="952"/>
      <c r="E2" s="952"/>
      <c r="F2" s="952"/>
      <c r="G2" s="952"/>
      <c r="H2" s="952"/>
      <c r="I2" s="952"/>
      <c r="J2" s="952"/>
      <c r="K2" s="952"/>
      <c r="L2" s="952"/>
      <c r="M2" s="952"/>
      <c r="N2" s="952"/>
      <c r="O2" s="952"/>
      <c r="P2" s="952"/>
      <c r="Q2" s="952"/>
      <c r="R2" s="952"/>
      <c r="S2" s="952"/>
      <c r="T2" s="952"/>
      <c r="U2" s="952"/>
      <c r="V2" s="952"/>
      <c r="W2" s="952"/>
    </row>
    <row r="3" spans="3:23" ht="12.75" customHeight="1">
      <c r="C3" s="953" t="s">
        <v>342</v>
      </c>
      <c r="D3" s="953"/>
      <c r="E3" s="953"/>
      <c r="F3" s="953"/>
      <c r="G3" s="953"/>
      <c r="H3" s="953"/>
      <c r="I3" s="953"/>
      <c r="J3" s="953"/>
      <c r="K3" s="953"/>
      <c r="L3" s="953"/>
      <c r="M3" s="953"/>
      <c r="N3" s="953"/>
      <c r="O3" s="953"/>
      <c r="P3" s="953"/>
      <c r="Q3" s="953"/>
      <c r="R3" s="953"/>
      <c r="S3" s="953"/>
      <c r="T3" s="953"/>
      <c r="U3" s="953"/>
      <c r="V3" s="953"/>
      <c r="W3" s="953"/>
    </row>
    <row r="4" spans="3:23" ht="12.75" customHeight="1">
      <c r="C4" s="954" t="s">
        <v>280</v>
      </c>
      <c r="D4" s="954"/>
      <c r="E4" s="954"/>
      <c r="F4" s="954"/>
      <c r="G4" s="954"/>
      <c r="H4" s="954"/>
      <c r="I4" s="954"/>
      <c r="J4" s="954"/>
      <c r="K4" s="954"/>
      <c r="L4" s="954"/>
      <c r="M4" s="954"/>
      <c r="N4" s="954"/>
      <c r="O4" s="954"/>
      <c r="P4" s="954"/>
      <c r="Q4" s="954"/>
      <c r="R4" s="954"/>
      <c r="S4" s="954"/>
      <c r="T4" s="954"/>
      <c r="U4" s="954"/>
      <c r="V4" s="954"/>
      <c r="W4" s="954"/>
    </row>
    <row r="5" spans="4:23" ht="13.5" customHeight="1">
      <c r="D5" s="529"/>
      <c r="E5" s="529"/>
      <c r="F5" s="529"/>
      <c r="G5" s="529"/>
      <c r="H5" s="529"/>
      <c r="I5" s="529"/>
      <c r="J5" s="529"/>
      <c r="K5" s="529"/>
      <c r="N5" s="529"/>
      <c r="O5" s="529"/>
      <c r="P5" s="529"/>
      <c r="Q5" s="529"/>
      <c r="R5" s="529"/>
      <c r="U5" s="529"/>
      <c r="V5" s="529" t="s">
        <v>321</v>
      </c>
      <c r="W5" s="529"/>
    </row>
    <row r="6" spans="2:23" s="530" customFormat="1" ht="12.75" customHeight="1">
      <c r="B6" s="949" t="s">
        <v>261</v>
      </c>
      <c r="C6" s="531"/>
      <c r="D6" s="532"/>
      <c r="E6" s="533"/>
      <c r="F6" s="531"/>
      <c r="G6" s="534"/>
      <c r="H6" s="534"/>
      <c r="I6" s="534"/>
      <c r="J6" s="532"/>
      <c r="K6" s="532"/>
      <c r="L6" s="532"/>
      <c r="M6" s="532"/>
      <c r="N6" s="532"/>
      <c r="O6" s="532"/>
      <c r="P6" s="532"/>
      <c r="Q6" s="532"/>
      <c r="R6" s="532"/>
      <c r="S6" s="532"/>
      <c r="T6" s="532"/>
      <c r="U6" s="532"/>
      <c r="V6" s="532"/>
      <c r="W6" s="535" t="s">
        <v>322</v>
      </c>
    </row>
    <row r="7" spans="2:23" s="530" customFormat="1" ht="12.75" customHeight="1">
      <c r="B7" s="949"/>
      <c r="C7" s="536"/>
      <c r="D7" s="537" t="s">
        <v>330</v>
      </c>
      <c r="E7" s="538"/>
      <c r="F7" s="536">
        <v>2000</v>
      </c>
      <c r="G7" s="539">
        <v>2001</v>
      </c>
      <c r="H7" s="539">
        <v>2002</v>
      </c>
      <c r="I7" s="539">
        <v>2003</v>
      </c>
      <c r="J7" s="539">
        <v>2004</v>
      </c>
      <c r="K7" s="539">
        <v>2005</v>
      </c>
      <c r="L7" s="539">
        <v>2006</v>
      </c>
      <c r="M7" s="539">
        <v>2007</v>
      </c>
      <c r="N7" s="539">
        <v>2008</v>
      </c>
      <c r="O7" s="539">
        <v>2009</v>
      </c>
      <c r="P7" s="539">
        <v>2010</v>
      </c>
      <c r="Q7" s="539">
        <v>2011</v>
      </c>
      <c r="R7" s="539">
        <v>2012</v>
      </c>
      <c r="S7" s="539">
        <v>2013</v>
      </c>
      <c r="T7" s="539">
        <v>2014</v>
      </c>
      <c r="U7" s="539">
        <v>2015</v>
      </c>
      <c r="V7" s="539">
        <v>2016</v>
      </c>
      <c r="W7" s="540" t="s">
        <v>577</v>
      </c>
    </row>
    <row r="8" spans="2:23" s="530" customFormat="1" ht="12.75" customHeight="1">
      <c r="B8" s="949"/>
      <c r="C8" s="541"/>
      <c r="D8" s="542"/>
      <c r="E8" s="543"/>
      <c r="F8" s="544"/>
      <c r="G8" s="545"/>
      <c r="H8" s="545"/>
      <c r="I8" s="545"/>
      <c r="J8" s="545"/>
      <c r="K8" s="545"/>
      <c r="L8" s="545"/>
      <c r="M8" s="545"/>
      <c r="N8" s="545"/>
      <c r="O8" s="545"/>
      <c r="P8" s="545"/>
      <c r="Q8" s="545"/>
      <c r="R8" s="545"/>
      <c r="S8" s="545"/>
      <c r="T8" s="545"/>
      <c r="U8" s="545"/>
      <c r="V8" s="545"/>
      <c r="W8" s="546" t="s">
        <v>192</v>
      </c>
    </row>
    <row r="9" spans="1:23" ht="12.75" customHeight="1">
      <c r="A9" s="547"/>
      <c r="B9" s="548">
        <v>1</v>
      </c>
      <c r="C9" s="710"/>
      <c r="D9" s="711" t="s">
        <v>29</v>
      </c>
      <c r="E9" s="712" t="s">
        <v>177</v>
      </c>
      <c r="F9" s="713">
        <v>64.288678</v>
      </c>
      <c r="G9" s="713">
        <v>60.447401</v>
      </c>
      <c r="H9" s="713">
        <v>63.041754</v>
      </c>
      <c r="I9" s="713">
        <v>63.208331</v>
      </c>
      <c r="J9" s="713">
        <v>67.110028</v>
      </c>
      <c r="K9" s="713">
        <v>67.683727</v>
      </c>
      <c r="L9" s="713">
        <v>67.33912</v>
      </c>
      <c r="M9" s="713">
        <v>67.85232</v>
      </c>
      <c r="N9" s="713">
        <v>66.906954</v>
      </c>
      <c r="O9" s="713">
        <v>65.904389</v>
      </c>
      <c r="P9" s="713">
        <v>65.741996</v>
      </c>
      <c r="Q9" s="713">
        <v>69.388105</v>
      </c>
      <c r="R9" s="713">
        <v>69.983473</v>
      </c>
      <c r="S9" s="713">
        <v>72.3315</v>
      </c>
      <c r="T9" s="713">
        <v>73.371383</v>
      </c>
      <c r="U9" s="713">
        <v>74.954438</v>
      </c>
      <c r="V9" s="713">
        <v>75.67186</v>
      </c>
      <c r="W9" s="714">
        <f>V9/U9*100-100</f>
        <v>0.9571441253418413</v>
      </c>
    </row>
    <row r="10" spans="1:23" ht="12.75" customHeight="1">
      <c r="A10" s="549"/>
      <c r="B10" s="548">
        <v>2</v>
      </c>
      <c r="C10" s="555"/>
      <c r="D10" s="668" t="s">
        <v>385</v>
      </c>
      <c r="E10" s="556" t="s">
        <v>181</v>
      </c>
      <c r="F10" s="559">
        <v>49.67</v>
      </c>
      <c r="G10" s="557">
        <v>47.917843</v>
      </c>
      <c r="H10" s="557">
        <v>48.257964</v>
      </c>
      <c r="I10" s="557">
        <v>48.008164</v>
      </c>
      <c r="J10" s="557">
        <v>50.951316</v>
      </c>
      <c r="K10" s="557">
        <v>53.381116</v>
      </c>
      <c r="L10" s="557">
        <v>56.448699</v>
      </c>
      <c r="M10" s="557">
        <v>59.549883</v>
      </c>
      <c r="N10" s="557">
        <v>60.495816</v>
      </c>
      <c r="O10" s="557">
        <v>57.688772</v>
      </c>
      <c r="P10" s="557">
        <v>57.932285</v>
      </c>
      <c r="Q10" s="557">
        <v>60.713648</v>
      </c>
      <c r="R10" s="557">
        <v>61.377229</v>
      </c>
      <c r="S10" s="557">
        <v>61.889855</v>
      </c>
      <c r="T10" s="557">
        <v>63.648567</v>
      </c>
      <c r="U10" s="557">
        <v>65.674223</v>
      </c>
      <c r="V10" s="557">
        <v>65.848868</v>
      </c>
      <c r="W10" s="558">
        <f aca="true" t="shared" si="0" ref="W10:W62">V10/U10*100-100</f>
        <v>0.26592625237454115</v>
      </c>
    </row>
    <row r="11" spans="1:23" ht="12.75" customHeight="1">
      <c r="A11" s="549"/>
      <c r="B11" s="548">
        <v>3</v>
      </c>
      <c r="C11" s="550"/>
      <c r="D11" s="667" t="s">
        <v>31</v>
      </c>
      <c r="E11" s="551" t="s">
        <v>176</v>
      </c>
      <c r="F11" s="553">
        <v>39.269546</v>
      </c>
      <c r="G11" s="553">
        <v>39.309441</v>
      </c>
      <c r="H11" s="553">
        <v>40.587562</v>
      </c>
      <c r="I11" s="553">
        <v>39.807306</v>
      </c>
      <c r="J11" s="553">
        <v>42.42466</v>
      </c>
      <c r="K11" s="553">
        <v>44.076595</v>
      </c>
      <c r="L11" s="553">
        <v>45.997955</v>
      </c>
      <c r="M11" s="553">
        <v>47.756988</v>
      </c>
      <c r="N11" s="553">
        <v>47.404171</v>
      </c>
      <c r="O11" s="553">
        <v>43.531964</v>
      </c>
      <c r="P11" s="553">
        <v>45.146033</v>
      </c>
      <c r="Q11" s="553">
        <v>49.690392</v>
      </c>
      <c r="R11" s="553">
        <v>50.988293</v>
      </c>
      <c r="S11" s="553">
        <v>52.543412</v>
      </c>
      <c r="T11" s="553">
        <v>54.957122</v>
      </c>
      <c r="U11" s="553">
        <v>58.167815</v>
      </c>
      <c r="V11" s="553">
        <v>63.549632</v>
      </c>
      <c r="W11" s="554">
        <f t="shared" si="0"/>
        <v>9.252224791321467</v>
      </c>
    </row>
    <row r="12" spans="1:23" ht="12.75" customHeight="1">
      <c r="A12" s="549"/>
      <c r="B12" s="548">
        <v>4</v>
      </c>
      <c r="C12" s="555"/>
      <c r="D12" s="668" t="s">
        <v>28</v>
      </c>
      <c r="E12" s="556" t="s">
        <v>179</v>
      </c>
      <c r="F12" s="557">
        <v>48.964607</v>
      </c>
      <c r="G12" s="557">
        <v>48.196902</v>
      </c>
      <c r="H12" s="557">
        <v>48.081118</v>
      </c>
      <c r="I12" s="557">
        <v>48.024693</v>
      </c>
      <c r="J12" s="557">
        <v>50.702512</v>
      </c>
      <c r="K12" s="557">
        <v>51.79103</v>
      </c>
      <c r="L12" s="557">
        <v>52.403633</v>
      </c>
      <c r="M12" s="557">
        <v>53.855515</v>
      </c>
      <c r="N12" s="557">
        <v>53.189273</v>
      </c>
      <c r="O12" s="557">
        <v>50.573544</v>
      </c>
      <c r="P12" s="557">
        <v>52.646223</v>
      </c>
      <c r="Q12" s="557">
        <v>56.276006</v>
      </c>
      <c r="R12" s="557">
        <v>57.260904</v>
      </c>
      <c r="S12" s="557">
        <v>57.877988</v>
      </c>
      <c r="T12" s="557">
        <v>59.414039</v>
      </c>
      <c r="U12" s="557">
        <v>60.889154</v>
      </c>
      <c r="V12" s="557">
        <v>60.668733</v>
      </c>
      <c r="W12" s="558">
        <f t="shared" si="0"/>
        <v>-0.36200371580133606</v>
      </c>
    </row>
    <row r="13" spans="1:23" ht="12.75" customHeight="1">
      <c r="A13" s="549"/>
      <c r="B13" s="548">
        <v>5</v>
      </c>
      <c r="C13" s="550"/>
      <c r="D13" s="667" t="s">
        <v>30</v>
      </c>
      <c r="E13" s="551" t="s">
        <v>180</v>
      </c>
      <c r="F13" s="553">
        <v>32.712759</v>
      </c>
      <c r="G13" s="553">
        <v>33.863722</v>
      </c>
      <c r="H13" s="553">
        <v>33.696258</v>
      </c>
      <c r="I13" s="553">
        <v>35.369823</v>
      </c>
      <c r="J13" s="553">
        <v>38.15497</v>
      </c>
      <c r="K13" s="553">
        <v>41.724868</v>
      </c>
      <c r="L13" s="553">
        <v>45.06393</v>
      </c>
      <c r="M13" s="553">
        <v>51.208323</v>
      </c>
      <c r="N13" s="553">
        <v>50.365596</v>
      </c>
      <c r="O13" s="553">
        <v>47.943507</v>
      </c>
      <c r="P13" s="553">
        <v>49.797635</v>
      </c>
      <c r="Q13" s="553">
        <v>49.531687</v>
      </c>
      <c r="R13" s="553">
        <v>45.124079</v>
      </c>
      <c r="S13" s="553">
        <v>39.661398</v>
      </c>
      <c r="T13" s="553">
        <v>41.540746</v>
      </c>
      <c r="U13" s="553">
        <v>46.296732</v>
      </c>
      <c r="V13" s="553">
        <v>49.17837</v>
      </c>
      <c r="W13" s="554">
        <f t="shared" si="0"/>
        <v>6.224279502060753</v>
      </c>
    </row>
    <row r="14" spans="1:23" ht="12.75" customHeight="1">
      <c r="A14" s="549"/>
      <c r="B14" s="548">
        <v>6</v>
      </c>
      <c r="C14" s="555"/>
      <c r="D14" s="668" t="s">
        <v>544</v>
      </c>
      <c r="E14" s="556" t="s">
        <v>180</v>
      </c>
      <c r="F14" s="557">
        <v>19.44433</v>
      </c>
      <c r="G14" s="557">
        <v>20.534275</v>
      </c>
      <c r="H14" s="557">
        <v>21.164324</v>
      </c>
      <c r="I14" s="557">
        <v>22.492001</v>
      </c>
      <c r="J14" s="557">
        <v>24.354275</v>
      </c>
      <c r="K14" s="557">
        <v>27.017407</v>
      </c>
      <c r="L14" s="557">
        <v>29.89531</v>
      </c>
      <c r="M14" s="557">
        <v>32.742866</v>
      </c>
      <c r="N14" s="557">
        <v>30.364331</v>
      </c>
      <c r="O14" s="557">
        <v>27.287597</v>
      </c>
      <c r="P14" s="557">
        <v>29.18091</v>
      </c>
      <c r="Q14" s="557">
        <v>34.314376</v>
      </c>
      <c r="R14" s="557">
        <v>35.071312</v>
      </c>
      <c r="S14" s="557">
        <v>35.176522</v>
      </c>
      <c r="T14" s="557">
        <v>37.41687</v>
      </c>
      <c r="U14" s="557">
        <v>39.424619</v>
      </c>
      <c r="V14" s="557">
        <v>43.74973</v>
      </c>
      <c r="W14" s="558">
        <f t="shared" si="0"/>
        <v>10.970584141853081</v>
      </c>
    </row>
    <row r="15" spans="1:23" ht="12.75" customHeight="1">
      <c r="A15" s="549"/>
      <c r="B15" s="548">
        <v>7</v>
      </c>
      <c r="C15" s="550"/>
      <c r="D15" s="667" t="s">
        <v>34</v>
      </c>
      <c r="E15" s="551" t="s">
        <v>177</v>
      </c>
      <c r="F15" s="553">
        <v>31.952048</v>
      </c>
      <c r="G15" s="553">
        <v>31.099141</v>
      </c>
      <c r="H15" s="553">
        <v>29.509921</v>
      </c>
      <c r="I15" s="553">
        <v>29.893186</v>
      </c>
      <c r="J15" s="553">
        <v>31.391697</v>
      </c>
      <c r="K15" s="553">
        <v>32.693092</v>
      </c>
      <c r="L15" s="553">
        <v>34.080137</v>
      </c>
      <c r="M15" s="553">
        <v>35.16553</v>
      </c>
      <c r="N15" s="553">
        <v>34.162014</v>
      </c>
      <c r="O15" s="553">
        <v>32.360408</v>
      </c>
      <c r="P15" s="553">
        <v>31.341366</v>
      </c>
      <c r="Q15" s="553">
        <v>33.638323</v>
      </c>
      <c r="R15" s="553">
        <v>34.213203</v>
      </c>
      <c r="S15" s="553">
        <v>35.427201</v>
      </c>
      <c r="T15" s="553">
        <v>38.089953</v>
      </c>
      <c r="U15" s="553">
        <v>40.256963</v>
      </c>
      <c r="V15" s="553">
        <v>43.14349</v>
      </c>
      <c r="W15" s="554">
        <f t="shared" si="0"/>
        <v>7.170255242552699</v>
      </c>
    </row>
    <row r="16" spans="1:23" ht="12.75" customHeight="1">
      <c r="A16" s="549"/>
      <c r="B16" s="548">
        <v>8</v>
      </c>
      <c r="C16" s="555"/>
      <c r="D16" s="668" t="s">
        <v>32</v>
      </c>
      <c r="E16" s="556" t="s">
        <v>179</v>
      </c>
      <c r="F16" s="557">
        <v>22.869447</v>
      </c>
      <c r="G16" s="557">
        <v>23.413776</v>
      </c>
      <c r="H16" s="557">
        <v>22.878901</v>
      </c>
      <c r="I16" s="557">
        <v>23.954687</v>
      </c>
      <c r="J16" s="557">
        <v>26.602776</v>
      </c>
      <c r="K16" s="557">
        <v>28.451022</v>
      </c>
      <c r="L16" s="557">
        <v>30.608976</v>
      </c>
      <c r="M16" s="557">
        <v>33.815514</v>
      </c>
      <c r="N16" s="557">
        <v>34.402131</v>
      </c>
      <c r="O16" s="557">
        <v>32.561196</v>
      </c>
      <c r="P16" s="557">
        <v>34.518696</v>
      </c>
      <c r="Q16" s="557">
        <v>37.593829</v>
      </c>
      <c r="R16" s="557">
        <v>38.187454</v>
      </c>
      <c r="S16" s="557">
        <v>38.517814</v>
      </c>
      <c r="T16" s="557">
        <v>39.571115</v>
      </c>
      <c r="U16" s="557">
        <v>40.860798</v>
      </c>
      <c r="V16" s="557">
        <v>42.159064</v>
      </c>
      <c r="W16" s="558">
        <f t="shared" si="0"/>
        <v>3.1772898806332535</v>
      </c>
    </row>
    <row r="17" spans="1:23" ht="12.75" customHeight="1">
      <c r="A17" s="549"/>
      <c r="B17" s="548">
        <v>9</v>
      </c>
      <c r="C17" s="550"/>
      <c r="D17" s="667" t="s">
        <v>33</v>
      </c>
      <c r="E17" s="551" t="s">
        <v>183</v>
      </c>
      <c r="F17" s="552">
        <v>25.94</v>
      </c>
      <c r="G17" s="553">
        <v>24.334436</v>
      </c>
      <c r="H17" s="553">
        <v>24.204778</v>
      </c>
      <c r="I17" s="553">
        <v>25.473178</v>
      </c>
      <c r="J17" s="553">
        <v>27.160143</v>
      </c>
      <c r="K17" s="553">
        <v>27.782293</v>
      </c>
      <c r="L17" s="553">
        <v>28.949569</v>
      </c>
      <c r="M17" s="553">
        <v>32.404476</v>
      </c>
      <c r="N17" s="553">
        <v>34.81493</v>
      </c>
      <c r="O17" s="553">
        <v>33.415559</v>
      </c>
      <c r="P17" s="553">
        <v>35.954489</v>
      </c>
      <c r="Q17" s="553">
        <v>37.404513</v>
      </c>
      <c r="R17" s="553">
        <v>36.741158</v>
      </c>
      <c r="S17" s="553">
        <v>35.938019</v>
      </c>
      <c r="T17" s="553">
        <v>38.244622</v>
      </c>
      <c r="U17" s="553">
        <v>40.231175</v>
      </c>
      <c r="V17" s="553">
        <v>41.569038</v>
      </c>
      <c r="W17" s="554">
        <f t="shared" si="0"/>
        <v>3.3254385436169827</v>
      </c>
    </row>
    <row r="18" spans="1:23" ht="12.75" customHeight="1">
      <c r="A18" s="549"/>
      <c r="B18" s="548">
        <v>10</v>
      </c>
      <c r="C18" s="555"/>
      <c r="D18" s="668" t="s">
        <v>39</v>
      </c>
      <c r="E18" s="556" t="s">
        <v>181</v>
      </c>
      <c r="F18" s="559">
        <v>23.83</v>
      </c>
      <c r="G18" s="557">
        <v>22.991242</v>
      </c>
      <c r="H18" s="557">
        <v>23.143632</v>
      </c>
      <c r="I18" s="557">
        <v>22.44882</v>
      </c>
      <c r="J18" s="557">
        <v>24.049424</v>
      </c>
      <c r="K18" s="557">
        <v>24.850326</v>
      </c>
      <c r="L18" s="557">
        <v>25.603532</v>
      </c>
      <c r="M18" s="557">
        <v>26.41552</v>
      </c>
      <c r="N18" s="557">
        <v>26.18766</v>
      </c>
      <c r="O18" s="557">
        <v>25.087342</v>
      </c>
      <c r="P18" s="557">
        <v>25.1571</v>
      </c>
      <c r="Q18" s="557">
        <v>27.099081</v>
      </c>
      <c r="R18" s="557">
        <v>27.188689</v>
      </c>
      <c r="S18" s="557">
        <v>28.248908</v>
      </c>
      <c r="T18" s="557">
        <v>28.842069</v>
      </c>
      <c r="U18" s="557">
        <v>29.663148</v>
      </c>
      <c r="V18" s="557">
        <v>31.237531</v>
      </c>
      <c r="W18" s="558">
        <f t="shared" si="0"/>
        <v>5.307538498611137</v>
      </c>
    </row>
    <row r="19" spans="1:23" ht="12.75" customHeight="1">
      <c r="A19" s="549"/>
      <c r="B19" s="548">
        <v>11</v>
      </c>
      <c r="C19" s="550"/>
      <c r="D19" s="667" t="s">
        <v>37</v>
      </c>
      <c r="E19" s="551" t="s">
        <v>174</v>
      </c>
      <c r="F19" s="552">
        <v>18.11</v>
      </c>
      <c r="G19" s="552">
        <v>18.03</v>
      </c>
      <c r="H19" s="552">
        <v>18.19</v>
      </c>
      <c r="I19" s="552">
        <v>17.68</v>
      </c>
      <c r="J19" s="553">
        <v>18.889473</v>
      </c>
      <c r="K19" s="553">
        <v>19.822281</v>
      </c>
      <c r="L19" s="553">
        <v>20.694179</v>
      </c>
      <c r="M19" s="553">
        <v>21.293465</v>
      </c>
      <c r="N19" s="553">
        <v>21.686846</v>
      </c>
      <c r="O19" s="553">
        <v>19.604529</v>
      </c>
      <c r="P19" s="553">
        <v>21.385918</v>
      </c>
      <c r="Q19" s="553">
        <v>22.606904</v>
      </c>
      <c r="R19" s="553">
        <v>23.221873</v>
      </c>
      <c r="S19" s="553">
        <v>23.970224</v>
      </c>
      <c r="T19" s="553">
        <v>25.531855</v>
      </c>
      <c r="U19" s="553">
        <v>26.512232</v>
      </c>
      <c r="V19" s="553">
        <v>28.946091</v>
      </c>
      <c r="W19" s="554">
        <f t="shared" si="0"/>
        <v>9.180136172616457</v>
      </c>
    </row>
    <row r="20" spans="1:23" ht="12.75" customHeight="1">
      <c r="A20" s="549"/>
      <c r="B20" s="548">
        <v>12</v>
      </c>
      <c r="C20" s="555"/>
      <c r="D20" s="668" t="s">
        <v>325</v>
      </c>
      <c r="E20" s="556" t="s">
        <v>182</v>
      </c>
      <c r="F20" s="559">
        <v>13.656344</v>
      </c>
      <c r="G20" s="557">
        <v>14.128835</v>
      </c>
      <c r="H20" s="557">
        <v>14.838698</v>
      </c>
      <c r="I20" s="559">
        <v>15.92</v>
      </c>
      <c r="J20" s="557">
        <v>17.032388</v>
      </c>
      <c r="K20" s="557">
        <v>18.325981</v>
      </c>
      <c r="L20" s="557">
        <v>21.062514</v>
      </c>
      <c r="M20" s="557">
        <v>23.204324</v>
      </c>
      <c r="N20" s="557">
        <v>23.379477</v>
      </c>
      <c r="O20" s="557">
        <v>20.469489</v>
      </c>
      <c r="P20" s="557">
        <v>18.408088</v>
      </c>
      <c r="Q20" s="557">
        <v>18.719711</v>
      </c>
      <c r="R20" s="557">
        <v>19.077659</v>
      </c>
      <c r="S20" s="557">
        <v>20.135844</v>
      </c>
      <c r="T20" s="557">
        <v>21.685743</v>
      </c>
      <c r="U20" s="557">
        <v>24.9243</v>
      </c>
      <c r="V20" s="557">
        <v>27.709122</v>
      </c>
      <c r="W20" s="558">
        <f t="shared" si="0"/>
        <v>11.173120207989797</v>
      </c>
    </row>
    <row r="21" spans="1:23" ht="12.75" customHeight="1">
      <c r="A21" s="549"/>
      <c r="B21" s="548">
        <v>13</v>
      </c>
      <c r="C21" s="550"/>
      <c r="D21" s="667" t="s">
        <v>391</v>
      </c>
      <c r="E21" s="551" t="s">
        <v>180</v>
      </c>
      <c r="F21" s="553">
        <v>19.254577</v>
      </c>
      <c r="G21" s="553">
        <v>19.115435</v>
      </c>
      <c r="H21" s="553">
        <v>17.758972</v>
      </c>
      <c r="I21" s="552">
        <v>19.114793</v>
      </c>
      <c r="J21" s="553">
        <v>20.362628</v>
      </c>
      <c r="K21" s="553">
        <v>21.215385</v>
      </c>
      <c r="L21" s="553">
        <v>22.396944</v>
      </c>
      <c r="M21" s="553">
        <v>23.166658</v>
      </c>
      <c r="N21" s="553">
        <v>22.806551</v>
      </c>
      <c r="O21" s="553">
        <v>21.173036</v>
      </c>
      <c r="P21" s="553">
        <v>21.079372</v>
      </c>
      <c r="Q21" s="553">
        <v>22.702799</v>
      </c>
      <c r="R21" s="553">
        <v>22.610292</v>
      </c>
      <c r="S21" s="553">
        <v>22.741201</v>
      </c>
      <c r="T21" s="553">
        <v>23.078303</v>
      </c>
      <c r="U21" s="553">
        <v>23.716665</v>
      </c>
      <c r="V21" s="553">
        <v>26.230221</v>
      </c>
      <c r="W21" s="554">
        <f t="shared" si="0"/>
        <v>10.598269191726573</v>
      </c>
    </row>
    <row r="22" spans="1:23" ht="12.75" customHeight="1">
      <c r="A22" s="549"/>
      <c r="B22" s="548">
        <v>14</v>
      </c>
      <c r="C22" s="555"/>
      <c r="D22" s="668" t="s">
        <v>41</v>
      </c>
      <c r="E22" s="556" t="s">
        <v>177</v>
      </c>
      <c r="F22" s="557">
        <v>18.31939</v>
      </c>
      <c r="G22" s="557">
        <v>19.068906</v>
      </c>
      <c r="H22" s="557">
        <v>18.605651</v>
      </c>
      <c r="I22" s="557">
        <v>19.519563</v>
      </c>
      <c r="J22" s="557">
        <v>20.970074</v>
      </c>
      <c r="K22" s="557">
        <v>22.083008</v>
      </c>
      <c r="L22" s="557">
        <v>22.123762</v>
      </c>
      <c r="M22" s="557">
        <v>21.891306</v>
      </c>
      <c r="N22" s="557">
        <v>21.062483</v>
      </c>
      <c r="O22" s="557">
        <v>18.630349</v>
      </c>
      <c r="P22" s="557">
        <v>17.662429</v>
      </c>
      <c r="Q22" s="557">
        <v>18.803819</v>
      </c>
      <c r="R22" s="557">
        <v>19.654321</v>
      </c>
      <c r="S22" s="557">
        <v>20.680467</v>
      </c>
      <c r="T22" s="557">
        <v>21.949937</v>
      </c>
      <c r="U22" s="557">
        <v>23.09279</v>
      </c>
      <c r="V22" s="557">
        <v>25.598457</v>
      </c>
      <c r="W22" s="558">
        <f t="shared" si="0"/>
        <v>10.850429939388007</v>
      </c>
    </row>
    <row r="23" spans="1:23" ht="12.75" customHeight="1">
      <c r="A23" s="549"/>
      <c r="B23" s="548">
        <v>15</v>
      </c>
      <c r="C23" s="550"/>
      <c r="D23" s="667" t="s">
        <v>42</v>
      </c>
      <c r="E23" s="551" t="s">
        <v>188</v>
      </c>
      <c r="F23" s="552">
        <v>18.61</v>
      </c>
      <c r="G23" s="552">
        <v>18.49</v>
      </c>
      <c r="H23" s="552">
        <v>16.64</v>
      </c>
      <c r="I23" s="552">
        <v>15.29</v>
      </c>
      <c r="J23" s="553">
        <v>16.245984</v>
      </c>
      <c r="K23" s="553">
        <v>17.158646</v>
      </c>
      <c r="L23" s="553">
        <v>17.539343</v>
      </c>
      <c r="M23" s="553">
        <v>17.904163</v>
      </c>
      <c r="N23" s="553">
        <v>18.126414</v>
      </c>
      <c r="O23" s="553">
        <v>16.058019</v>
      </c>
      <c r="P23" s="553">
        <v>16.956713</v>
      </c>
      <c r="Q23" s="553">
        <v>19.058651</v>
      </c>
      <c r="R23" s="553">
        <v>19.685933</v>
      </c>
      <c r="S23" s="553">
        <v>20.674548</v>
      </c>
      <c r="T23" s="553">
        <v>22.426966</v>
      </c>
      <c r="U23" s="553">
        <v>23.154928</v>
      </c>
      <c r="V23" s="553">
        <v>24.698246</v>
      </c>
      <c r="W23" s="554">
        <f t="shared" si="0"/>
        <v>6.665181597627949</v>
      </c>
    </row>
    <row r="24" spans="1:23" ht="12.75" customHeight="1">
      <c r="A24" s="549"/>
      <c r="B24" s="548">
        <v>16</v>
      </c>
      <c r="C24" s="555"/>
      <c r="D24" s="668" t="s">
        <v>44</v>
      </c>
      <c r="E24" s="556" t="s">
        <v>177</v>
      </c>
      <c r="F24" s="557">
        <v>11.855752</v>
      </c>
      <c r="G24" s="557">
        <v>13.654264</v>
      </c>
      <c r="H24" s="557">
        <v>16.044864</v>
      </c>
      <c r="I24" s="559">
        <v>18.714186</v>
      </c>
      <c r="J24" s="557">
        <v>20.908783</v>
      </c>
      <c r="K24" s="557">
        <v>21.993009</v>
      </c>
      <c r="L24" s="557">
        <v>23.679209</v>
      </c>
      <c r="M24" s="557">
        <v>23.759157</v>
      </c>
      <c r="N24" s="557">
        <v>22.338451</v>
      </c>
      <c r="O24" s="557">
        <v>19.949354</v>
      </c>
      <c r="P24" s="557">
        <v>18.562806</v>
      </c>
      <c r="Q24" s="557">
        <v>18.043407</v>
      </c>
      <c r="R24" s="557">
        <v>17.460567</v>
      </c>
      <c r="S24" s="557">
        <v>17.844342</v>
      </c>
      <c r="T24" s="557">
        <v>19.934057</v>
      </c>
      <c r="U24" s="557">
        <v>22.513677</v>
      </c>
      <c r="V24" s="557">
        <v>24.317014</v>
      </c>
      <c r="W24" s="558">
        <f t="shared" si="0"/>
        <v>8.009962122135803</v>
      </c>
    </row>
    <row r="25" spans="1:23" ht="12.75" customHeight="1">
      <c r="A25" s="547"/>
      <c r="B25" s="548">
        <v>17</v>
      </c>
      <c r="C25" s="550"/>
      <c r="D25" s="667" t="s">
        <v>40</v>
      </c>
      <c r="E25" s="551" t="s">
        <v>179</v>
      </c>
      <c r="F25" s="553">
        <v>15.911464</v>
      </c>
      <c r="G25" s="553">
        <v>15.294393</v>
      </c>
      <c r="H25" s="553">
        <v>14.589303</v>
      </c>
      <c r="I25" s="552">
        <v>14.125444</v>
      </c>
      <c r="J25" s="553">
        <v>15.093402</v>
      </c>
      <c r="K25" s="553">
        <v>15.392702</v>
      </c>
      <c r="L25" s="553">
        <v>16.510893</v>
      </c>
      <c r="M25" s="553">
        <v>17.782173</v>
      </c>
      <c r="N25" s="553">
        <v>18.104388</v>
      </c>
      <c r="O25" s="553">
        <v>17.726141</v>
      </c>
      <c r="P25" s="553">
        <v>18.909703</v>
      </c>
      <c r="Q25" s="553">
        <v>20.29897</v>
      </c>
      <c r="R25" s="553">
        <v>20.800064</v>
      </c>
      <c r="S25" s="553">
        <v>21.196361</v>
      </c>
      <c r="T25" s="553">
        <v>21.816954</v>
      </c>
      <c r="U25" s="553">
        <v>22.44817</v>
      </c>
      <c r="V25" s="553">
        <v>23.496699</v>
      </c>
      <c r="W25" s="554">
        <f t="shared" si="0"/>
        <v>4.670888540134882</v>
      </c>
    </row>
    <row r="26" spans="1:23" ht="12.75" customHeight="1">
      <c r="A26" s="549"/>
      <c r="B26" s="548">
        <v>18</v>
      </c>
      <c r="C26" s="555"/>
      <c r="D26" s="668" t="s">
        <v>36</v>
      </c>
      <c r="E26" s="556" t="s">
        <v>185</v>
      </c>
      <c r="F26" s="557">
        <v>11.924514</v>
      </c>
      <c r="G26" s="557">
        <v>11.836404</v>
      </c>
      <c r="H26" s="557">
        <v>11.911741</v>
      </c>
      <c r="I26" s="557">
        <v>12.709261</v>
      </c>
      <c r="J26" s="557">
        <v>14.711031</v>
      </c>
      <c r="K26" s="557">
        <v>15.803035</v>
      </c>
      <c r="L26" s="557">
        <v>16.808336</v>
      </c>
      <c r="M26" s="557">
        <v>18.718682</v>
      </c>
      <c r="N26" s="557">
        <v>19.686917</v>
      </c>
      <c r="O26" s="557">
        <v>18.045072</v>
      </c>
      <c r="P26" s="557">
        <v>19.617397</v>
      </c>
      <c r="Q26" s="557">
        <v>21.106426</v>
      </c>
      <c r="R26" s="557">
        <v>22.198429</v>
      </c>
      <c r="S26" s="557">
        <v>22.041898</v>
      </c>
      <c r="T26" s="557">
        <v>22.473567</v>
      </c>
      <c r="U26" s="557">
        <v>22.739889</v>
      </c>
      <c r="V26" s="557">
        <v>23.318323</v>
      </c>
      <c r="W26" s="558">
        <f t="shared" si="0"/>
        <v>2.5436975527892685</v>
      </c>
    </row>
    <row r="27" spans="1:23" ht="12.75" customHeight="1">
      <c r="A27" s="549"/>
      <c r="B27" s="548">
        <v>19</v>
      </c>
      <c r="C27" s="550"/>
      <c r="D27" s="667" t="s">
        <v>158</v>
      </c>
      <c r="E27" s="551" t="s">
        <v>186</v>
      </c>
      <c r="F27" s="552">
        <v>9.213145</v>
      </c>
      <c r="G27" s="553">
        <v>9.211954</v>
      </c>
      <c r="H27" s="553">
        <v>9.270226</v>
      </c>
      <c r="I27" s="553">
        <v>9.50192</v>
      </c>
      <c r="J27" s="553">
        <v>10.39365</v>
      </c>
      <c r="K27" s="553">
        <v>11.236476</v>
      </c>
      <c r="L27" s="553">
        <v>12.280563</v>
      </c>
      <c r="M27" s="553">
        <v>13.393182</v>
      </c>
      <c r="N27" s="553">
        <v>13.603616</v>
      </c>
      <c r="O27" s="553">
        <v>13.265268</v>
      </c>
      <c r="P27" s="553">
        <v>14.049808</v>
      </c>
      <c r="Q27" s="553">
        <v>14.806537</v>
      </c>
      <c r="R27" s="553">
        <v>15.3148</v>
      </c>
      <c r="S27" s="553">
        <v>16.02551</v>
      </c>
      <c r="T27" s="553">
        <v>18.158588</v>
      </c>
      <c r="U27" s="553">
        <v>20.110804</v>
      </c>
      <c r="V27" s="553">
        <v>22.462599</v>
      </c>
      <c r="W27" s="554">
        <f t="shared" si="0"/>
        <v>11.694186865925403</v>
      </c>
    </row>
    <row r="28" spans="1:23" ht="12.75" customHeight="1">
      <c r="A28" s="549"/>
      <c r="B28" s="548">
        <v>20</v>
      </c>
      <c r="C28" s="555"/>
      <c r="D28" s="668" t="s">
        <v>38</v>
      </c>
      <c r="E28" s="556" t="s">
        <v>178</v>
      </c>
      <c r="F28" s="557">
        <v>21.596747</v>
      </c>
      <c r="G28" s="559">
        <v>19.79</v>
      </c>
      <c r="H28" s="557">
        <v>13.558962</v>
      </c>
      <c r="I28" s="557">
        <v>15.095879</v>
      </c>
      <c r="J28" s="557">
        <v>15.445213</v>
      </c>
      <c r="K28" s="557">
        <v>15.950857</v>
      </c>
      <c r="L28" s="557">
        <v>16.592519</v>
      </c>
      <c r="M28" s="557">
        <v>17.744943</v>
      </c>
      <c r="N28" s="557">
        <v>18.36854</v>
      </c>
      <c r="O28" s="557">
        <v>16.78514</v>
      </c>
      <c r="P28" s="557">
        <v>16.980274</v>
      </c>
      <c r="Q28" s="557">
        <v>18.613386</v>
      </c>
      <c r="R28" s="557">
        <v>18.815368</v>
      </c>
      <c r="S28" s="557">
        <v>18.984862</v>
      </c>
      <c r="T28" s="557">
        <v>21.753659</v>
      </c>
      <c r="U28" s="557">
        <v>23.269441</v>
      </c>
      <c r="V28" s="557">
        <v>21.769271</v>
      </c>
      <c r="W28" s="558">
        <f t="shared" si="0"/>
        <v>-6.446953323889488</v>
      </c>
    </row>
    <row r="29" spans="1:23" ht="12.75" customHeight="1">
      <c r="A29" s="549"/>
      <c r="B29" s="548">
        <v>21</v>
      </c>
      <c r="C29" s="550"/>
      <c r="D29" s="667" t="s">
        <v>47</v>
      </c>
      <c r="E29" s="551" t="s">
        <v>179</v>
      </c>
      <c r="F29" s="553">
        <v>10.238</v>
      </c>
      <c r="G29" s="553">
        <v>9.834492</v>
      </c>
      <c r="H29" s="553">
        <v>9.799542</v>
      </c>
      <c r="I29" s="553">
        <v>11.02695</v>
      </c>
      <c r="J29" s="553">
        <v>10.975886</v>
      </c>
      <c r="K29" s="553">
        <v>11.474687</v>
      </c>
      <c r="L29" s="553">
        <v>11.768513</v>
      </c>
      <c r="M29" s="553">
        <v>13.331182</v>
      </c>
      <c r="N29" s="553">
        <v>14.454014</v>
      </c>
      <c r="O29" s="553">
        <v>14.133482</v>
      </c>
      <c r="P29" s="553">
        <v>14.966099</v>
      </c>
      <c r="Q29" s="553">
        <v>16.892424</v>
      </c>
      <c r="R29" s="553">
        <v>18.148767</v>
      </c>
      <c r="S29" s="553">
        <v>19.576465</v>
      </c>
      <c r="T29" s="553">
        <v>20.669295</v>
      </c>
      <c r="U29" s="553">
        <v>20.994936</v>
      </c>
      <c r="V29" s="553">
        <v>21.244571</v>
      </c>
      <c r="W29" s="554">
        <f t="shared" si="0"/>
        <v>1.1890248200804336</v>
      </c>
    </row>
    <row r="30" spans="1:23" ht="12.75" customHeight="1">
      <c r="A30" s="549"/>
      <c r="B30" s="548">
        <v>22</v>
      </c>
      <c r="C30" s="555"/>
      <c r="D30" s="668" t="s">
        <v>43</v>
      </c>
      <c r="E30" s="556" t="s">
        <v>175</v>
      </c>
      <c r="F30" s="559">
        <v>13.345671</v>
      </c>
      <c r="G30" s="559">
        <v>12.7</v>
      </c>
      <c r="H30" s="559">
        <v>11.83</v>
      </c>
      <c r="I30" s="559">
        <v>12.226719</v>
      </c>
      <c r="J30" s="557">
        <v>13.658899</v>
      </c>
      <c r="K30" s="557">
        <v>14.270558</v>
      </c>
      <c r="L30" s="557">
        <v>15.073202</v>
      </c>
      <c r="M30" s="557">
        <v>16.632798</v>
      </c>
      <c r="N30" s="557">
        <v>16.449399</v>
      </c>
      <c r="O30" s="557">
        <v>16.211283</v>
      </c>
      <c r="P30" s="557">
        <v>15.387982</v>
      </c>
      <c r="Q30" s="557">
        <v>14.422831</v>
      </c>
      <c r="R30" s="557">
        <v>12.926582</v>
      </c>
      <c r="S30" s="557">
        <v>12.518728</v>
      </c>
      <c r="T30" s="557">
        <v>15.19009</v>
      </c>
      <c r="U30" s="557">
        <v>18.089565</v>
      </c>
      <c r="V30" s="557">
        <v>20.008914</v>
      </c>
      <c r="W30" s="558">
        <f t="shared" si="0"/>
        <v>10.610255138805158</v>
      </c>
    </row>
    <row r="31" spans="1:23" ht="12.75" customHeight="1">
      <c r="A31" s="549"/>
      <c r="B31" s="548">
        <v>23</v>
      </c>
      <c r="C31" s="550"/>
      <c r="D31" s="667" t="s">
        <v>35</v>
      </c>
      <c r="E31" s="551" t="s">
        <v>183</v>
      </c>
      <c r="F31" s="552">
        <v>20.55</v>
      </c>
      <c r="G31" s="553">
        <v>18.457115</v>
      </c>
      <c r="H31" s="553">
        <v>17.33008</v>
      </c>
      <c r="I31" s="553">
        <v>17.483347</v>
      </c>
      <c r="J31" s="553">
        <v>18.418892</v>
      </c>
      <c r="K31" s="553">
        <v>19.485333</v>
      </c>
      <c r="L31" s="553">
        <v>21.619524</v>
      </c>
      <c r="M31" s="553">
        <v>23.631886</v>
      </c>
      <c r="N31" s="553">
        <v>19.012379</v>
      </c>
      <c r="O31" s="553">
        <v>17.348392</v>
      </c>
      <c r="P31" s="553">
        <v>18.712894</v>
      </c>
      <c r="Q31" s="553">
        <v>19.087098</v>
      </c>
      <c r="R31" s="553">
        <v>18.329205</v>
      </c>
      <c r="S31" s="553">
        <v>17.781144</v>
      </c>
      <c r="T31" s="553">
        <v>18.662723</v>
      </c>
      <c r="U31" s="553">
        <v>18.444836</v>
      </c>
      <c r="V31" s="553">
        <v>19.311565</v>
      </c>
      <c r="W31" s="554">
        <f t="shared" si="0"/>
        <v>4.6990333771468755</v>
      </c>
    </row>
    <row r="32" spans="1:23" ht="12.75" customHeight="1">
      <c r="A32" s="549"/>
      <c r="B32" s="548">
        <v>24</v>
      </c>
      <c r="C32" s="555"/>
      <c r="D32" s="668" t="s">
        <v>45</v>
      </c>
      <c r="E32" s="556" t="s">
        <v>187</v>
      </c>
      <c r="F32" s="557">
        <v>10.003007</v>
      </c>
      <c r="G32" s="557">
        <v>10.024666</v>
      </c>
      <c r="H32" s="557">
        <v>9.605711</v>
      </c>
      <c r="I32" s="557">
        <v>9.707275</v>
      </c>
      <c r="J32" s="557">
        <v>10.729377</v>
      </c>
      <c r="K32" s="557">
        <v>11.128731</v>
      </c>
      <c r="L32" s="557">
        <v>12.142226</v>
      </c>
      <c r="M32" s="557">
        <v>13.145027</v>
      </c>
      <c r="N32" s="557">
        <v>13.434694</v>
      </c>
      <c r="O32" s="557">
        <v>12.601887</v>
      </c>
      <c r="P32" s="557">
        <v>12.860904</v>
      </c>
      <c r="Q32" s="557">
        <v>14.871299</v>
      </c>
      <c r="R32" s="557">
        <v>14.850815</v>
      </c>
      <c r="S32" s="557">
        <v>15.271303</v>
      </c>
      <c r="T32" s="557">
        <v>15.944624</v>
      </c>
      <c r="U32" s="557">
        <v>16.417809</v>
      </c>
      <c r="V32" s="557">
        <v>17.180936</v>
      </c>
      <c r="W32" s="558">
        <f t="shared" si="0"/>
        <v>4.648165903257876</v>
      </c>
    </row>
    <row r="33" spans="1:23" ht="12.75" customHeight="1">
      <c r="A33" s="549"/>
      <c r="B33" s="548">
        <v>25</v>
      </c>
      <c r="C33" s="550"/>
      <c r="D33" s="667" t="s">
        <v>51</v>
      </c>
      <c r="E33" s="551" t="s">
        <v>180</v>
      </c>
      <c r="F33" s="553">
        <v>8.260515</v>
      </c>
      <c r="G33" s="553">
        <v>9.807248</v>
      </c>
      <c r="H33" s="553">
        <v>10.300188</v>
      </c>
      <c r="I33" s="553">
        <v>11.409942</v>
      </c>
      <c r="J33" s="553">
        <v>11.92964</v>
      </c>
      <c r="K33" s="553">
        <v>12.606623</v>
      </c>
      <c r="L33" s="553">
        <v>13.035622</v>
      </c>
      <c r="M33" s="553">
        <v>13.56862</v>
      </c>
      <c r="N33" s="553">
        <v>12.753604</v>
      </c>
      <c r="O33" s="553">
        <v>11.600675</v>
      </c>
      <c r="P33" s="553">
        <v>12.022663</v>
      </c>
      <c r="Q33" s="553">
        <v>12.759548</v>
      </c>
      <c r="R33" s="553">
        <v>12.522551</v>
      </c>
      <c r="S33" s="553">
        <v>12.871054</v>
      </c>
      <c r="T33" s="553">
        <v>13.697196</v>
      </c>
      <c r="U33" s="553">
        <v>14.360396</v>
      </c>
      <c r="V33" s="553">
        <v>16.619546</v>
      </c>
      <c r="W33" s="554">
        <f t="shared" si="0"/>
        <v>15.731808510016009</v>
      </c>
    </row>
    <row r="34" spans="1:23" ht="12.75" customHeight="1">
      <c r="A34" s="549"/>
      <c r="B34" s="548">
        <v>26</v>
      </c>
      <c r="C34" s="555"/>
      <c r="D34" s="668" t="s">
        <v>327</v>
      </c>
      <c r="E34" s="556" t="s">
        <v>179</v>
      </c>
      <c r="F34" s="557">
        <v>9.824979</v>
      </c>
      <c r="G34" s="557">
        <v>9.37111</v>
      </c>
      <c r="H34" s="557">
        <v>8.78972</v>
      </c>
      <c r="I34" s="557">
        <v>9.365984</v>
      </c>
      <c r="J34" s="557">
        <v>9.764527</v>
      </c>
      <c r="K34" s="557">
        <v>10.574554</v>
      </c>
      <c r="L34" s="557">
        <v>11.874542</v>
      </c>
      <c r="M34" s="557">
        <v>12.690114</v>
      </c>
      <c r="N34" s="557">
        <v>12.782352</v>
      </c>
      <c r="O34" s="557">
        <v>12.178559</v>
      </c>
      <c r="P34" s="557">
        <v>12.88417</v>
      </c>
      <c r="Q34" s="557">
        <v>13.528395</v>
      </c>
      <c r="R34" s="557">
        <v>13.675318</v>
      </c>
      <c r="S34" s="557">
        <v>13.482676</v>
      </c>
      <c r="T34" s="557">
        <v>14.739057</v>
      </c>
      <c r="U34" s="557">
        <v>15.581451</v>
      </c>
      <c r="V34" s="557">
        <v>16.190625</v>
      </c>
      <c r="W34" s="558">
        <f t="shared" si="0"/>
        <v>3.9096102153772563</v>
      </c>
    </row>
    <row r="35" spans="1:23" ht="12.75" customHeight="1">
      <c r="A35" s="549"/>
      <c r="B35" s="548">
        <v>27</v>
      </c>
      <c r="C35" s="550"/>
      <c r="D35" s="667" t="s">
        <v>62</v>
      </c>
      <c r="E35" s="551" t="s">
        <v>177</v>
      </c>
      <c r="F35" s="552">
        <v>6.163901</v>
      </c>
      <c r="G35" s="553">
        <v>6.538203</v>
      </c>
      <c r="H35" s="553">
        <v>6.473565</v>
      </c>
      <c r="I35" s="553">
        <v>6.78564</v>
      </c>
      <c r="J35" s="553">
        <v>7.520464</v>
      </c>
      <c r="K35" s="553">
        <v>9.13469</v>
      </c>
      <c r="L35" s="553">
        <v>9.41482</v>
      </c>
      <c r="M35" s="553">
        <v>9.919361</v>
      </c>
      <c r="N35" s="553">
        <v>10.173902</v>
      </c>
      <c r="O35" s="553">
        <v>9.115138</v>
      </c>
      <c r="P35" s="553">
        <v>8.73308</v>
      </c>
      <c r="Q35" s="553">
        <v>9.509911</v>
      </c>
      <c r="R35" s="553">
        <v>9.613912</v>
      </c>
      <c r="S35" s="553">
        <v>9.69336</v>
      </c>
      <c r="T35" s="553">
        <v>10.481554</v>
      </c>
      <c r="U35" s="553">
        <v>12.26276</v>
      </c>
      <c r="V35" s="553">
        <v>14.642282</v>
      </c>
      <c r="W35" s="554">
        <f t="shared" si="0"/>
        <v>19.40445707165435</v>
      </c>
    </row>
    <row r="36" spans="1:23" ht="12.75" customHeight="1">
      <c r="A36" s="549"/>
      <c r="B36" s="548">
        <v>28</v>
      </c>
      <c r="C36" s="555"/>
      <c r="D36" s="668" t="s">
        <v>46</v>
      </c>
      <c r="E36" s="556" t="s">
        <v>163</v>
      </c>
      <c r="F36" s="557">
        <v>5.55</v>
      </c>
      <c r="G36" s="557">
        <v>6.08</v>
      </c>
      <c r="H36" s="557">
        <v>6.290946</v>
      </c>
      <c r="I36" s="559">
        <v>7.431729</v>
      </c>
      <c r="J36" s="557">
        <v>9.573385</v>
      </c>
      <c r="K36" s="557">
        <v>10.721313</v>
      </c>
      <c r="L36" s="557">
        <v>11.513003</v>
      </c>
      <c r="M36" s="557">
        <v>12.359044</v>
      </c>
      <c r="N36" s="557">
        <v>12.586897</v>
      </c>
      <c r="O36" s="557">
        <v>11.601652</v>
      </c>
      <c r="P36" s="557">
        <v>11.514436</v>
      </c>
      <c r="Q36" s="557">
        <v>11.724179</v>
      </c>
      <c r="R36" s="557">
        <v>10.774119</v>
      </c>
      <c r="S36" s="557">
        <v>10.950045</v>
      </c>
      <c r="T36" s="557">
        <v>11.129966</v>
      </c>
      <c r="U36" s="557">
        <v>11.867665</v>
      </c>
      <c r="V36" s="557">
        <v>12.989556</v>
      </c>
      <c r="W36" s="558">
        <f t="shared" si="0"/>
        <v>9.453342338193721</v>
      </c>
    </row>
    <row r="37" spans="1:23" ht="12.75" customHeight="1">
      <c r="A37" s="549"/>
      <c r="B37" s="548">
        <v>29</v>
      </c>
      <c r="C37" s="550"/>
      <c r="D37" s="667" t="s">
        <v>545</v>
      </c>
      <c r="E37" s="551" t="s">
        <v>169</v>
      </c>
      <c r="F37" s="552">
        <v>4.33</v>
      </c>
      <c r="G37" s="552">
        <v>4.71</v>
      </c>
      <c r="H37" s="552">
        <v>4.94</v>
      </c>
      <c r="I37" s="552">
        <v>5.17</v>
      </c>
      <c r="J37" s="553">
        <v>6.091886</v>
      </c>
      <c r="K37" s="553">
        <v>7.080325</v>
      </c>
      <c r="L37" s="553">
        <v>8.116876</v>
      </c>
      <c r="M37" s="553">
        <v>9.228796</v>
      </c>
      <c r="N37" s="553">
        <v>9.482609</v>
      </c>
      <c r="O37" s="553">
        <v>8.333376</v>
      </c>
      <c r="P37" s="553">
        <v>8.727842</v>
      </c>
      <c r="Q37" s="553">
        <v>9.352979</v>
      </c>
      <c r="R37" s="553">
        <v>9.605537</v>
      </c>
      <c r="S37" s="553">
        <v>10.695554</v>
      </c>
      <c r="T37" s="553">
        <v>10.601678</v>
      </c>
      <c r="U37" s="553">
        <v>11.218336</v>
      </c>
      <c r="V37" s="553">
        <v>12.848328</v>
      </c>
      <c r="W37" s="554">
        <f t="shared" si="0"/>
        <v>14.529712784498528</v>
      </c>
    </row>
    <row r="38" spans="1:23" ht="12.75" customHeight="1">
      <c r="A38" s="549"/>
      <c r="B38" s="548">
        <v>30</v>
      </c>
      <c r="C38" s="555"/>
      <c r="D38" s="668" t="s">
        <v>392</v>
      </c>
      <c r="E38" s="556" t="s">
        <v>181</v>
      </c>
      <c r="F38" s="557">
        <v>9.334942</v>
      </c>
      <c r="G38" s="557">
        <v>8.949351</v>
      </c>
      <c r="H38" s="557">
        <v>9.183176</v>
      </c>
      <c r="I38" s="557">
        <v>9.124014</v>
      </c>
      <c r="J38" s="557">
        <v>9.326911</v>
      </c>
      <c r="K38" s="557">
        <v>9.740738</v>
      </c>
      <c r="L38" s="557">
        <v>9.926252</v>
      </c>
      <c r="M38" s="557">
        <v>10.381225</v>
      </c>
      <c r="N38" s="557">
        <v>10.364736</v>
      </c>
      <c r="O38" s="557">
        <v>9.813088</v>
      </c>
      <c r="P38" s="557">
        <v>9.587076</v>
      </c>
      <c r="Q38" s="557">
        <v>10.404775</v>
      </c>
      <c r="R38" s="557">
        <v>11.17743</v>
      </c>
      <c r="S38" s="557">
        <v>11.539859</v>
      </c>
      <c r="T38" s="557">
        <v>11.655418</v>
      </c>
      <c r="U38" s="557">
        <v>12.0123</v>
      </c>
      <c r="V38" s="557">
        <v>12.422278</v>
      </c>
      <c r="W38" s="558">
        <f t="shared" si="0"/>
        <v>3.412985023684058</v>
      </c>
    </row>
    <row r="39" spans="1:23" ht="12.75" customHeight="1">
      <c r="A39" s="549"/>
      <c r="B39" s="548">
        <v>31</v>
      </c>
      <c r="C39" s="550"/>
      <c r="D39" s="667" t="s">
        <v>52</v>
      </c>
      <c r="E39" s="551" t="s">
        <v>177</v>
      </c>
      <c r="F39" s="553">
        <v>5.367078</v>
      </c>
      <c r="G39" s="553">
        <v>6.034975</v>
      </c>
      <c r="H39" s="553">
        <v>6.911906</v>
      </c>
      <c r="I39" s="553">
        <v>7.476345</v>
      </c>
      <c r="J39" s="553">
        <v>7.99246</v>
      </c>
      <c r="K39" s="553">
        <v>8.448606</v>
      </c>
      <c r="L39" s="553">
        <v>8.606639</v>
      </c>
      <c r="M39" s="553">
        <v>9.036809</v>
      </c>
      <c r="N39" s="553">
        <v>8.99106</v>
      </c>
      <c r="O39" s="553">
        <v>9.041864</v>
      </c>
      <c r="P39" s="553">
        <v>8.593666</v>
      </c>
      <c r="Q39" s="553">
        <v>9.383242</v>
      </c>
      <c r="R39" s="553">
        <v>9.19384</v>
      </c>
      <c r="S39" s="553">
        <v>9.774636</v>
      </c>
      <c r="T39" s="553">
        <v>10.159028</v>
      </c>
      <c r="U39" s="553">
        <v>11.113404</v>
      </c>
      <c r="V39" s="553">
        <v>12.347826</v>
      </c>
      <c r="W39" s="554">
        <f t="shared" si="0"/>
        <v>11.107505855091745</v>
      </c>
    </row>
    <row r="40" spans="1:23" ht="12.75" customHeight="1">
      <c r="A40" s="549"/>
      <c r="B40" s="548">
        <v>32</v>
      </c>
      <c r="C40" s="555"/>
      <c r="D40" s="668" t="s">
        <v>284</v>
      </c>
      <c r="E40" s="556" t="s">
        <v>180</v>
      </c>
      <c r="F40" s="557">
        <v>5.285722</v>
      </c>
      <c r="G40" s="557">
        <v>6.505468</v>
      </c>
      <c r="H40" s="557">
        <v>6.971884</v>
      </c>
      <c r="I40" s="557">
        <v>8.156658</v>
      </c>
      <c r="J40" s="557">
        <v>8.532054</v>
      </c>
      <c r="K40" s="557">
        <v>8.931295</v>
      </c>
      <c r="L40" s="557">
        <v>8.860913</v>
      </c>
      <c r="M40" s="557">
        <v>9.085224</v>
      </c>
      <c r="N40" s="557">
        <v>9.556116</v>
      </c>
      <c r="O40" s="557">
        <v>9.108579</v>
      </c>
      <c r="P40" s="557">
        <v>9.367983</v>
      </c>
      <c r="Q40" s="557">
        <v>9.892302</v>
      </c>
      <c r="R40" s="557">
        <v>8.836239</v>
      </c>
      <c r="S40" s="557">
        <v>9.619977</v>
      </c>
      <c r="T40" s="557">
        <v>10.053021</v>
      </c>
      <c r="U40" s="557">
        <v>10.561246</v>
      </c>
      <c r="V40" s="557">
        <v>12.308944</v>
      </c>
      <c r="W40" s="558">
        <f t="shared" si="0"/>
        <v>16.548217890199695</v>
      </c>
    </row>
    <row r="41" spans="1:23" ht="12.75" customHeight="1">
      <c r="A41" s="547"/>
      <c r="B41" s="548">
        <v>33</v>
      </c>
      <c r="C41" s="550"/>
      <c r="D41" s="667" t="s">
        <v>56</v>
      </c>
      <c r="E41" s="551" t="s">
        <v>180</v>
      </c>
      <c r="F41" s="553">
        <v>7.664348</v>
      </c>
      <c r="G41" s="553">
        <v>9.084922</v>
      </c>
      <c r="H41" s="553">
        <v>8.772424</v>
      </c>
      <c r="I41" s="552">
        <v>8.937898</v>
      </c>
      <c r="J41" s="553">
        <v>9.218034</v>
      </c>
      <c r="K41" s="553">
        <v>9.685173</v>
      </c>
      <c r="L41" s="553">
        <v>9.967227</v>
      </c>
      <c r="M41" s="553">
        <v>10.042597</v>
      </c>
      <c r="N41" s="553">
        <v>9.978939</v>
      </c>
      <c r="O41" s="553">
        <v>8.926686</v>
      </c>
      <c r="P41" s="553">
        <v>9.280888</v>
      </c>
      <c r="Q41" s="553">
        <v>10.339466</v>
      </c>
      <c r="R41" s="553">
        <v>9.660772</v>
      </c>
      <c r="S41" s="553">
        <v>9.535454</v>
      </c>
      <c r="T41" s="553">
        <v>10.114582</v>
      </c>
      <c r="U41" s="553">
        <v>10.443929</v>
      </c>
      <c r="V41" s="553">
        <v>11.907462</v>
      </c>
      <c r="W41" s="554">
        <f t="shared" si="0"/>
        <v>14.013241568379115</v>
      </c>
    </row>
    <row r="42" spans="1:23" ht="12.75" customHeight="1">
      <c r="A42" s="549"/>
      <c r="B42" s="548">
        <v>34</v>
      </c>
      <c r="C42" s="555"/>
      <c r="D42" s="668" t="s">
        <v>71</v>
      </c>
      <c r="E42" s="556" t="s">
        <v>179</v>
      </c>
      <c r="F42" s="557">
        <v>6.192399</v>
      </c>
      <c r="G42" s="557">
        <v>5.631061</v>
      </c>
      <c r="H42" s="557">
        <v>5.29097</v>
      </c>
      <c r="I42" s="559">
        <v>7.675418</v>
      </c>
      <c r="J42" s="557">
        <v>8.251945</v>
      </c>
      <c r="K42" s="557">
        <v>9.387356</v>
      </c>
      <c r="L42" s="557">
        <v>9.812815</v>
      </c>
      <c r="M42" s="557">
        <v>10.404466</v>
      </c>
      <c r="N42" s="557">
        <v>10.297756</v>
      </c>
      <c r="O42" s="557">
        <v>9.696594</v>
      </c>
      <c r="P42" s="557">
        <v>9.787419</v>
      </c>
      <c r="Q42" s="557">
        <v>9.599976</v>
      </c>
      <c r="R42" s="557">
        <v>9.257742</v>
      </c>
      <c r="S42" s="557">
        <v>9.051312</v>
      </c>
      <c r="T42" s="557">
        <v>9.417623</v>
      </c>
      <c r="U42" s="557">
        <v>10.313149</v>
      </c>
      <c r="V42" s="557">
        <v>11.878984</v>
      </c>
      <c r="W42" s="558">
        <f t="shared" si="0"/>
        <v>15.182899035008617</v>
      </c>
    </row>
    <row r="43" spans="1:23" ht="12.75" customHeight="1">
      <c r="A43" s="549"/>
      <c r="B43" s="548">
        <v>35</v>
      </c>
      <c r="C43" s="550"/>
      <c r="D43" s="667" t="s">
        <v>54</v>
      </c>
      <c r="E43" s="551" t="s">
        <v>177</v>
      </c>
      <c r="F43" s="552">
        <v>7.488917</v>
      </c>
      <c r="G43" s="553">
        <v>7.706373</v>
      </c>
      <c r="H43" s="553">
        <v>7.917886</v>
      </c>
      <c r="I43" s="553">
        <v>8.923614</v>
      </c>
      <c r="J43" s="553">
        <v>8.796713</v>
      </c>
      <c r="K43" s="553">
        <v>9.311403</v>
      </c>
      <c r="L43" s="553">
        <v>9.055954</v>
      </c>
      <c r="M43" s="553">
        <v>9.133991</v>
      </c>
      <c r="N43" s="553">
        <v>9.576194</v>
      </c>
      <c r="O43" s="553">
        <v>9.091791</v>
      </c>
      <c r="P43" s="553">
        <v>8.562586</v>
      </c>
      <c r="Q43" s="553">
        <v>8.606497</v>
      </c>
      <c r="R43" s="553">
        <v>8.916094</v>
      </c>
      <c r="S43" s="553">
        <v>9.114226</v>
      </c>
      <c r="T43" s="553">
        <v>9.691074</v>
      </c>
      <c r="U43" s="553">
        <v>10.180105</v>
      </c>
      <c r="V43" s="553">
        <v>11.639399</v>
      </c>
      <c r="W43" s="554">
        <f t="shared" si="0"/>
        <v>14.334763737702104</v>
      </c>
    </row>
    <row r="44" spans="1:23" ht="12.75" customHeight="1">
      <c r="A44" s="549"/>
      <c r="B44" s="548">
        <v>36</v>
      </c>
      <c r="C44" s="555"/>
      <c r="D44" s="668" t="s">
        <v>69</v>
      </c>
      <c r="E44" s="556" t="s">
        <v>179</v>
      </c>
      <c r="F44" s="644">
        <v>2.090644</v>
      </c>
      <c r="G44" s="644">
        <v>1.78212</v>
      </c>
      <c r="H44" s="644">
        <v>1.579812</v>
      </c>
      <c r="I44" s="644">
        <v>1.648393</v>
      </c>
      <c r="J44" s="644">
        <v>3.294082</v>
      </c>
      <c r="K44" s="644">
        <v>5.002998</v>
      </c>
      <c r="L44" s="644">
        <v>6.013186</v>
      </c>
      <c r="M44" s="644">
        <v>6.306353</v>
      </c>
      <c r="N44" s="644">
        <v>6.615751</v>
      </c>
      <c r="O44" s="644">
        <v>6.767703</v>
      </c>
      <c r="P44" s="644">
        <v>7.254898</v>
      </c>
      <c r="Q44" s="644">
        <v>7.098842</v>
      </c>
      <c r="R44" s="557">
        <v>7.082928</v>
      </c>
      <c r="S44" s="557">
        <v>6.713723</v>
      </c>
      <c r="T44" s="557">
        <v>7.273504</v>
      </c>
      <c r="U44" s="557">
        <v>8.508934</v>
      </c>
      <c r="V44" s="557">
        <v>11.625476</v>
      </c>
      <c r="W44" s="558">
        <f t="shared" si="0"/>
        <v>36.62670318044542</v>
      </c>
    </row>
    <row r="45" spans="1:23" ht="12.75" customHeight="1">
      <c r="A45" s="549"/>
      <c r="B45" s="548">
        <v>37</v>
      </c>
      <c r="C45" s="550"/>
      <c r="D45" s="667" t="s">
        <v>53</v>
      </c>
      <c r="E45" s="551" t="s">
        <v>165</v>
      </c>
      <c r="F45" s="552">
        <v>4.68</v>
      </c>
      <c r="G45" s="552">
        <v>4.58</v>
      </c>
      <c r="H45" s="553">
        <v>4.468821</v>
      </c>
      <c r="I45" s="553">
        <v>5.010397</v>
      </c>
      <c r="J45" s="553">
        <v>6.380372</v>
      </c>
      <c r="K45" s="553">
        <v>7.918083</v>
      </c>
      <c r="L45" s="553">
        <v>8.24592</v>
      </c>
      <c r="M45" s="553">
        <v>8.580261</v>
      </c>
      <c r="N45" s="553">
        <v>8.429082</v>
      </c>
      <c r="O45" s="553">
        <v>8.081067000000001</v>
      </c>
      <c r="P45" s="553">
        <v>8.17451</v>
      </c>
      <c r="Q45" s="553">
        <v>8.884837</v>
      </c>
      <c r="R45" s="553">
        <v>8.429843</v>
      </c>
      <c r="S45" s="553">
        <v>8.441319</v>
      </c>
      <c r="T45" s="553">
        <v>9.054848</v>
      </c>
      <c r="U45" s="553">
        <v>10.228352</v>
      </c>
      <c r="V45" s="553">
        <v>11.37541</v>
      </c>
      <c r="W45" s="554">
        <f t="shared" si="0"/>
        <v>11.214494769049807</v>
      </c>
    </row>
    <row r="46" spans="1:23" ht="12.75" customHeight="1">
      <c r="A46" s="549"/>
      <c r="B46" s="548">
        <v>38</v>
      </c>
      <c r="C46" s="555"/>
      <c r="D46" s="668" t="s">
        <v>393</v>
      </c>
      <c r="E46" s="556" t="s">
        <v>183</v>
      </c>
      <c r="F46" s="559">
        <v>1.24</v>
      </c>
      <c r="G46" s="559">
        <v>1.13</v>
      </c>
      <c r="H46" s="557">
        <v>1.233036</v>
      </c>
      <c r="I46" s="559">
        <v>2.804012</v>
      </c>
      <c r="J46" s="557">
        <v>3.288356</v>
      </c>
      <c r="K46" s="557">
        <v>4.291288</v>
      </c>
      <c r="L46" s="557">
        <v>5.181864</v>
      </c>
      <c r="M46" s="557">
        <v>5.697002</v>
      </c>
      <c r="N46" s="557">
        <v>6.409614</v>
      </c>
      <c r="O46" s="557">
        <v>7.144249</v>
      </c>
      <c r="P46" s="557">
        <v>7.660477</v>
      </c>
      <c r="Q46" s="557">
        <v>8.410684</v>
      </c>
      <c r="R46" s="557">
        <v>8.876554</v>
      </c>
      <c r="S46" s="557">
        <v>8.953253</v>
      </c>
      <c r="T46" s="557">
        <v>8.743413</v>
      </c>
      <c r="U46" s="557">
        <v>10.396349</v>
      </c>
      <c r="V46" s="557">
        <v>11.154684</v>
      </c>
      <c r="W46" s="558">
        <f t="shared" si="0"/>
        <v>7.29424339256019</v>
      </c>
    </row>
    <row r="47" spans="1:23" ht="12.75" customHeight="1">
      <c r="A47" s="549"/>
      <c r="B47" s="548">
        <v>39</v>
      </c>
      <c r="C47" s="550"/>
      <c r="D47" s="667" t="s">
        <v>546</v>
      </c>
      <c r="E47" s="551" t="s">
        <v>170</v>
      </c>
      <c r="F47" s="553"/>
      <c r="G47" s="553">
        <v>1.945956</v>
      </c>
      <c r="H47" s="553">
        <v>2.029101</v>
      </c>
      <c r="I47" s="553">
        <v>2.246017</v>
      </c>
      <c r="J47" s="553">
        <v>2.600407</v>
      </c>
      <c r="K47" s="553">
        <v>2.977066</v>
      </c>
      <c r="L47" s="553">
        <v>3.49835</v>
      </c>
      <c r="M47" s="553">
        <v>4.937757</v>
      </c>
      <c r="N47" s="553">
        <v>5.063308</v>
      </c>
      <c r="O47" s="553">
        <v>4.480734</v>
      </c>
      <c r="P47" s="553">
        <v>4.916956</v>
      </c>
      <c r="Q47" s="553">
        <v>5.028201</v>
      </c>
      <c r="R47" s="553">
        <v>7.088515</v>
      </c>
      <c r="S47" s="553">
        <v>7.607344</v>
      </c>
      <c r="T47" s="553">
        <v>8.283685</v>
      </c>
      <c r="U47" s="553">
        <v>9.274287</v>
      </c>
      <c r="V47" s="553">
        <v>10.978933</v>
      </c>
      <c r="W47" s="554">
        <f t="shared" si="0"/>
        <v>18.380345572656978</v>
      </c>
    </row>
    <row r="48" spans="1:23" ht="12.75" customHeight="1">
      <c r="A48" s="549"/>
      <c r="B48" s="548">
        <v>40</v>
      </c>
      <c r="C48" s="614"/>
      <c r="D48" s="669" t="s">
        <v>48</v>
      </c>
      <c r="E48" s="561" t="s">
        <v>179</v>
      </c>
      <c r="F48" s="565">
        <v>7.977651</v>
      </c>
      <c r="G48" s="565">
        <v>7.5217</v>
      </c>
      <c r="H48" s="565">
        <v>7.095979</v>
      </c>
      <c r="I48" s="565">
        <v>7.417951</v>
      </c>
      <c r="J48" s="565">
        <v>8.65115</v>
      </c>
      <c r="K48" s="565">
        <v>9.248485</v>
      </c>
      <c r="L48" s="565">
        <v>10.020611</v>
      </c>
      <c r="M48" s="565">
        <v>10.270885</v>
      </c>
      <c r="N48" s="565">
        <v>9.876704</v>
      </c>
      <c r="O48" s="565">
        <v>8.878715</v>
      </c>
      <c r="P48" s="565">
        <v>9.138065</v>
      </c>
      <c r="Q48" s="565">
        <v>9.536</v>
      </c>
      <c r="R48" s="565">
        <v>9.678112</v>
      </c>
      <c r="S48" s="565">
        <v>9.545927</v>
      </c>
      <c r="T48" s="565">
        <v>9.689254</v>
      </c>
      <c r="U48" s="565">
        <v>10.486576</v>
      </c>
      <c r="V48" s="565">
        <v>10.598755</v>
      </c>
      <c r="W48" s="562">
        <f t="shared" si="0"/>
        <v>1.0697390644954083</v>
      </c>
    </row>
    <row r="49" spans="1:23" s="560" customFormat="1" ht="12.75" customHeight="1">
      <c r="A49" s="549"/>
      <c r="B49" s="548">
        <v>41</v>
      </c>
      <c r="C49" s="550"/>
      <c r="D49" s="667" t="s">
        <v>68</v>
      </c>
      <c r="E49" s="551" t="s">
        <v>180</v>
      </c>
      <c r="F49" s="553">
        <v>8.007547</v>
      </c>
      <c r="G49" s="553">
        <v>8.958526</v>
      </c>
      <c r="H49" s="553">
        <v>8.805312</v>
      </c>
      <c r="I49" s="553">
        <v>8.657258</v>
      </c>
      <c r="J49" s="553">
        <v>8.370479</v>
      </c>
      <c r="K49" s="553">
        <v>8.783376</v>
      </c>
      <c r="L49" s="553">
        <v>8.526646</v>
      </c>
      <c r="M49" s="553">
        <v>8.325011</v>
      </c>
      <c r="N49" s="553">
        <v>8.052428</v>
      </c>
      <c r="O49" s="553">
        <v>6.940588</v>
      </c>
      <c r="P49" s="553">
        <v>7.191807</v>
      </c>
      <c r="Q49" s="553">
        <v>8.50726</v>
      </c>
      <c r="R49" s="553">
        <v>8.384076</v>
      </c>
      <c r="S49" s="553">
        <v>8.565615</v>
      </c>
      <c r="T49" s="553">
        <v>9.054542</v>
      </c>
      <c r="U49" s="553">
        <v>8.997905</v>
      </c>
      <c r="V49" s="553">
        <v>10.316679</v>
      </c>
      <c r="W49" s="554">
        <f t="shared" si="0"/>
        <v>14.656456141735234</v>
      </c>
    </row>
    <row r="50" spans="1:23" s="560" customFormat="1" ht="12.75" customHeight="1">
      <c r="A50" s="549"/>
      <c r="B50" s="548">
        <v>42</v>
      </c>
      <c r="C50" s="555"/>
      <c r="D50" s="668" t="s">
        <v>57</v>
      </c>
      <c r="E50" s="556" t="s">
        <v>183</v>
      </c>
      <c r="F50" s="559">
        <v>6.02</v>
      </c>
      <c r="G50" s="557">
        <v>7.131604</v>
      </c>
      <c r="H50" s="557">
        <v>7.79366</v>
      </c>
      <c r="I50" s="557">
        <v>8.730438</v>
      </c>
      <c r="J50" s="557">
        <v>8.94488</v>
      </c>
      <c r="K50" s="557">
        <v>9.085452</v>
      </c>
      <c r="L50" s="557">
        <v>9.692652</v>
      </c>
      <c r="M50" s="557">
        <v>9.912338</v>
      </c>
      <c r="N50" s="557">
        <v>9.264056</v>
      </c>
      <c r="O50" s="557">
        <v>8.293278</v>
      </c>
      <c r="P50" s="557">
        <v>8.295375</v>
      </c>
      <c r="Q50" s="557">
        <v>9.061749</v>
      </c>
      <c r="R50" s="557">
        <v>9.175619</v>
      </c>
      <c r="S50" s="557">
        <v>8.983694</v>
      </c>
      <c r="T50" s="557">
        <v>8.984285</v>
      </c>
      <c r="U50" s="557">
        <v>9.638763</v>
      </c>
      <c r="V50" s="557">
        <v>9.636221</v>
      </c>
      <c r="W50" s="558">
        <f t="shared" si="0"/>
        <v>-0.02637267873481619</v>
      </c>
    </row>
    <row r="51" spans="1:23" s="560" customFormat="1" ht="12.75" customHeight="1">
      <c r="A51" s="549"/>
      <c r="B51" s="548">
        <v>43</v>
      </c>
      <c r="C51" s="550"/>
      <c r="D51" s="667" t="s">
        <v>61</v>
      </c>
      <c r="E51" s="551" t="s">
        <v>183</v>
      </c>
      <c r="F51" s="552">
        <v>4.12</v>
      </c>
      <c r="G51" s="553">
        <v>4.117306</v>
      </c>
      <c r="H51" s="553">
        <v>4.156789</v>
      </c>
      <c r="I51" s="553">
        <v>5.243913</v>
      </c>
      <c r="J51" s="553">
        <v>5.795174</v>
      </c>
      <c r="K51" s="553">
        <v>5.756253</v>
      </c>
      <c r="L51" s="553">
        <v>6.26828</v>
      </c>
      <c r="M51" s="553">
        <v>7.006801</v>
      </c>
      <c r="N51" s="553">
        <v>6.820656</v>
      </c>
      <c r="O51" s="553">
        <v>6.689065</v>
      </c>
      <c r="P51" s="553">
        <v>6.839235</v>
      </c>
      <c r="Q51" s="553">
        <v>8.553639</v>
      </c>
      <c r="R51" s="553">
        <v>8.158682</v>
      </c>
      <c r="S51" s="553">
        <v>8.375865</v>
      </c>
      <c r="T51" s="553">
        <v>8.453013</v>
      </c>
      <c r="U51" s="553">
        <v>8.729353</v>
      </c>
      <c r="V51" s="553">
        <v>9.604257</v>
      </c>
      <c r="W51" s="554">
        <f t="shared" si="0"/>
        <v>10.02255264508149</v>
      </c>
    </row>
    <row r="52" spans="1:23" s="560" customFormat="1" ht="12.75" customHeight="1">
      <c r="A52" s="549"/>
      <c r="B52" s="548">
        <v>44</v>
      </c>
      <c r="C52" s="555"/>
      <c r="D52" s="668" t="s">
        <v>93</v>
      </c>
      <c r="E52" s="556" t="s">
        <v>181</v>
      </c>
      <c r="F52" s="559">
        <v>5.915177</v>
      </c>
      <c r="G52" s="557">
        <v>6.047065</v>
      </c>
      <c r="H52" s="557">
        <v>5.724567</v>
      </c>
      <c r="I52" s="557">
        <v>5.858464</v>
      </c>
      <c r="J52" s="557">
        <v>6.124793</v>
      </c>
      <c r="K52" s="557">
        <v>6.462513</v>
      </c>
      <c r="L52" s="557">
        <v>6.661182</v>
      </c>
      <c r="M52" s="557">
        <v>7.192586</v>
      </c>
      <c r="N52" s="557">
        <v>7.796744</v>
      </c>
      <c r="O52" s="557">
        <v>7.572833</v>
      </c>
      <c r="P52" s="557">
        <v>7.792418</v>
      </c>
      <c r="Q52" s="557">
        <v>8.317573</v>
      </c>
      <c r="R52" s="557">
        <v>8.365446</v>
      </c>
      <c r="S52" s="557">
        <v>8.500103</v>
      </c>
      <c r="T52" s="557">
        <v>8.3995</v>
      </c>
      <c r="U52" s="557">
        <v>8.635079</v>
      </c>
      <c r="V52" s="557">
        <v>9.495496</v>
      </c>
      <c r="W52" s="558">
        <f t="shared" si="0"/>
        <v>9.964205307212609</v>
      </c>
    </row>
    <row r="53" spans="1:23" s="560" customFormat="1" ht="12.75" customHeight="1">
      <c r="A53" s="549"/>
      <c r="B53" s="548">
        <v>45</v>
      </c>
      <c r="C53" s="550"/>
      <c r="D53" s="667" t="s">
        <v>70</v>
      </c>
      <c r="E53" s="551" t="s">
        <v>186</v>
      </c>
      <c r="F53" s="553">
        <v>2.731637</v>
      </c>
      <c r="G53" s="553">
        <v>2.682511</v>
      </c>
      <c r="H53" s="553">
        <v>2.573799</v>
      </c>
      <c r="I53" s="553">
        <v>2.605946</v>
      </c>
      <c r="J53" s="553">
        <v>2.702046</v>
      </c>
      <c r="K53" s="553">
        <v>3.108271</v>
      </c>
      <c r="L53" s="553">
        <v>3.402743</v>
      </c>
      <c r="M53" s="553">
        <v>3.98686</v>
      </c>
      <c r="N53" s="553">
        <v>4.534829</v>
      </c>
      <c r="O53" s="553">
        <v>4.508533</v>
      </c>
      <c r="P53" s="553">
        <v>5.279716</v>
      </c>
      <c r="Q53" s="553">
        <v>6.0045</v>
      </c>
      <c r="R53" s="553">
        <v>6.051081</v>
      </c>
      <c r="S53" s="553">
        <v>6.374045</v>
      </c>
      <c r="T53" s="553">
        <v>6.932614</v>
      </c>
      <c r="U53" s="553">
        <v>8.088907</v>
      </c>
      <c r="V53" s="553">
        <v>9.378206</v>
      </c>
      <c r="W53" s="554">
        <f t="shared" si="0"/>
        <v>15.939100301190251</v>
      </c>
    </row>
    <row r="54" spans="1:23" s="560" customFormat="1" ht="12.75" customHeight="1">
      <c r="A54" s="549"/>
      <c r="B54" s="548">
        <v>46</v>
      </c>
      <c r="C54" s="555"/>
      <c r="D54" s="668" t="s">
        <v>59</v>
      </c>
      <c r="E54" s="556" t="s">
        <v>177</v>
      </c>
      <c r="F54" s="708">
        <v>6.805363</v>
      </c>
      <c r="G54" s="557">
        <v>7.242716</v>
      </c>
      <c r="H54" s="557">
        <v>7.767289</v>
      </c>
      <c r="I54" s="557">
        <v>8.115317</v>
      </c>
      <c r="J54" s="557">
        <v>8.55729</v>
      </c>
      <c r="K54" s="557">
        <v>8.775415</v>
      </c>
      <c r="L54" s="557">
        <v>8.820457</v>
      </c>
      <c r="M54" s="557">
        <v>8.725906</v>
      </c>
      <c r="N54" s="557">
        <v>8.135186</v>
      </c>
      <c r="O54" s="557">
        <v>7.21336</v>
      </c>
      <c r="P54" s="557">
        <v>6.521758</v>
      </c>
      <c r="Q54" s="557">
        <v>6.858264</v>
      </c>
      <c r="R54" s="557">
        <v>7.150034</v>
      </c>
      <c r="S54" s="557">
        <v>7.358088</v>
      </c>
      <c r="T54" s="557">
        <v>7.709005</v>
      </c>
      <c r="U54" s="557">
        <v>8.710021</v>
      </c>
      <c r="V54" s="709">
        <v>9.324095</v>
      </c>
      <c r="W54" s="558">
        <f t="shared" si="0"/>
        <v>7.050201141880152</v>
      </c>
    </row>
    <row r="55" spans="1:23" s="560" customFormat="1" ht="12.75" customHeight="1">
      <c r="A55" s="549"/>
      <c r="B55" s="548">
        <v>47</v>
      </c>
      <c r="C55" s="550"/>
      <c r="D55" s="667" t="s">
        <v>58</v>
      </c>
      <c r="E55" s="551" t="s">
        <v>181</v>
      </c>
      <c r="F55" s="553">
        <v>6.329034</v>
      </c>
      <c r="G55" s="553">
        <v>5.831809</v>
      </c>
      <c r="H55" s="553">
        <v>5.360548</v>
      </c>
      <c r="I55" s="552">
        <v>5.234112</v>
      </c>
      <c r="J55" s="553">
        <v>5.604981</v>
      </c>
      <c r="K55" s="553">
        <v>5.699914</v>
      </c>
      <c r="L55" s="553">
        <v>5.958171</v>
      </c>
      <c r="M55" s="553">
        <v>6.804131</v>
      </c>
      <c r="N55" s="553">
        <v>6.810024</v>
      </c>
      <c r="O55" s="553">
        <v>7.134865</v>
      </c>
      <c r="P55" s="553">
        <v>7.336486</v>
      </c>
      <c r="Q55" s="553">
        <v>7.223424</v>
      </c>
      <c r="R55" s="553">
        <v>8.171982</v>
      </c>
      <c r="S55" s="553">
        <v>8.212289</v>
      </c>
      <c r="T55" s="553">
        <v>8.126211</v>
      </c>
      <c r="U55" s="553">
        <v>8.190301</v>
      </c>
      <c r="V55" s="553">
        <v>8.394972</v>
      </c>
      <c r="W55" s="554">
        <f t="shared" si="0"/>
        <v>2.4989435675196745</v>
      </c>
    </row>
    <row r="56" spans="1:23" s="560" customFormat="1" ht="12.75" customHeight="1">
      <c r="A56" s="549"/>
      <c r="B56" s="548">
        <v>48</v>
      </c>
      <c r="C56" s="555"/>
      <c r="D56" s="668" t="s">
        <v>60</v>
      </c>
      <c r="E56" s="556" t="s">
        <v>181</v>
      </c>
      <c r="F56" s="644">
        <v>5.229675</v>
      </c>
      <c r="G56" s="644">
        <v>5.173496</v>
      </c>
      <c r="H56" s="644">
        <v>5.288503</v>
      </c>
      <c r="I56" s="644">
        <v>5.257909</v>
      </c>
      <c r="J56" s="644">
        <v>5.56309</v>
      </c>
      <c r="K56" s="644">
        <v>5.747415</v>
      </c>
      <c r="L56" s="644">
        <v>5.89907</v>
      </c>
      <c r="M56" s="644">
        <v>6.111201</v>
      </c>
      <c r="N56" s="644">
        <v>6.293548</v>
      </c>
      <c r="O56" s="644">
        <v>6.227571</v>
      </c>
      <c r="P56" s="644">
        <v>6.344224</v>
      </c>
      <c r="Q56" s="644">
        <v>6.938293</v>
      </c>
      <c r="R56" s="557">
        <v>7.515161</v>
      </c>
      <c r="S56" s="557">
        <v>7.531709</v>
      </c>
      <c r="T56" s="557">
        <v>7.493076</v>
      </c>
      <c r="U56" s="557">
        <v>7.649516</v>
      </c>
      <c r="V56" s="557">
        <v>8.070793</v>
      </c>
      <c r="W56" s="558">
        <f t="shared" si="0"/>
        <v>5.50723732063571</v>
      </c>
    </row>
    <row r="57" spans="1:23" s="560" customFormat="1" ht="12.75" customHeight="1">
      <c r="A57" s="547"/>
      <c r="B57" s="548">
        <v>49</v>
      </c>
      <c r="C57" s="550"/>
      <c r="D57" s="667" t="s">
        <v>67</v>
      </c>
      <c r="E57" s="551" t="s">
        <v>183</v>
      </c>
      <c r="F57" s="552">
        <v>3.97</v>
      </c>
      <c r="G57" s="553">
        <v>3.905044</v>
      </c>
      <c r="H57" s="553">
        <v>4.060551</v>
      </c>
      <c r="I57" s="553">
        <v>4.777623</v>
      </c>
      <c r="J57" s="553">
        <v>5.071433</v>
      </c>
      <c r="K57" s="553">
        <v>5.169917</v>
      </c>
      <c r="L57" s="553">
        <v>5.370112</v>
      </c>
      <c r="M57" s="553">
        <v>6.051871</v>
      </c>
      <c r="N57" s="553">
        <v>6.017767</v>
      </c>
      <c r="O57" s="553">
        <v>5.902306</v>
      </c>
      <c r="P57" s="553">
        <v>6.298966</v>
      </c>
      <c r="Q57" s="553">
        <v>6.771238</v>
      </c>
      <c r="R57" s="553">
        <v>6.143531</v>
      </c>
      <c r="S57" s="553">
        <v>6.367493</v>
      </c>
      <c r="T57" s="553">
        <v>7.284298</v>
      </c>
      <c r="U57" s="553">
        <v>7.09164</v>
      </c>
      <c r="V57" s="553">
        <v>7.901781</v>
      </c>
      <c r="W57" s="554">
        <f t="shared" si="0"/>
        <v>11.42388784540671</v>
      </c>
    </row>
    <row r="58" spans="1:23" s="560" customFormat="1" ht="12.75" customHeight="1">
      <c r="A58" s="549"/>
      <c r="B58" s="548">
        <v>50</v>
      </c>
      <c r="C58" s="555"/>
      <c r="D58" s="668" t="s">
        <v>414</v>
      </c>
      <c r="E58" s="556" t="s">
        <v>183</v>
      </c>
      <c r="F58" s="644"/>
      <c r="G58" s="644"/>
      <c r="H58" s="644">
        <v>3.384314</v>
      </c>
      <c r="I58" s="644">
        <v>3.527428</v>
      </c>
      <c r="J58" s="644">
        <v>2.863107</v>
      </c>
      <c r="K58" s="644">
        <v>3.634712</v>
      </c>
      <c r="L58" s="644">
        <v>3.954094</v>
      </c>
      <c r="M58" s="644">
        <v>4.240551</v>
      </c>
      <c r="N58" s="644">
        <v>4.342251</v>
      </c>
      <c r="O58" s="644">
        <v>4.764922</v>
      </c>
      <c r="P58" s="644">
        <v>5.454949</v>
      </c>
      <c r="Q58" s="644">
        <v>5.820813</v>
      </c>
      <c r="R58" s="557">
        <v>5.8798</v>
      </c>
      <c r="S58" s="557">
        <v>6.127221</v>
      </c>
      <c r="T58" s="557">
        <v>6.519284</v>
      </c>
      <c r="U58" s="557">
        <v>6.857829</v>
      </c>
      <c r="V58" s="557">
        <v>7.662009</v>
      </c>
      <c r="W58" s="558">
        <f t="shared" si="0"/>
        <v>11.7264516219346</v>
      </c>
    </row>
    <row r="59" spans="1:23" s="560" customFormat="1" ht="12.75" customHeight="1">
      <c r="A59" s="549"/>
      <c r="B59" s="548">
        <v>51</v>
      </c>
      <c r="C59" s="550"/>
      <c r="D59" s="667" t="s">
        <v>94</v>
      </c>
      <c r="E59" s="551" t="s">
        <v>186</v>
      </c>
      <c r="F59" s="563">
        <v>4.568897</v>
      </c>
      <c r="G59" s="563">
        <v>4.579489</v>
      </c>
      <c r="H59" s="563">
        <v>4.636058</v>
      </c>
      <c r="I59" s="563">
        <v>4.635136</v>
      </c>
      <c r="J59" s="563">
        <v>4.467255</v>
      </c>
      <c r="K59" s="563">
        <v>4.754508</v>
      </c>
      <c r="L59" s="563">
        <v>5.075089</v>
      </c>
      <c r="M59" s="563">
        <v>5.470712</v>
      </c>
      <c r="N59" s="563">
        <v>5.4472</v>
      </c>
      <c r="O59" s="563">
        <v>5.062214</v>
      </c>
      <c r="P59" s="563">
        <v>5.337542</v>
      </c>
      <c r="Q59" s="563">
        <v>5.617688</v>
      </c>
      <c r="R59" s="553">
        <v>5.674221</v>
      </c>
      <c r="S59" s="553">
        <v>5.98295</v>
      </c>
      <c r="T59" s="553">
        <v>6.168868</v>
      </c>
      <c r="U59" s="553">
        <v>6.43948</v>
      </c>
      <c r="V59" s="553">
        <v>7.632857</v>
      </c>
      <c r="W59" s="554">
        <f t="shared" si="0"/>
        <v>18.53219514619194</v>
      </c>
    </row>
    <row r="60" spans="1:23" s="560" customFormat="1" ht="12.75" customHeight="1">
      <c r="A60" s="549"/>
      <c r="B60" s="548">
        <v>52</v>
      </c>
      <c r="C60" s="555"/>
      <c r="D60" s="668" t="s">
        <v>66</v>
      </c>
      <c r="E60" s="556" t="s">
        <v>177</v>
      </c>
      <c r="F60" s="644">
        <v>2.124078</v>
      </c>
      <c r="G60" s="644">
        <v>2.684215</v>
      </c>
      <c r="H60" s="644">
        <v>3.42374</v>
      </c>
      <c r="I60" s="644">
        <v>3.89377</v>
      </c>
      <c r="J60" s="644">
        <v>4.646477</v>
      </c>
      <c r="K60" s="644">
        <v>5.221406</v>
      </c>
      <c r="L60" s="644">
        <v>5.710222</v>
      </c>
      <c r="M60" s="644">
        <v>5.883855</v>
      </c>
      <c r="N60" s="644">
        <v>6.228603</v>
      </c>
      <c r="O60" s="644">
        <v>5.6152</v>
      </c>
      <c r="P60" s="644">
        <v>5.723234</v>
      </c>
      <c r="Q60" s="644">
        <v>5.767628</v>
      </c>
      <c r="R60" s="557">
        <v>5.916254</v>
      </c>
      <c r="S60" s="557">
        <v>6.125149</v>
      </c>
      <c r="T60" s="557">
        <v>6.332994</v>
      </c>
      <c r="U60" s="557">
        <v>6.781195</v>
      </c>
      <c r="V60" s="557">
        <v>7.60416</v>
      </c>
      <c r="W60" s="558">
        <f t="shared" si="0"/>
        <v>12.135987831053384</v>
      </c>
    </row>
    <row r="61" spans="1:24" s="560" customFormat="1" ht="12.75" customHeight="1">
      <c r="A61" s="549"/>
      <c r="B61" s="548">
        <v>53</v>
      </c>
      <c r="C61" s="550"/>
      <c r="D61" s="667" t="s">
        <v>415</v>
      </c>
      <c r="E61" s="551" t="s">
        <v>180</v>
      </c>
      <c r="F61" s="553">
        <v>3.839673</v>
      </c>
      <c r="G61" s="553">
        <v>4.383706</v>
      </c>
      <c r="H61" s="553">
        <v>4.042271</v>
      </c>
      <c r="I61" s="553">
        <v>4.100363</v>
      </c>
      <c r="J61" s="553">
        <v>4.112951</v>
      </c>
      <c r="K61" s="553">
        <v>4.415685</v>
      </c>
      <c r="L61" s="553">
        <v>4.387589</v>
      </c>
      <c r="M61" s="553">
        <v>4.718535</v>
      </c>
      <c r="N61" s="553">
        <v>4.615914</v>
      </c>
      <c r="O61" s="553">
        <v>4.541646</v>
      </c>
      <c r="P61" s="553">
        <v>5.009233</v>
      </c>
      <c r="Q61" s="553">
        <v>5.612913</v>
      </c>
      <c r="R61" s="553">
        <v>5.522467</v>
      </c>
      <c r="S61" s="553">
        <v>5.703242</v>
      </c>
      <c r="T61" s="553">
        <v>6.190189</v>
      </c>
      <c r="U61" s="553">
        <v>6.453175</v>
      </c>
      <c r="V61" s="553">
        <v>7.394862</v>
      </c>
      <c r="W61" s="554">
        <f t="shared" si="0"/>
        <v>14.592615263029444</v>
      </c>
      <c r="X61" s="564"/>
    </row>
    <row r="62" spans="1:24" s="560" customFormat="1" ht="12.75" customHeight="1">
      <c r="A62" s="549"/>
      <c r="B62" s="548">
        <v>54</v>
      </c>
      <c r="C62" s="614"/>
      <c r="D62" s="669" t="s">
        <v>457</v>
      </c>
      <c r="E62" s="561" t="s">
        <v>178</v>
      </c>
      <c r="F62" s="565"/>
      <c r="G62" s="565"/>
      <c r="H62" s="565"/>
      <c r="I62" s="565"/>
      <c r="J62" s="565">
        <v>2.02329</v>
      </c>
      <c r="K62" s="565">
        <v>1.863086</v>
      </c>
      <c r="L62" s="565">
        <v>2.154583</v>
      </c>
      <c r="M62" s="565">
        <v>2.443184</v>
      </c>
      <c r="N62" s="565">
        <v>2.941959</v>
      </c>
      <c r="O62" s="565">
        <v>3.918897</v>
      </c>
      <c r="P62" s="565">
        <v>5.18082</v>
      </c>
      <c r="Q62" s="565">
        <v>5.883173</v>
      </c>
      <c r="R62" s="565">
        <v>6.505668</v>
      </c>
      <c r="S62" s="565">
        <v>6.776014</v>
      </c>
      <c r="T62" s="565">
        <v>6.425188</v>
      </c>
      <c r="U62" s="565">
        <v>6.9446</v>
      </c>
      <c r="V62" s="565">
        <v>7.291392</v>
      </c>
      <c r="W62" s="562">
        <f t="shared" si="0"/>
        <v>4.993692941278113</v>
      </c>
      <c r="X62" s="564"/>
    </row>
    <row r="63" spans="1:24" s="560" customFormat="1" ht="12.75" customHeight="1">
      <c r="A63" s="549"/>
      <c r="C63" s="549"/>
      <c r="D63" s="567" t="s">
        <v>267</v>
      </c>
      <c r="E63" s="567"/>
      <c r="F63" s="567"/>
      <c r="G63" s="567"/>
      <c r="H63" s="567"/>
      <c r="I63" s="567"/>
      <c r="J63" s="568"/>
      <c r="K63" s="568"/>
      <c r="L63" s="568"/>
      <c r="M63" s="568"/>
      <c r="N63" s="568"/>
      <c r="O63" s="568"/>
      <c r="P63" s="568"/>
      <c r="Q63" s="568"/>
      <c r="R63" s="568"/>
      <c r="S63" s="568"/>
      <c r="T63" s="568"/>
      <c r="U63" s="568"/>
      <c r="V63" s="568"/>
      <c r="W63" s="568"/>
      <c r="X63" s="566"/>
    </row>
    <row r="64" spans="1:24" s="560" customFormat="1" ht="12.75" customHeight="1">
      <c r="A64" s="549"/>
      <c r="D64" s="950" t="s">
        <v>504</v>
      </c>
      <c r="E64" s="950"/>
      <c r="F64" s="950"/>
      <c r="G64" s="950"/>
      <c r="H64" s="950"/>
      <c r="I64" s="950"/>
      <c r="J64" s="950"/>
      <c r="K64" s="950"/>
      <c r="L64" s="950"/>
      <c r="M64" s="950"/>
      <c r="N64" s="950"/>
      <c r="O64" s="950"/>
      <c r="P64" s="950"/>
      <c r="Q64" s="950"/>
      <c r="R64" s="950"/>
      <c r="S64" s="950"/>
      <c r="T64" s="950"/>
      <c r="U64" s="950"/>
      <c r="V64" s="950"/>
      <c r="W64" s="950"/>
      <c r="X64" s="566"/>
    </row>
    <row r="65" spans="1:24" s="560" customFormat="1" ht="22.5" customHeight="1">
      <c r="A65" s="549"/>
      <c r="B65" s="549"/>
      <c r="C65" s="460"/>
      <c r="D65" s="549"/>
      <c r="E65" s="549"/>
      <c r="F65" s="549"/>
      <c r="G65" s="549"/>
      <c r="H65" s="549"/>
      <c r="I65" s="549"/>
      <c r="J65" s="549"/>
      <c r="K65" s="549"/>
      <c r="L65" s="549"/>
      <c r="M65" s="549"/>
      <c r="N65" s="549"/>
      <c r="O65" s="549"/>
      <c r="P65" s="549"/>
      <c r="Q65" s="549"/>
      <c r="R65" s="549"/>
      <c r="S65" s="549"/>
      <c r="T65" s="549"/>
      <c r="U65" s="549"/>
      <c r="V65" s="549"/>
      <c r="W65" s="549"/>
      <c r="X65" s="566"/>
    </row>
    <row r="66" spans="1:22" ht="17.25" customHeight="1">
      <c r="A66" s="549"/>
      <c r="B66" s="549"/>
      <c r="D66" s="560"/>
      <c r="E66" s="560"/>
      <c r="F66" s="560"/>
      <c r="G66" s="560"/>
      <c r="H66" s="560"/>
      <c r="I66" s="560"/>
      <c r="J66" s="560"/>
      <c r="K66" s="560"/>
      <c r="L66" s="560"/>
      <c r="M66" s="560"/>
      <c r="N66" s="560"/>
      <c r="O66" s="560"/>
      <c r="P66" s="560"/>
      <c r="Q66" s="560"/>
      <c r="R66" s="560"/>
      <c r="S66" s="560"/>
      <c r="T66" s="560"/>
      <c r="U66" s="560"/>
      <c r="V66" s="560"/>
    </row>
    <row r="67" ht="24" customHeight="1">
      <c r="A67" s="549"/>
    </row>
  </sheetData>
  <sheetProtection/>
  <mergeCells count="6">
    <mergeCell ref="B6:B8"/>
    <mergeCell ref="D64:W64"/>
    <mergeCell ref="C1:D1"/>
    <mergeCell ref="C2:W2"/>
    <mergeCell ref="C3:W3"/>
    <mergeCell ref="C4:W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Y95"/>
  <sheetViews>
    <sheetView zoomScalePageLayoutView="0" workbookViewId="0" topLeftCell="D46">
      <selection activeCell="M88" sqref="M88"/>
    </sheetView>
  </sheetViews>
  <sheetFormatPr defaultColWidth="9.140625" defaultRowHeight="12.75"/>
  <cols>
    <col min="1" max="1" width="9.140625" style="834" customWidth="1"/>
    <col min="2" max="2" width="2.00390625" style="834" customWidth="1"/>
    <col min="3" max="3" width="37.421875" style="834" customWidth="1"/>
    <col min="4" max="15" width="9.140625" style="834" customWidth="1"/>
    <col min="16" max="16" width="1.7109375" style="834" customWidth="1"/>
    <col min="17" max="17" width="9.140625" style="834" customWidth="1"/>
    <col min="18" max="18" width="23.140625" style="834" customWidth="1"/>
    <col min="19" max="26" width="9.140625" style="834" customWidth="1"/>
    <col min="27" max="16384" width="9.140625" style="834" customWidth="1"/>
  </cols>
  <sheetData>
    <row r="1" spans="1:17" ht="14.25" customHeight="1">
      <c r="A1" s="868"/>
      <c r="B1" s="868"/>
      <c r="Q1" s="869" t="s">
        <v>397</v>
      </c>
    </row>
    <row r="2" spans="1:17" ht="30" customHeight="1">
      <c r="A2" s="868"/>
      <c r="B2" s="868"/>
      <c r="C2" s="955" t="s">
        <v>428</v>
      </c>
      <c r="D2" s="955"/>
      <c r="E2" s="955"/>
      <c r="F2" s="955"/>
      <c r="G2" s="955"/>
      <c r="H2" s="955"/>
      <c r="I2" s="955"/>
      <c r="J2" s="955"/>
      <c r="K2" s="955"/>
      <c r="L2" s="867"/>
      <c r="M2" s="867"/>
      <c r="N2" s="867"/>
      <c r="O2" s="867"/>
      <c r="P2" s="867"/>
      <c r="Q2" s="867"/>
    </row>
    <row r="3" spans="1:17" ht="31.5" customHeight="1">
      <c r="A3" s="868"/>
      <c r="B3" s="868"/>
      <c r="C3" s="955" t="s">
        <v>617</v>
      </c>
      <c r="D3" s="955"/>
      <c r="E3" s="955"/>
      <c r="F3" s="955"/>
      <c r="G3" s="955"/>
      <c r="H3" s="955"/>
      <c r="I3" s="955"/>
      <c r="J3" s="955"/>
      <c r="K3" s="955"/>
      <c r="L3" s="867"/>
      <c r="M3" s="867"/>
      <c r="N3" s="867"/>
      <c r="O3" s="867"/>
      <c r="P3" s="867"/>
      <c r="Q3" s="867"/>
    </row>
    <row r="4" spans="1:17" ht="12" customHeight="1">
      <c r="A4" s="956" t="s">
        <v>261</v>
      </c>
      <c r="B4" s="866"/>
      <c r="C4" s="835"/>
      <c r="D4" s="835"/>
      <c r="E4" s="835"/>
      <c r="F4" s="835"/>
      <c r="G4" s="835"/>
      <c r="H4" s="957"/>
      <c r="I4" s="957"/>
      <c r="J4" s="957"/>
      <c r="K4" s="957"/>
      <c r="L4" s="957"/>
      <c r="M4" s="957"/>
      <c r="N4" s="957"/>
      <c r="O4" s="957"/>
      <c r="P4" s="957"/>
      <c r="Q4" s="834">
        <v>1000</v>
      </c>
    </row>
    <row r="5" spans="1:17" ht="25.5" customHeight="1">
      <c r="A5" s="956"/>
      <c r="B5" s="865"/>
      <c r="C5" s="863"/>
      <c r="D5" s="864">
        <v>2005</v>
      </c>
      <c r="E5" s="864">
        <v>2006</v>
      </c>
      <c r="F5" s="864">
        <v>2007</v>
      </c>
      <c r="G5" s="864">
        <v>2008</v>
      </c>
      <c r="H5" s="864">
        <v>2009</v>
      </c>
      <c r="I5" s="864">
        <v>2010</v>
      </c>
      <c r="J5" s="864">
        <v>2011</v>
      </c>
      <c r="K5" s="864">
        <v>2012</v>
      </c>
      <c r="L5" s="864">
        <v>2013</v>
      </c>
      <c r="M5" s="864">
        <v>2014</v>
      </c>
      <c r="N5" s="864">
        <v>2015</v>
      </c>
      <c r="O5" s="864">
        <v>2016</v>
      </c>
      <c r="P5" s="863"/>
      <c r="Q5" s="862" t="s">
        <v>616</v>
      </c>
    </row>
    <row r="6" spans="1:17" ht="12.75" customHeight="1">
      <c r="A6" s="857">
        <v>1</v>
      </c>
      <c r="B6" s="848"/>
      <c r="C6" s="861" t="s">
        <v>416</v>
      </c>
      <c r="D6" s="860">
        <v>2327.122</v>
      </c>
      <c r="E6" s="860">
        <v>2350.503</v>
      </c>
      <c r="F6" s="860">
        <v>2327.071</v>
      </c>
      <c r="G6" s="859">
        <v>2325.309</v>
      </c>
      <c r="H6" s="859">
        <v>2304.766</v>
      </c>
      <c r="I6" s="859">
        <v>2193.675</v>
      </c>
      <c r="J6" s="859">
        <v>2321.803</v>
      </c>
      <c r="K6" s="859">
        <v>2329.522</v>
      </c>
      <c r="L6" s="846">
        <v>2379.108</v>
      </c>
      <c r="M6" s="846">
        <v>2330.949</v>
      </c>
      <c r="N6" s="846">
        <v>2318.093</v>
      </c>
      <c r="O6" s="846">
        <v>2358.895</v>
      </c>
      <c r="P6" s="845"/>
      <c r="Q6" s="858">
        <f aca="true" t="shared" si="0" ref="Q6:Q37">(O6/N6)-1</f>
        <v>0.017601537125559785</v>
      </c>
    </row>
    <row r="7" spans="1:17" ht="12.75" customHeight="1">
      <c r="A7" s="857">
        <v>2</v>
      </c>
      <c r="B7" s="855"/>
      <c r="C7" s="854" t="s">
        <v>521</v>
      </c>
      <c r="D7" s="853">
        <v>4358.322</v>
      </c>
      <c r="E7" s="853">
        <v>4442.4</v>
      </c>
      <c r="F7" s="853">
        <v>4627.387</v>
      </c>
      <c r="G7" s="852">
        <v>3497.696</v>
      </c>
      <c r="H7" s="852">
        <v>2942.406</v>
      </c>
      <c r="I7" s="852">
        <v>3083.829</v>
      </c>
      <c r="J7" s="852">
        <v>3102.436</v>
      </c>
      <c r="K7" s="852">
        <v>2550.193</v>
      </c>
      <c r="L7" s="852">
        <v>2213.194</v>
      </c>
      <c r="M7" s="852">
        <v>2204.765</v>
      </c>
      <c r="N7" s="852">
        <v>2251.739</v>
      </c>
      <c r="O7" s="852">
        <v>2328.795</v>
      </c>
      <c r="P7" s="851"/>
      <c r="Q7" s="850">
        <f t="shared" si="0"/>
        <v>0.03422066234141696</v>
      </c>
    </row>
    <row r="8" spans="1:17" ht="12.75" customHeight="1">
      <c r="A8" s="857">
        <v>3</v>
      </c>
      <c r="B8" s="848"/>
      <c r="C8" s="847" t="s">
        <v>417</v>
      </c>
      <c r="D8" s="856">
        <v>2262.945</v>
      </c>
      <c r="E8" s="856">
        <v>2318.935</v>
      </c>
      <c r="F8" s="856">
        <v>2311.851</v>
      </c>
      <c r="G8" s="846">
        <v>2280.46</v>
      </c>
      <c r="H8" s="846">
        <v>2139.382</v>
      </c>
      <c r="I8" s="846">
        <v>2104.619</v>
      </c>
      <c r="J8" s="846">
        <v>2235.761</v>
      </c>
      <c r="K8" s="846">
        <v>2175.001</v>
      </c>
      <c r="L8" s="846">
        <v>2160.285</v>
      </c>
      <c r="M8" s="846">
        <v>2072.138</v>
      </c>
      <c r="N8" s="846">
        <v>2113.255</v>
      </c>
      <c r="O8" s="846">
        <v>2124.792</v>
      </c>
      <c r="P8" s="845"/>
      <c r="Q8" s="844">
        <f t="shared" si="0"/>
        <v>0.005459350622617709</v>
      </c>
    </row>
    <row r="9" spans="1:17" ht="12.75" customHeight="1">
      <c r="A9" s="857">
        <v>4</v>
      </c>
      <c r="B9" s="855"/>
      <c r="C9" s="854" t="s">
        <v>418</v>
      </c>
      <c r="D9" s="853">
        <v>1368.651</v>
      </c>
      <c r="E9" s="853">
        <v>1371.628</v>
      </c>
      <c r="F9" s="853">
        <v>1534.183</v>
      </c>
      <c r="G9" s="852">
        <v>1668.671</v>
      </c>
      <c r="H9" s="852">
        <v>1635.661</v>
      </c>
      <c r="I9" s="852">
        <v>1717.793</v>
      </c>
      <c r="J9" s="852">
        <v>1841.551</v>
      </c>
      <c r="K9" s="852">
        <v>1694.449</v>
      </c>
      <c r="L9" s="852">
        <v>1566.833</v>
      </c>
      <c r="M9" s="852">
        <v>1869.881</v>
      </c>
      <c r="N9" s="852">
        <v>1987.739</v>
      </c>
      <c r="O9" s="852">
        <v>2054.4</v>
      </c>
      <c r="P9" s="851"/>
      <c r="Q9" s="850">
        <f t="shared" si="0"/>
        <v>0.03353609301824845</v>
      </c>
    </row>
    <row r="10" spans="1:17" ht="12.75" customHeight="1">
      <c r="A10" s="857">
        <v>5</v>
      </c>
      <c r="B10" s="848"/>
      <c r="C10" s="847" t="s">
        <v>420</v>
      </c>
      <c r="D10" s="856">
        <v>1419.226</v>
      </c>
      <c r="E10" s="856">
        <v>1424.69</v>
      </c>
      <c r="F10" s="856">
        <v>1509.934</v>
      </c>
      <c r="G10" s="846">
        <v>1550.847</v>
      </c>
      <c r="H10" s="846">
        <v>1518.551</v>
      </c>
      <c r="I10" s="846">
        <v>1579.993</v>
      </c>
      <c r="J10" s="846">
        <v>1667.408</v>
      </c>
      <c r="K10" s="846">
        <v>1731.145</v>
      </c>
      <c r="L10" s="846">
        <v>1831.708</v>
      </c>
      <c r="M10" s="846">
        <v>1868.877</v>
      </c>
      <c r="N10" s="846">
        <v>1975.226</v>
      </c>
      <c r="O10" s="846">
        <v>1939.552</v>
      </c>
      <c r="P10" s="845"/>
      <c r="Q10" s="844">
        <f t="shared" si="0"/>
        <v>-0.018060718115294305</v>
      </c>
    </row>
    <row r="11" spans="1:17" ht="12.75" customHeight="1">
      <c r="A11" s="857">
        <v>6</v>
      </c>
      <c r="B11" s="855"/>
      <c r="C11" s="854" t="s">
        <v>564</v>
      </c>
      <c r="D11" s="853">
        <v>1545.577</v>
      </c>
      <c r="E11" s="853">
        <v>1541.06</v>
      </c>
      <c r="F11" s="853">
        <v>1647.946</v>
      </c>
      <c r="G11" s="852">
        <v>1600.771</v>
      </c>
      <c r="H11" s="852">
        <v>1551.995</v>
      </c>
      <c r="I11" s="852">
        <v>1609.416</v>
      </c>
      <c r="J11" s="852">
        <v>1793.408</v>
      </c>
      <c r="K11" s="852">
        <v>1813.471</v>
      </c>
      <c r="L11" s="852">
        <v>1846.228</v>
      </c>
      <c r="M11" s="852">
        <v>1791.844</v>
      </c>
      <c r="N11" s="852">
        <v>1906.347</v>
      </c>
      <c r="O11" s="852">
        <v>1935.036</v>
      </c>
      <c r="P11" s="851"/>
      <c r="Q11" s="850">
        <f t="shared" si="0"/>
        <v>0.015049201430799464</v>
      </c>
    </row>
    <row r="12" spans="1:17" ht="12.75" customHeight="1">
      <c r="A12" s="857">
        <v>7</v>
      </c>
      <c r="B12" s="848"/>
      <c r="C12" s="847" t="s">
        <v>615</v>
      </c>
      <c r="D12" s="856">
        <v>1054.32</v>
      </c>
      <c r="E12" s="856">
        <v>1060.983</v>
      </c>
      <c r="F12" s="856">
        <v>1149.595</v>
      </c>
      <c r="G12" s="846">
        <v>1125.628</v>
      </c>
      <c r="H12" s="846">
        <v>1205.448</v>
      </c>
      <c r="I12" s="846">
        <v>1176.313</v>
      </c>
      <c r="J12" s="846">
        <v>970.462</v>
      </c>
      <c r="K12" s="846">
        <v>970.797</v>
      </c>
      <c r="L12" s="846">
        <v>888.334</v>
      </c>
      <c r="M12" s="846">
        <v>1269.897</v>
      </c>
      <c r="N12" s="846">
        <v>1639.547</v>
      </c>
      <c r="O12" s="846">
        <v>1811.352</v>
      </c>
      <c r="P12" s="845"/>
      <c r="Q12" s="844">
        <f t="shared" si="0"/>
        <v>0.10478809085680374</v>
      </c>
    </row>
    <row r="13" spans="1:17" ht="12.75" customHeight="1">
      <c r="A13" s="857">
        <v>8</v>
      </c>
      <c r="B13" s="855"/>
      <c r="C13" s="854" t="s">
        <v>522</v>
      </c>
      <c r="D13" s="853">
        <v>1450.532</v>
      </c>
      <c r="E13" s="853">
        <v>1582.916</v>
      </c>
      <c r="F13" s="853">
        <v>1756.936</v>
      </c>
      <c r="G13" s="852">
        <v>1704.752</v>
      </c>
      <c r="H13" s="852">
        <v>1628.365</v>
      </c>
      <c r="I13" s="852">
        <v>1653.044</v>
      </c>
      <c r="J13" s="852">
        <v>1717.734</v>
      </c>
      <c r="K13" s="852">
        <v>1719.351</v>
      </c>
      <c r="L13" s="852">
        <v>1713.49</v>
      </c>
      <c r="M13" s="852">
        <v>1757.017</v>
      </c>
      <c r="N13" s="852">
        <v>1810.986</v>
      </c>
      <c r="O13" s="852">
        <v>1801.623</v>
      </c>
      <c r="P13" s="851"/>
      <c r="Q13" s="850">
        <f t="shared" si="0"/>
        <v>-0.005170111751278017</v>
      </c>
    </row>
    <row r="14" spans="1:17" ht="12.75" customHeight="1">
      <c r="A14" s="857">
        <v>9</v>
      </c>
      <c r="B14" s="848"/>
      <c r="C14" s="847" t="s">
        <v>526</v>
      </c>
      <c r="D14" s="856">
        <v>1689.343</v>
      </c>
      <c r="E14" s="856">
        <v>1740.315</v>
      </c>
      <c r="F14" s="856">
        <v>1784.896</v>
      </c>
      <c r="G14" s="846">
        <v>1585.894</v>
      </c>
      <c r="H14" s="846">
        <v>1513.617</v>
      </c>
      <c r="I14" s="846">
        <v>1532.541</v>
      </c>
      <c r="J14" s="846">
        <v>1639.425</v>
      </c>
      <c r="K14" s="846">
        <v>1460.106</v>
      </c>
      <c r="L14" s="846">
        <v>1388.854</v>
      </c>
      <c r="M14" s="846">
        <v>1410.172</v>
      </c>
      <c r="N14" s="846">
        <v>1576.08</v>
      </c>
      <c r="O14" s="846">
        <v>1772.621</v>
      </c>
      <c r="P14" s="845"/>
      <c r="Q14" s="844">
        <f t="shared" si="0"/>
        <v>0.12470242627277806</v>
      </c>
    </row>
    <row r="15" spans="1:17" ht="12.75" customHeight="1">
      <c r="A15" s="857">
        <v>10</v>
      </c>
      <c r="B15" s="855"/>
      <c r="C15" s="854" t="s">
        <v>523</v>
      </c>
      <c r="D15" s="853">
        <v>2086.283</v>
      </c>
      <c r="E15" s="853">
        <v>1989.169</v>
      </c>
      <c r="F15" s="853">
        <v>1973.539</v>
      </c>
      <c r="G15" s="852">
        <v>1809.202</v>
      </c>
      <c r="H15" s="852">
        <v>1619.891</v>
      </c>
      <c r="I15" s="852">
        <v>1491.261</v>
      </c>
      <c r="J15" s="852">
        <v>1556.229</v>
      </c>
      <c r="K15" s="852">
        <v>1578.014</v>
      </c>
      <c r="L15" s="852">
        <v>1663.587</v>
      </c>
      <c r="M15" s="852">
        <v>1650.993</v>
      </c>
      <c r="N15" s="852">
        <v>1683.065</v>
      </c>
      <c r="O15" s="852">
        <v>1750.927</v>
      </c>
      <c r="P15" s="851"/>
      <c r="Q15" s="850">
        <f t="shared" si="0"/>
        <v>0.04032048673105315</v>
      </c>
    </row>
    <row r="16" spans="1:17" ht="12.75" customHeight="1">
      <c r="A16" s="857">
        <v>11</v>
      </c>
      <c r="B16" s="848"/>
      <c r="C16" s="847" t="s">
        <v>528</v>
      </c>
      <c r="D16" s="856">
        <v>1641.454</v>
      </c>
      <c r="E16" s="856">
        <v>1757.29</v>
      </c>
      <c r="F16" s="856">
        <v>1757.964</v>
      </c>
      <c r="G16" s="846">
        <v>1707.74</v>
      </c>
      <c r="H16" s="846">
        <v>1764.257</v>
      </c>
      <c r="I16" s="846">
        <v>1698.898</v>
      </c>
      <c r="J16" s="846">
        <v>1605.182</v>
      </c>
      <c r="K16" s="846">
        <v>1442.496</v>
      </c>
      <c r="L16" s="846">
        <v>1224.653</v>
      </c>
      <c r="M16" s="846">
        <v>1283.404</v>
      </c>
      <c r="N16" s="846">
        <v>1411.243</v>
      </c>
      <c r="O16" s="846">
        <v>1687.568</v>
      </c>
      <c r="P16" s="845"/>
      <c r="Q16" s="844">
        <f t="shared" si="0"/>
        <v>0.19580256553974063</v>
      </c>
    </row>
    <row r="17" spans="1:17" ht="12.75" customHeight="1">
      <c r="A17" s="857">
        <v>12</v>
      </c>
      <c r="B17" s="855"/>
      <c r="C17" s="854" t="s">
        <v>614</v>
      </c>
      <c r="D17" s="853">
        <v>1894.076</v>
      </c>
      <c r="E17" s="853">
        <v>1846.348</v>
      </c>
      <c r="F17" s="853">
        <v>1798.591</v>
      </c>
      <c r="G17" s="852">
        <v>1707.629</v>
      </c>
      <c r="H17" s="852">
        <v>1511.968</v>
      </c>
      <c r="I17" s="852">
        <v>1333.129</v>
      </c>
      <c r="J17" s="852">
        <v>1406.542</v>
      </c>
      <c r="K17" s="852">
        <v>1429.426</v>
      </c>
      <c r="L17" s="852">
        <v>1443.686</v>
      </c>
      <c r="M17" s="852">
        <v>1486.534</v>
      </c>
      <c r="N17" s="852">
        <v>1549.189</v>
      </c>
      <c r="O17" s="852">
        <v>1616.621</v>
      </c>
      <c r="P17" s="851"/>
      <c r="Q17" s="850">
        <f t="shared" si="0"/>
        <v>0.043527290730827506</v>
      </c>
    </row>
    <row r="18" spans="1:17" ht="12.75" customHeight="1">
      <c r="A18" s="857">
        <v>13</v>
      </c>
      <c r="B18" s="848"/>
      <c r="C18" s="847" t="s">
        <v>525</v>
      </c>
      <c r="D18" s="856">
        <v>1111.214</v>
      </c>
      <c r="E18" s="856">
        <v>1134.833</v>
      </c>
      <c r="F18" s="856">
        <v>1244.157</v>
      </c>
      <c r="G18" s="846">
        <v>1258.599</v>
      </c>
      <c r="H18" s="846">
        <v>1382.104</v>
      </c>
      <c r="I18" s="846">
        <v>1418.612</v>
      </c>
      <c r="J18" s="846">
        <v>1499.548</v>
      </c>
      <c r="K18" s="846">
        <v>1365.728</v>
      </c>
      <c r="L18" s="846">
        <v>1269.435</v>
      </c>
      <c r="M18" s="846">
        <v>1481.999</v>
      </c>
      <c r="N18" s="846">
        <v>1481.057</v>
      </c>
      <c r="O18" s="846">
        <v>1595.494</v>
      </c>
      <c r="P18" s="845"/>
      <c r="Q18" s="844">
        <f t="shared" si="0"/>
        <v>0.07726711395982733</v>
      </c>
    </row>
    <row r="19" spans="1:17" ht="12.75" customHeight="1">
      <c r="A19" s="857">
        <v>14</v>
      </c>
      <c r="B19" s="855"/>
      <c r="C19" s="854" t="s">
        <v>565</v>
      </c>
      <c r="D19" s="853">
        <v>1381.502</v>
      </c>
      <c r="E19" s="853">
        <v>1362.217</v>
      </c>
      <c r="F19" s="853">
        <v>1528.874</v>
      </c>
      <c r="G19" s="852">
        <v>1562.503</v>
      </c>
      <c r="H19" s="852">
        <v>1480.487</v>
      </c>
      <c r="I19" s="852">
        <v>1533.414</v>
      </c>
      <c r="J19" s="852">
        <v>1568.043</v>
      </c>
      <c r="K19" s="852">
        <v>1551.411</v>
      </c>
      <c r="L19" s="852">
        <v>1557.955</v>
      </c>
      <c r="M19" s="852">
        <v>1527.104</v>
      </c>
      <c r="N19" s="852">
        <v>1552.241</v>
      </c>
      <c r="O19" s="852">
        <v>1564.326</v>
      </c>
      <c r="P19" s="851"/>
      <c r="Q19" s="850">
        <f t="shared" si="0"/>
        <v>0.007785517841623735</v>
      </c>
    </row>
    <row r="20" spans="1:17" ht="12.75" customHeight="1">
      <c r="A20" s="857">
        <v>15</v>
      </c>
      <c r="B20" s="848"/>
      <c r="C20" s="847" t="s">
        <v>425</v>
      </c>
      <c r="D20" s="856">
        <v>1194.112</v>
      </c>
      <c r="E20" s="856">
        <v>1153.958</v>
      </c>
      <c r="F20" s="856">
        <v>1185.311</v>
      </c>
      <c r="G20" s="846">
        <v>1202.94</v>
      </c>
      <c r="H20" s="846">
        <v>1076.362</v>
      </c>
      <c r="I20" s="846">
        <v>1165.977</v>
      </c>
      <c r="J20" s="846">
        <v>1229.031</v>
      </c>
      <c r="K20" s="846">
        <v>1269.22</v>
      </c>
      <c r="L20" s="846">
        <v>1325.679</v>
      </c>
      <c r="M20" s="846">
        <v>1444.429</v>
      </c>
      <c r="N20" s="846">
        <v>1458.433</v>
      </c>
      <c r="O20" s="846">
        <v>1547.102</v>
      </c>
      <c r="P20" s="845"/>
      <c r="Q20" s="844">
        <f t="shared" si="0"/>
        <v>0.0607974449289066</v>
      </c>
    </row>
    <row r="21" spans="1:17" ht="12.75" customHeight="1">
      <c r="A21" s="857">
        <v>16</v>
      </c>
      <c r="B21" s="855"/>
      <c r="C21" s="854" t="s">
        <v>419</v>
      </c>
      <c r="D21" s="853">
        <v>1388.136</v>
      </c>
      <c r="E21" s="853">
        <v>1434.363</v>
      </c>
      <c r="F21" s="853">
        <v>1541.281</v>
      </c>
      <c r="G21" s="852">
        <v>1596.703</v>
      </c>
      <c r="H21" s="852">
        <v>1548.464</v>
      </c>
      <c r="I21" s="852">
        <v>1553.685</v>
      </c>
      <c r="J21" s="852">
        <v>1438.377</v>
      </c>
      <c r="K21" s="852">
        <v>1301.539</v>
      </c>
      <c r="L21" s="852">
        <v>1152.884</v>
      </c>
      <c r="M21" s="852">
        <v>1181.442</v>
      </c>
      <c r="N21" s="852">
        <v>1305.67</v>
      </c>
      <c r="O21" s="852">
        <v>1508.972</v>
      </c>
      <c r="P21" s="851"/>
      <c r="Q21" s="850">
        <f t="shared" si="0"/>
        <v>0.15570703163892863</v>
      </c>
    </row>
    <row r="22" spans="1:17" ht="12.75" customHeight="1">
      <c r="A22" s="857">
        <v>17</v>
      </c>
      <c r="B22" s="848"/>
      <c r="C22" s="847" t="s">
        <v>524</v>
      </c>
      <c r="D22" s="856">
        <v>1530.43</v>
      </c>
      <c r="E22" s="856">
        <v>1513.278</v>
      </c>
      <c r="F22" s="856">
        <v>1450.073</v>
      </c>
      <c r="G22" s="846">
        <v>1272.002</v>
      </c>
      <c r="H22" s="846">
        <v>1201.802</v>
      </c>
      <c r="I22" s="846">
        <v>1266.143</v>
      </c>
      <c r="J22" s="846">
        <v>1469.909</v>
      </c>
      <c r="K22" s="846">
        <v>1482.649</v>
      </c>
      <c r="L22" s="846">
        <v>1497.108</v>
      </c>
      <c r="M22" s="846">
        <v>1506.826</v>
      </c>
      <c r="N22" s="846">
        <v>1530.986</v>
      </c>
      <c r="O22" s="846">
        <v>1493.015</v>
      </c>
      <c r="P22" s="845"/>
      <c r="Q22" s="844">
        <f t="shared" si="0"/>
        <v>-0.02480166376439763</v>
      </c>
    </row>
    <row r="23" spans="1:17" ht="12.75" customHeight="1">
      <c r="A23" s="857">
        <v>18</v>
      </c>
      <c r="B23" s="855"/>
      <c r="C23" s="854" t="s">
        <v>422</v>
      </c>
      <c r="D23" s="853">
        <v>1288.289</v>
      </c>
      <c r="E23" s="853">
        <v>1289.692</v>
      </c>
      <c r="F23" s="853">
        <v>1297.441</v>
      </c>
      <c r="G23" s="852">
        <v>1254.222</v>
      </c>
      <c r="H23" s="852">
        <v>1202.715</v>
      </c>
      <c r="I23" s="852">
        <v>1480.618</v>
      </c>
      <c r="J23" s="852">
        <v>1587.593</v>
      </c>
      <c r="K23" s="852">
        <v>1385.867</v>
      </c>
      <c r="L23" s="852">
        <v>1362.355</v>
      </c>
      <c r="M23" s="852">
        <v>1343.857</v>
      </c>
      <c r="N23" s="852">
        <v>1360.54</v>
      </c>
      <c r="O23" s="852">
        <v>1371.452</v>
      </c>
      <c r="P23" s="851"/>
      <c r="Q23" s="850">
        <f t="shared" si="0"/>
        <v>0.008020344863069129</v>
      </c>
    </row>
    <row r="24" spans="1:17" ht="12.75" customHeight="1">
      <c r="A24" s="857">
        <v>19</v>
      </c>
      <c r="B24" s="848"/>
      <c r="C24" s="847" t="s">
        <v>529</v>
      </c>
      <c r="D24" s="856">
        <v>556.061</v>
      </c>
      <c r="E24" s="856">
        <v>557.348</v>
      </c>
      <c r="F24" s="856">
        <v>539.957</v>
      </c>
      <c r="G24" s="846">
        <v>541.641</v>
      </c>
      <c r="H24" s="846">
        <v>465.304</v>
      </c>
      <c r="I24" s="846">
        <v>376.671</v>
      </c>
      <c r="J24" s="846">
        <v>517.82</v>
      </c>
      <c r="K24" s="846">
        <v>741.735</v>
      </c>
      <c r="L24" s="846">
        <v>1131.927</v>
      </c>
      <c r="M24" s="846">
        <v>1274.119</v>
      </c>
      <c r="N24" s="846">
        <v>1354.193</v>
      </c>
      <c r="O24" s="846">
        <v>1362.488</v>
      </c>
      <c r="P24" s="845"/>
      <c r="Q24" s="844">
        <f t="shared" si="0"/>
        <v>0.006125419345691441</v>
      </c>
    </row>
    <row r="25" spans="1:17" ht="12.75" customHeight="1">
      <c r="A25" s="857">
        <v>20</v>
      </c>
      <c r="B25" s="855"/>
      <c r="C25" s="854" t="s">
        <v>537</v>
      </c>
      <c r="D25" s="853">
        <v>595.527</v>
      </c>
      <c r="E25" s="853">
        <v>737.925</v>
      </c>
      <c r="F25" s="853">
        <v>770.882</v>
      </c>
      <c r="G25" s="852">
        <v>743.673</v>
      </c>
      <c r="H25" s="852">
        <v>695.163</v>
      </c>
      <c r="I25" s="852">
        <v>688.457</v>
      </c>
      <c r="J25" s="852">
        <v>748.426</v>
      </c>
      <c r="K25" s="852">
        <v>739.708</v>
      </c>
      <c r="L25" s="852">
        <v>705.513</v>
      </c>
      <c r="M25" s="852">
        <v>990.767</v>
      </c>
      <c r="N25" s="852">
        <v>1190.62</v>
      </c>
      <c r="O25" s="852">
        <v>1319.187</v>
      </c>
      <c r="P25" s="851"/>
      <c r="Q25" s="850">
        <f t="shared" si="0"/>
        <v>0.10798323562513645</v>
      </c>
    </row>
    <row r="26" spans="1:17" ht="12.75" customHeight="1">
      <c r="A26" s="857">
        <v>21</v>
      </c>
      <c r="B26" s="848"/>
      <c r="C26" s="847" t="s">
        <v>613</v>
      </c>
      <c r="D26" s="856">
        <v>1073.266</v>
      </c>
      <c r="E26" s="856">
        <v>1106.467</v>
      </c>
      <c r="F26" s="856">
        <v>1172.803</v>
      </c>
      <c r="G26" s="846">
        <v>1146.531</v>
      </c>
      <c r="H26" s="846">
        <v>1120.99</v>
      </c>
      <c r="I26" s="846">
        <v>1088.885</v>
      </c>
      <c r="J26" s="846">
        <v>1190.595</v>
      </c>
      <c r="K26" s="846">
        <v>1197.697</v>
      </c>
      <c r="L26" s="846">
        <v>1265.093</v>
      </c>
      <c r="M26" s="846">
        <v>1274.376</v>
      </c>
      <c r="N26" s="846">
        <v>1320.834</v>
      </c>
      <c r="O26" s="846">
        <v>1317.511</v>
      </c>
      <c r="P26" s="845"/>
      <c r="Q26" s="844">
        <f t="shared" si="0"/>
        <v>-0.0025158346923233044</v>
      </c>
    </row>
    <row r="27" spans="1:17" ht="12.75" customHeight="1">
      <c r="A27" s="857">
        <v>22</v>
      </c>
      <c r="B27" s="855"/>
      <c r="C27" s="854" t="s">
        <v>536</v>
      </c>
      <c r="D27" s="853">
        <v>626.279</v>
      </c>
      <c r="E27" s="853">
        <v>747.128</v>
      </c>
      <c r="F27" s="853">
        <v>883.586</v>
      </c>
      <c r="G27" s="852">
        <v>1076.802</v>
      </c>
      <c r="H27" s="852">
        <v>1059.076</v>
      </c>
      <c r="I27" s="852">
        <v>842.659</v>
      </c>
      <c r="J27" s="852">
        <v>923.035</v>
      </c>
      <c r="K27" s="852">
        <v>937.48</v>
      </c>
      <c r="L27" s="852">
        <v>978.395</v>
      </c>
      <c r="M27" s="852">
        <v>993.947</v>
      </c>
      <c r="N27" s="852">
        <v>1086.872</v>
      </c>
      <c r="O27" s="852">
        <v>1309.038</v>
      </c>
      <c r="P27" s="851"/>
      <c r="Q27" s="850">
        <f t="shared" si="0"/>
        <v>0.20440861481388795</v>
      </c>
    </row>
    <row r="28" spans="1:17" ht="12.75" customHeight="1">
      <c r="A28" s="857">
        <v>23</v>
      </c>
      <c r="B28" s="848"/>
      <c r="C28" s="847" t="s">
        <v>530</v>
      </c>
      <c r="D28" s="856">
        <v>1107.955</v>
      </c>
      <c r="E28" s="856">
        <v>1243.734</v>
      </c>
      <c r="F28" s="856">
        <v>1260.859</v>
      </c>
      <c r="G28" s="846">
        <v>1227.822</v>
      </c>
      <c r="H28" s="846">
        <v>1085.371</v>
      </c>
      <c r="I28" s="846">
        <v>1066.147</v>
      </c>
      <c r="J28" s="846">
        <v>1316.295</v>
      </c>
      <c r="K28" s="846">
        <v>1250.358</v>
      </c>
      <c r="L28" s="846">
        <v>1187.322</v>
      </c>
      <c r="M28" s="846">
        <v>1219.848</v>
      </c>
      <c r="N28" s="846">
        <v>1204.814</v>
      </c>
      <c r="O28" s="846">
        <v>1307.902</v>
      </c>
      <c r="P28" s="845"/>
      <c r="Q28" s="844">
        <f t="shared" si="0"/>
        <v>0.08556341476775664</v>
      </c>
    </row>
    <row r="29" spans="1:17" ht="12.75" customHeight="1">
      <c r="A29" s="857">
        <v>24</v>
      </c>
      <c r="B29" s="855"/>
      <c r="C29" s="854" t="s">
        <v>421</v>
      </c>
      <c r="D29" s="853">
        <v>1359.373</v>
      </c>
      <c r="E29" s="853">
        <v>1170.147</v>
      </c>
      <c r="F29" s="853">
        <v>1191.002</v>
      </c>
      <c r="G29" s="852">
        <v>1333.507</v>
      </c>
      <c r="H29" s="852">
        <v>1342.612</v>
      </c>
      <c r="I29" s="852">
        <v>1319.681</v>
      </c>
      <c r="J29" s="852">
        <v>1337.05</v>
      </c>
      <c r="K29" s="852">
        <v>1167.731</v>
      </c>
      <c r="L29" s="852">
        <v>1102.701</v>
      </c>
      <c r="M29" s="852">
        <v>1094.815</v>
      </c>
      <c r="N29" s="852">
        <v>1149.454</v>
      </c>
      <c r="O29" s="852">
        <v>1305.112</v>
      </c>
      <c r="P29" s="851"/>
      <c r="Q29" s="850">
        <f t="shared" si="0"/>
        <v>0.13541907723145097</v>
      </c>
    </row>
    <row r="30" spans="1:17" ht="12.75" customHeight="1">
      <c r="A30" s="857">
        <v>25</v>
      </c>
      <c r="B30" s="848"/>
      <c r="C30" s="847" t="s">
        <v>535</v>
      </c>
      <c r="D30" s="856">
        <v>742.296</v>
      </c>
      <c r="E30" s="856">
        <v>861.616</v>
      </c>
      <c r="F30" s="856">
        <v>1012.715</v>
      </c>
      <c r="G30" s="846">
        <v>1009.551</v>
      </c>
      <c r="H30" s="846">
        <v>1071.182</v>
      </c>
      <c r="I30" s="846">
        <v>1171.988</v>
      </c>
      <c r="J30" s="846">
        <v>1178.983</v>
      </c>
      <c r="K30" s="846">
        <v>1111.994</v>
      </c>
      <c r="L30" s="846">
        <v>977.784</v>
      </c>
      <c r="M30" s="846">
        <v>1028.216</v>
      </c>
      <c r="N30" s="846">
        <v>1175.216</v>
      </c>
      <c r="O30" s="846">
        <v>1299.815</v>
      </c>
      <c r="P30" s="845"/>
      <c r="Q30" s="844">
        <f t="shared" si="0"/>
        <v>0.1060222120869696</v>
      </c>
    </row>
    <row r="31" spans="1:17" ht="12.75" customHeight="1">
      <c r="A31" s="857">
        <v>26</v>
      </c>
      <c r="B31" s="855"/>
      <c r="C31" s="854" t="s">
        <v>532</v>
      </c>
      <c r="D31" s="853">
        <v>980.545</v>
      </c>
      <c r="E31" s="853">
        <v>1031.687</v>
      </c>
      <c r="F31" s="853">
        <v>992.451</v>
      </c>
      <c r="G31" s="852">
        <v>930.12</v>
      </c>
      <c r="H31" s="852">
        <v>900.892</v>
      </c>
      <c r="I31" s="852">
        <v>911.926</v>
      </c>
      <c r="J31" s="852">
        <v>956.432</v>
      </c>
      <c r="K31" s="852">
        <v>997.159</v>
      </c>
      <c r="L31" s="852">
        <v>1102.968</v>
      </c>
      <c r="M31" s="852">
        <v>1172.286</v>
      </c>
      <c r="N31" s="852">
        <v>1214.014</v>
      </c>
      <c r="O31" s="852">
        <v>1284.85</v>
      </c>
      <c r="P31" s="851"/>
      <c r="Q31" s="850">
        <f t="shared" si="0"/>
        <v>0.05834858576589719</v>
      </c>
    </row>
    <row r="32" spans="1:17" ht="12.75" customHeight="1">
      <c r="A32" s="857">
        <v>27</v>
      </c>
      <c r="B32" s="848"/>
      <c r="C32" s="847" t="s">
        <v>424</v>
      </c>
      <c r="D32" s="856">
        <v>916.617</v>
      </c>
      <c r="E32" s="856">
        <v>839.58</v>
      </c>
      <c r="F32" s="856">
        <v>1142.862</v>
      </c>
      <c r="G32" s="846">
        <v>1148.691</v>
      </c>
      <c r="H32" s="846">
        <v>1114.329</v>
      </c>
      <c r="I32" s="846">
        <v>1026.89</v>
      </c>
      <c r="J32" s="846">
        <v>1047.963</v>
      </c>
      <c r="K32" s="846">
        <v>1088.653</v>
      </c>
      <c r="L32" s="846">
        <v>1288.213</v>
      </c>
      <c r="M32" s="846">
        <v>1321.336</v>
      </c>
      <c r="N32" s="846">
        <v>1258.927</v>
      </c>
      <c r="O32" s="846">
        <v>1270.798</v>
      </c>
      <c r="P32" s="845"/>
      <c r="Q32" s="844">
        <f t="shared" si="0"/>
        <v>0.009429458578614991</v>
      </c>
    </row>
    <row r="33" spans="1:17" ht="12.75" customHeight="1">
      <c r="A33" s="857">
        <v>28</v>
      </c>
      <c r="B33" s="855"/>
      <c r="C33" s="854" t="s">
        <v>476</v>
      </c>
      <c r="D33" s="853">
        <v>876.304</v>
      </c>
      <c r="E33" s="853">
        <v>1004.343</v>
      </c>
      <c r="F33" s="853">
        <v>1095.786</v>
      </c>
      <c r="G33" s="852">
        <v>1154.942</v>
      </c>
      <c r="H33" s="852">
        <v>1053.922</v>
      </c>
      <c r="I33" s="852">
        <v>860.844</v>
      </c>
      <c r="J33" s="852">
        <v>977.482</v>
      </c>
      <c r="K33" s="852">
        <v>1028.009</v>
      </c>
      <c r="L33" s="852">
        <v>1006.802</v>
      </c>
      <c r="M33" s="852">
        <v>1138.663</v>
      </c>
      <c r="N33" s="852">
        <v>1231.406</v>
      </c>
      <c r="O33" s="852">
        <v>1268.09</v>
      </c>
      <c r="P33" s="851"/>
      <c r="Q33" s="850">
        <f t="shared" si="0"/>
        <v>0.029790337224278485</v>
      </c>
    </row>
    <row r="34" spans="1:17" ht="12.75" customHeight="1">
      <c r="A34" s="857">
        <v>29</v>
      </c>
      <c r="B34" s="848"/>
      <c r="C34" s="847" t="s">
        <v>612</v>
      </c>
      <c r="D34" s="856">
        <v>556.175</v>
      </c>
      <c r="E34" s="856">
        <v>490.29</v>
      </c>
      <c r="F34" s="856">
        <v>458.531</v>
      </c>
      <c r="G34" s="846">
        <v>472.936</v>
      </c>
      <c r="H34" s="846">
        <v>531.127</v>
      </c>
      <c r="I34" s="846">
        <v>604.748</v>
      </c>
      <c r="J34" s="846">
        <v>648.939</v>
      </c>
      <c r="K34" s="846">
        <v>737.726</v>
      </c>
      <c r="L34" s="846">
        <v>885.136</v>
      </c>
      <c r="M34" s="846">
        <v>994.64</v>
      </c>
      <c r="N34" s="846">
        <v>1045.115</v>
      </c>
      <c r="O34" s="846">
        <v>1247.078</v>
      </c>
      <c r="P34" s="845"/>
      <c r="Q34" s="844">
        <f t="shared" si="0"/>
        <v>0.19324476253809375</v>
      </c>
    </row>
    <row r="35" spans="1:17" ht="12.75" customHeight="1">
      <c r="A35" s="857">
        <v>30</v>
      </c>
      <c r="B35" s="855"/>
      <c r="C35" s="854" t="s">
        <v>531</v>
      </c>
      <c r="D35" s="853">
        <v>918.752</v>
      </c>
      <c r="E35" s="853">
        <v>1027.466</v>
      </c>
      <c r="F35" s="853">
        <v>1067.215</v>
      </c>
      <c r="G35" s="852">
        <v>983.495</v>
      </c>
      <c r="H35" s="852">
        <v>907.848</v>
      </c>
      <c r="I35" s="852">
        <v>975.41</v>
      </c>
      <c r="J35" s="852">
        <v>1090.286</v>
      </c>
      <c r="K35" s="852">
        <v>1110.167</v>
      </c>
      <c r="L35" s="852">
        <v>1161.87</v>
      </c>
      <c r="M35" s="852">
        <v>1178.413</v>
      </c>
      <c r="N35" s="852">
        <v>1230.694</v>
      </c>
      <c r="O35" s="852">
        <v>1215.548</v>
      </c>
      <c r="P35" s="851"/>
      <c r="Q35" s="850">
        <f t="shared" si="0"/>
        <v>-0.012306877257872384</v>
      </c>
    </row>
    <row r="36" spans="1:17" ht="12.75" customHeight="1">
      <c r="A36" s="857">
        <v>31</v>
      </c>
      <c r="B36" s="848"/>
      <c r="C36" s="847" t="s">
        <v>611</v>
      </c>
      <c r="D36" s="856">
        <v>987.622</v>
      </c>
      <c r="E36" s="856">
        <v>1029.295</v>
      </c>
      <c r="F36" s="856">
        <v>1093.464</v>
      </c>
      <c r="G36" s="846">
        <v>1098.338</v>
      </c>
      <c r="H36" s="846">
        <v>991.103</v>
      </c>
      <c r="I36" s="846">
        <v>1033.753</v>
      </c>
      <c r="J36" s="846">
        <v>1103.866</v>
      </c>
      <c r="K36" s="846">
        <v>1073.518</v>
      </c>
      <c r="L36" s="846">
        <v>1111.663</v>
      </c>
      <c r="M36" s="846">
        <v>1127.844</v>
      </c>
      <c r="N36" s="846">
        <v>1159.56</v>
      </c>
      <c r="O36" s="846">
        <v>1214.595</v>
      </c>
      <c r="P36" s="845"/>
      <c r="Q36" s="844">
        <f t="shared" si="0"/>
        <v>0.04746196833281591</v>
      </c>
    </row>
    <row r="37" spans="1:17" ht="12.75" customHeight="1">
      <c r="A37" s="857">
        <v>32</v>
      </c>
      <c r="B37" s="855"/>
      <c r="C37" s="854" t="s">
        <v>610</v>
      </c>
      <c r="D37" s="853" t="s">
        <v>604</v>
      </c>
      <c r="E37" s="853" t="s">
        <v>604</v>
      </c>
      <c r="F37" s="853" t="s">
        <v>604</v>
      </c>
      <c r="G37" s="852">
        <v>1482.384</v>
      </c>
      <c r="H37" s="852">
        <v>1330.915</v>
      </c>
      <c r="I37" s="852">
        <v>1312.775</v>
      </c>
      <c r="J37" s="852">
        <v>1276.602</v>
      </c>
      <c r="K37" s="852">
        <v>1178.924</v>
      </c>
      <c r="L37" s="852">
        <v>1216.16</v>
      </c>
      <c r="M37" s="852">
        <v>1254.644</v>
      </c>
      <c r="N37" s="852">
        <v>1282.061</v>
      </c>
      <c r="O37" s="852">
        <v>1207.733</v>
      </c>
      <c r="P37" s="851"/>
      <c r="Q37" s="850">
        <f t="shared" si="0"/>
        <v>-0.057975400546463884</v>
      </c>
    </row>
    <row r="38" spans="1:17" ht="12.75" customHeight="1">
      <c r="A38" s="857">
        <v>33</v>
      </c>
      <c r="B38" s="848"/>
      <c r="C38" s="847" t="s">
        <v>423</v>
      </c>
      <c r="D38" s="856">
        <v>964.289</v>
      </c>
      <c r="E38" s="856">
        <v>1015.552</v>
      </c>
      <c r="F38" s="856">
        <v>1078.923</v>
      </c>
      <c r="G38" s="846">
        <v>1101.004</v>
      </c>
      <c r="H38" s="846">
        <v>1136.478</v>
      </c>
      <c r="I38" s="846">
        <v>1105.851</v>
      </c>
      <c r="J38" s="846">
        <v>1182.704</v>
      </c>
      <c r="K38" s="846">
        <v>1127.295</v>
      </c>
      <c r="L38" s="846">
        <v>990.708</v>
      </c>
      <c r="M38" s="846">
        <v>1023.272</v>
      </c>
      <c r="N38" s="846">
        <v>1169.13</v>
      </c>
      <c r="O38" s="846">
        <v>1203.937</v>
      </c>
      <c r="P38" s="845"/>
      <c r="Q38" s="844">
        <f aca="true" t="shared" si="1" ref="Q38:Q55">(O38/N38)-1</f>
        <v>0.029771710588214928</v>
      </c>
    </row>
    <row r="39" spans="1:17" ht="12.75" customHeight="1">
      <c r="A39" s="857">
        <v>34</v>
      </c>
      <c r="B39" s="855"/>
      <c r="C39" s="854" t="s">
        <v>566</v>
      </c>
      <c r="D39" s="853">
        <v>2414.583</v>
      </c>
      <c r="E39" s="853">
        <v>2387.049</v>
      </c>
      <c r="F39" s="853">
        <v>2510.135</v>
      </c>
      <c r="G39" s="852">
        <v>2476.181</v>
      </c>
      <c r="H39" s="852">
        <v>1720.564</v>
      </c>
      <c r="I39" s="852">
        <v>1522.817</v>
      </c>
      <c r="J39" s="852">
        <v>1522.736</v>
      </c>
      <c r="K39" s="852">
        <v>1378.846</v>
      </c>
      <c r="L39" s="852">
        <v>1416.119</v>
      </c>
      <c r="M39" s="852">
        <v>1453.61</v>
      </c>
      <c r="N39" s="852">
        <v>1366.513</v>
      </c>
      <c r="O39" s="852">
        <v>1188.768</v>
      </c>
      <c r="P39" s="851"/>
      <c r="Q39" s="850">
        <f t="shared" si="1"/>
        <v>-0.13007194223545615</v>
      </c>
    </row>
    <row r="40" spans="1:17" ht="12.75" customHeight="1">
      <c r="A40" s="857">
        <v>35</v>
      </c>
      <c r="B40" s="848"/>
      <c r="C40" s="847" t="s">
        <v>609</v>
      </c>
      <c r="D40" s="856">
        <v>1038.692</v>
      </c>
      <c r="E40" s="856">
        <v>1036.493</v>
      </c>
      <c r="F40" s="856">
        <v>1144.8</v>
      </c>
      <c r="G40" s="846">
        <v>1103.058</v>
      </c>
      <c r="H40" s="846">
        <v>1054.814</v>
      </c>
      <c r="I40" s="846">
        <v>990.16</v>
      </c>
      <c r="J40" s="846">
        <v>1050.901</v>
      </c>
      <c r="K40" s="846">
        <v>1124.295</v>
      </c>
      <c r="L40" s="846">
        <v>1126.687</v>
      </c>
      <c r="M40" s="846">
        <v>1159.111</v>
      </c>
      <c r="N40" s="846">
        <v>1137.172</v>
      </c>
      <c r="O40" s="846">
        <v>1182.306</v>
      </c>
      <c r="P40" s="845"/>
      <c r="Q40" s="844">
        <f t="shared" si="1"/>
        <v>0.03968968634472181</v>
      </c>
    </row>
    <row r="41" spans="1:17" ht="12.75" customHeight="1">
      <c r="A41" s="857">
        <v>36</v>
      </c>
      <c r="B41" s="855"/>
      <c r="C41" s="854" t="s">
        <v>533</v>
      </c>
      <c r="D41" s="853">
        <v>978.621</v>
      </c>
      <c r="E41" s="853">
        <v>937.725</v>
      </c>
      <c r="F41" s="853">
        <v>967.559</v>
      </c>
      <c r="G41" s="852">
        <v>1086.611</v>
      </c>
      <c r="H41" s="852">
        <v>1120.067</v>
      </c>
      <c r="I41" s="852">
        <v>910.359</v>
      </c>
      <c r="J41" s="852">
        <v>1127.948</v>
      </c>
      <c r="K41" s="852">
        <v>982.811</v>
      </c>
      <c r="L41" s="852">
        <v>1012.568</v>
      </c>
      <c r="M41" s="852">
        <v>1062.789</v>
      </c>
      <c r="N41" s="852">
        <v>1069.121</v>
      </c>
      <c r="O41" s="852">
        <v>1175.506</v>
      </c>
      <c r="P41" s="851"/>
      <c r="Q41" s="850">
        <f t="shared" si="1"/>
        <v>0.09950697816243426</v>
      </c>
    </row>
    <row r="42" spans="1:17" ht="12.75" customHeight="1">
      <c r="A42" s="857">
        <v>37</v>
      </c>
      <c r="B42" s="848"/>
      <c r="C42" s="847" t="s">
        <v>527</v>
      </c>
      <c r="D42" s="856">
        <v>675.903</v>
      </c>
      <c r="E42" s="856">
        <v>718.468</v>
      </c>
      <c r="F42" s="856">
        <v>858.371</v>
      </c>
      <c r="G42" s="846">
        <v>878.03</v>
      </c>
      <c r="H42" s="846">
        <v>877.74</v>
      </c>
      <c r="I42" s="846">
        <v>952.028</v>
      </c>
      <c r="J42" s="846">
        <v>1068.033</v>
      </c>
      <c r="K42" s="846">
        <v>1184.515</v>
      </c>
      <c r="L42" s="846">
        <v>1311.045</v>
      </c>
      <c r="M42" s="846">
        <v>1349.579</v>
      </c>
      <c r="N42" s="846">
        <v>1178.433</v>
      </c>
      <c r="O42" s="846">
        <v>1164.076</v>
      </c>
      <c r="P42" s="845"/>
      <c r="Q42" s="844">
        <f t="shared" si="1"/>
        <v>-0.012183127933450555</v>
      </c>
    </row>
    <row r="43" spans="1:17" ht="12.75" customHeight="1">
      <c r="A43" s="849">
        <v>38</v>
      </c>
      <c r="B43" s="855"/>
      <c r="C43" s="854" t="s">
        <v>534</v>
      </c>
      <c r="D43" s="853">
        <v>840.27</v>
      </c>
      <c r="E43" s="853">
        <v>874.182</v>
      </c>
      <c r="F43" s="853">
        <v>864.617</v>
      </c>
      <c r="G43" s="852">
        <v>847.634</v>
      </c>
      <c r="H43" s="852">
        <v>751.633</v>
      </c>
      <c r="I43" s="852">
        <v>812.489</v>
      </c>
      <c r="J43" s="852">
        <v>917.535</v>
      </c>
      <c r="K43" s="852">
        <v>961.297</v>
      </c>
      <c r="L43" s="852">
        <v>982.897</v>
      </c>
      <c r="M43" s="852">
        <v>1035.321</v>
      </c>
      <c r="N43" s="852">
        <v>1078.036</v>
      </c>
      <c r="O43" s="852">
        <v>1162.62</v>
      </c>
      <c r="P43" s="851"/>
      <c r="Q43" s="850">
        <f t="shared" si="1"/>
        <v>0.07846120166673454</v>
      </c>
    </row>
    <row r="44" spans="1:17" ht="12.75" customHeight="1">
      <c r="A44" s="849">
        <v>39</v>
      </c>
      <c r="B44" s="848"/>
      <c r="C44" s="847" t="s">
        <v>608</v>
      </c>
      <c r="D44" s="856">
        <v>657.848</v>
      </c>
      <c r="E44" s="856">
        <v>684.714</v>
      </c>
      <c r="F44" s="856">
        <v>783.766</v>
      </c>
      <c r="G44" s="846">
        <v>919.668</v>
      </c>
      <c r="H44" s="846">
        <v>905.767</v>
      </c>
      <c r="I44" s="846">
        <v>930.194</v>
      </c>
      <c r="J44" s="846">
        <v>1003.307</v>
      </c>
      <c r="K44" s="846">
        <v>1012.06</v>
      </c>
      <c r="L44" s="846">
        <v>1083.012</v>
      </c>
      <c r="M44" s="846">
        <v>1113.172</v>
      </c>
      <c r="N44" s="846">
        <v>1114.585</v>
      </c>
      <c r="O44" s="846">
        <v>1146.573</v>
      </c>
      <c r="P44" s="845"/>
      <c r="Q44" s="844">
        <f t="shared" si="1"/>
        <v>0.02869947110359461</v>
      </c>
    </row>
    <row r="45" spans="1:17" ht="12.75" customHeight="1">
      <c r="A45" s="849">
        <v>40</v>
      </c>
      <c r="B45" s="855"/>
      <c r="C45" s="854" t="s">
        <v>426</v>
      </c>
      <c r="D45" s="853">
        <v>1303.146</v>
      </c>
      <c r="E45" s="853">
        <v>1277.974</v>
      </c>
      <c r="F45" s="853">
        <v>1217.785</v>
      </c>
      <c r="G45" s="852">
        <v>1130.764</v>
      </c>
      <c r="H45" s="852">
        <v>978.037</v>
      </c>
      <c r="I45" s="852">
        <v>958.393</v>
      </c>
      <c r="J45" s="852">
        <v>1080.287</v>
      </c>
      <c r="K45" s="852">
        <v>1068.929</v>
      </c>
      <c r="L45" s="852">
        <v>1099.882</v>
      </c>
      <c r="M45" s="852">
        <v>1095.381</v>
      </c>
      <c r="N45" s="852">
        <v>1142.01</v>
      </c>
      <c r="O45" s="852">
        <v>1120.265</v>
      </c>
      <c r="P45" s="851"/>
      <c r="Q45" s="850">
        <f t="shared" si="1"/>
        <v>-0.019040989133194852</v>
      </c>
    </row>
    <row r="46" spans="1:17" ht="12.75" customHeight="1">
      <c r="A46" s="849">
        <v>41</v>
      </c>
      <c r="B46" s="848"/>
      <c r="C46" s="847" t="s">
        <v>567</v>
      </c>
      <c r="D46" s="856">
        <v>1238.416</v>
      </c>
      <c r="E46" s="856">
        <v>1269.634</v>
      </c>
      <c r="F46" s="856">
        <v>1336.615</v>
      </c>
      <c r="G46" s="846">
        <v>1439.58</v>
      </c>
      <c r="H46" s="846">
        <v>1322.09</v>
      </c>
      <c r="I46" s="846">
        <v>1191.215</v>
      </c>
      <c r="J46" s="846">
        <v>1210.93</v>
      </c>
      <c r="K46" s="846">
        <v>1192.618</v>
      </c>
      <c r="L46" s="846">
        <v>1104.375</v>
      </c>
      <c r="M46" s="846">
        <v>1132.262</v>
      </c>
      <c r="N46" s="846">
        <v>1143.804</v>
      </c>
      <c r="O46" s="846">
        <v>1115.865</v>
      </c>
      <c r="P46" s="845"/>
      <c r="Q46" s="844">
        <f t="shared" si="1"/>
        <v>-0.024426387737759292</v>
      </c>
    </row>
    <row r="47" spans="1:17" ht="12.75" customHeight="1">
      <c r="A47" s="849">
        <v>42</v>
      </c>
      <c r="B47" s="855"/>
      <c r="C47" s="854" t="s">
        <v>607</v>
      </c>
      <c r="D47" s="853">
        <v>958.126</v>
      </c>
      <c r="E47" s="853">
        <v>1111.276</v>
      </c>
      <c r="F47" s="853">
        <v>1225.689</v>
      </c>
      <c r="G47" s="852">
        <v>1186.732</v>
      </c>
      <c r="H47" s="852">
        <v>1150.158</v>
      </c>
      <c r="I47" s="852">
        <v>1272.448</v>
      </c>
      <c r="J47" s="852">
        <v>1280.102</v>
      </c>
      <c r="K47" s="852">
        <v>1127.12</v>
      </c>
      <c r="L47" s="852">
        <v>1010.338</v>
      </c>
      <c r="M47" s="852">
        <v>974.316</v>
      </c>
      <c r="N47" s="852">
        <v>1003.201</v>
      </c>
      <c r="O47" s="852">
        <v>1106.699</v>
      </c>
      <c r="P47" s="851"/>
      <c r="Q47" s="850">
        <f t="shared" si="1"/>
        <v>0.1031677600002392</v>
      </c>
    </row>
    <row r="48" spans="1:17" ht="12.75" customHeight="1">
      <c r="A48" s="857">
        <v>43</v>
      </c>
      <c r="B48" s="848"/>
      <c r="C48" s="847" t="s">
        <v>514</v>
      </c>
      <c r="D48" s="856">
        <v>681.261</v>
      </c>
      <c r="E48" s="856">
        <v>662.634</v>
      </c>
      <c r="F48" s="856">
        <v>652.511</v>
      </c>
      <c r="G48" s="846">
        <v>652.42</v>
      </c>
      <c r="H48" s="846">
        <v>659.606</v>
      </c>
      <c r="I48" s="846">
        <v>810.944</v>
      </c>
      <c r="J48" s="846">
        <v>914.072</v>
      </c>
      <c r="K48" s="846">
        <v>929.195</v>
      </c>
      <c r="L48" s="846">
        <v>956.584</v>
      </c>
      <c r="M48" s="846">
        <v>1028.875</v>
      </c>
      <c r="N48" s="846">
        <v>1139.733</v>
      </c>
      <c r="O48" s="846">
        <v>1098.755</v>
      </c>
      <c r="P48" s="845"/>
      <c r="Q48" s="844">
        <f t="shared" si="1"/>
        <v>-0.03595403484851267</v>
      </c>
    </row>
    <row r="49" spans="1:17" ht="12.75" customHeight="1">
      <c r="A49" s="849">
        <v>44</v>
      </c>
      <c r="B49" s="855"/>
      <c r="C49" s="854" t="s">
        <v>606</v>
      </c>
      <c r="D49" s="853">
        <v>595.838</v>
      </c>
      <c r="E49" s="853">
        <v>636.897</v>
      </c>
      <c r="F49" s="853">
        <v>668.112</v>
      </c>
      <c r="G49" s="852">
        <v>594.298</v>
      </c>
      <c r="H49" s="852">
        <v>546.027</v>
      </c>
      <c r="I49" s="852">
        <v>555.994</v>
      </c>
      <c r="J49" s="852">
        <v>635.723</v>
      </c>
      <c r="K49" s="852">
        <v>678.533</v>
      </c>
      <c r="L49" s="852">
        <v>750.888</v>
      </c>
      <c r="M49" s="852">
        <v>869.791</v>
      </c>
      <c r="N49" s="852">
        <v>1029.642</v>
      </c>
      <c r="O49" s="852">
        <v>1068.839</v>
      </c>
      <c r="P49" s="851"/>
      <c r="Q49" s="850">
        <f t="shared" si="1"/>
        <v>0.03806857140637221</v>
      </c>
    </row>
    <row r="50" spans="1:17" ht="12.75" customHeight="1">
      <c r="A50" s="857">
        <v>45</v>
      </c>
      <c r="B50" s="848"/>
      <c r="C50" s="847" t="s">
        <v>605</v>
      </c>
      <c r="D50" s="856" t="s">
        <v>604</v>
      </c>
      <c r="E50" s="856">
        <v>817.609</v>
      </c>
      <c r="F50" s="856">
        <v>820.353</v>
      </c>
      <c r="G50" s="846">
        <v>890.527</v>
      </c>
      <c r="H50" s="846">
        <v>843.902</v>
      </c>
      <c r="I50" s="846">
        <v>850.096</v>
      </c>
      <c r="J50" s="846">
        <v>930.251</v>
      </c>
      <c r="K50" s="846">
        <v>976.718</v>
      </c>
      <c r="L50" s="846">
        <v>988.177</v>
      </c>
      <c r="M50" s="846">
        <v>1019.323</v>
      </c>
      <c r="N50" s="846">
        <v>1035.664</v>
      </c>
      <c r="O50" s="846">
        <v>1068.037</v>
      </c>
      <c r="P50" s="845"/>
      <c r="Q50" s="844">
        <f t="shared" si="1"/>
        <v>0.03125820729503004</v>
      </c>
    </row>
    <row r="51" spans="1:17" ht="12.75" customHeight="1">
      <c r="A51" s="849">
        <v>46</v>
      </c>
      <c r="B51" s="855"/>
      <c r="C51" s="854" t="s">
        <v>603</v>
      </c>
      <c r="D51" s="853">
        <v>1659.942</v>
      </c>
      <c r="E51" s="853">
        <v>1494.972</v>
      </c>
      <c r="F51" s="853">
        <v>1436.522</v>
      </c>
      <c r="G51" s="852">
        <v>1318.927</v>
      </c>
      <c r="H51" s="852">
        <v>1306.087</v>
      </c>
      <c r="I51" s="852">
        <v>1244.441</v>
      </c>
      <c r="J51" s="852">
        <v>1271.477</v>
      </c>
      <c r="K51" s="852">
        <v>1254.815</v>
      </c>
      <c r="L51" s="852">
        <v>1355.668</v>
      </c>
      <c r="M51" s="852">
        <v>1472.648</v>
      </c>
      <c r="N51" s="852">
        <v>1383.915</v>
      </c>
      <c r="O51" s="852">
        <v>1053.382</v>
      </c>
      <c r="P51" s="851"/>
      <c r="Q51" s="850">
        <f t="shared" si="1"/>
        <v>-0.23883909055108143</v>
      </c>
    </row>
    <row r="52" spans="1:17" ht="12.75" customHeight="1">
      <c r="A52" s="849">
        <v>47</v>
      </c>
      <c r="B52" s="848"/>
      <c r="C52" s="847" t="s">
        <v>568</v>
      </c>
      <c r="D52" s="856">
        <v>859.867</v>
      </c>
      <c r="E52" s="856">
        <v>1072.356</v>
      </c>
      <c r="F52" s="856">
        <v>1235.732</v>
      </c>
      <c r="G52" s="846">
        <v>1229.477</v>
      </c>
      <c r="H52" s="846">
        <v>974.128</v>
      </c>
      <c r="I52" s="846">
        <v>1020.231</v>
      </c>
      <c r="J52" s="846">
        <v>1082.759</v>
      </c>
      <c r="K52" s="846">
        <v>1047.65</v>
      </c>
      <c r="L52" s="846">
        <v>953.421</v>
      </c>
      <c r="M52" s="846">
        <v>968.844</v>
      </c>
      <c r="N52" s="846">
        <v>1030.549</v>
      </c>
      <c r="O52" s="846">
        <v>1045.069</v>
      </c>
      <c r="P52" s="845"/>
      <c r="Q52" s="844">
        <f t="shared" si="1"/>
        <v>0.014089577497042871</v>
      </c>
    </row>
    <row r="53" spans="1:17" ht="12.75" customHeight="1">
      <c r="A53" s="849">
        <v>48</v>
      </c>
      <c r="B53" s="855"/>
      <c r="C53" s="854" t="s">
        <v>602</v>
      </c>
      <c r="D53" s="853">
        <v>578.399</v>
      </c>
      <c r="E53" s="853">
        <v>535.705</v>
      </c>
      <c r="F53" s="853">
        <v>500.464</v>
      </c>
      <c r="G53" s="852">
        <v>413.479</v>
      </c>
      <c r="H53" s="852">
        <v>438.234</v>
      </c>
      <c r="I53" s="852">
        <v>439.661</v>
      </c>
      <c r="J53" s="852">
        <v>411.233</v>
      </c>
      <c r="K53" s="852">
        <v>404.787</v>
      </c>
      <c r="L53" s="852">
        <v>413.151</v>
      </c>
      <c r="M53" s="852">
        <v>458.231</v>
      </c>
      <c r="N53" s="852">
        <v>674.411</v>
      </c>
      <c r="O53" s="852">
        <v>1040.167</v>
      </c>
      <c r="P53" s="851"/>
      <c r="Q53" s="850">
        <f t="shared" si="1"/>
        <v>0.5423339773520894</v>
      </c>
    </row>
    <row r="54" spans="1:17" ht="12.75" customHeight="1">
      <c r="A54" s="849">
        <v>49</v>
      </c>
      <c r="B54" s="848"/>
      <c r="C54" s="847" t="s">
        <v>569</v>
      </c>
      <c r="D54" s="846">
        <v>709.609</v>
      </c>
      <c r="E54" s="846">
        <v>779.505</v>
      </c>
      <c r="F54" s="846">
        <v>851.464</v>
      </c>
      <c r="G54" s="846">
        <v>856.817</v>
      </c>
      <c r="H54" s="846">
        <v>887.472</v>
      </c>
      <c r="I54" s="846">
        <v>902.657</v>
      </c>
      <c r="J54" s="846">
        <v>950.155</v>
      </c>
      <c r="K54" s="846">
        <v>821.777</v>
      </c>
      <c r="L54" s="846">
        <v>772.003</v>
      </c>
      <c r="M54" s="846">
        <v>901.395</v>
      </c>
      <c r="N54" s="846">
        <v>992.244</v>
      </c>
      <c r="O54" s="846">
        <v>1039.777</v>
      </c>
      <c r="P54" s="845"/>
      <c r="Q54" s="844">
        <f t="shared" si="1"/>
        <v>0.047904547671742126</v>
      </c>
    </row>
    <row r="55" spans="1:17" ht="12.75" customHeight="1">
      <c r="A55" s="843">
        <v>50</v>
      </c>
      <c r="B55" s="842"/>
      <c r="C55" s="841" t="s">
        <v>492</v>
      </c>
      <c r="D55" s="840">
        <v>933.218</v>
      </c>
      <c r="E55" s="840">
        <v>977.745</v>
      </c>
      <c r="F55" s="840">
        <v>1011.469</v>
      </c>
      <c r="G55" s="839">
        <v>964.332</v>
      </c>
      <c r="H55" s="839">
        <v>942.74</v>
      </c>
      <c r="I55" s="839">
        <v>953.732</v>
      </c>
      <c r="J55" s="839">
        <v>1004.596</v>
      </c>
      <c r="K55" s="839">
        <v>950.105</v>
      </c>
      <c r="L55" s="839">
        <v>974.725</v>
      </c>
      <c r="M55" s="839">
        <v>1005.814</v>
      </c>
      <c r="N55" s="839">
        <v>1001.444</v>
      </c>
      <c r="O55" s="839">
        <v>1028.94</v>
      </c>
      <c r="P55" s="838"/>
      <c r="Q55" s="837">
        <f t="shared" si="1"/>
        <v>0.027456353026230174</v>
      </c>
    </row>
    <row r="56" ht="15" customHeight="1">
      <c r="C56" s="836" t="s">
        <v>427</v>
      </c>
    </row>
    <row r="57" ht="12.75">
      <c r="Q57" s="835"/>
    </row>
    <row r="58" ht="12.75">
      <c r="Q58" s="835"/>
    </row>
    <row r="59" ht="12.75">
      <c r="Q59" s="835"/>
    </row>
    <row r="69" spans="18:25" ht="12.75">
      <c r="R69" s="835"/>
      <c r="S69" s="835"/>
      <c r="T69" s="835"/>
      <c r="U69" s="835"/>
      <c r="V69" s="835"/>
      <c r="W69" s="835"/>
      <c r="X69" s="835"/>
      <c r="Y69" s="835"/>
    </row>
    <row r="70" spans="18:25" ht="12.75">
      <c r="R70" s="835"/>
      <c r="S70" s="835"/>
      <c r="T70" s="835"/>
      <c r="U70" s="835"/>
      <c r="V70" s="835"/>
      <c r="W70" s="835"/>
      <c r="X70" s="835"/>
      <c r="Y70" s="835"/>
    </row>
    <row r="71" spans="18:25" ht="12.75">
      <c r="R71" s="835"/>
      <c r="S71" s="835"/>
      <c r="T71" s="835"/>
      <c r="U71" s="835"/>
      <c r="V71" s="835"/>
      <c r="W71" s="835"/>
      <c r="X71" s="835"/>
      <c r="Y71" s="835"/>
    </row>
    <row r="72" spans="18:25" ht="12.75">
      <c r="R72" s="835"/>
      <c r="S72" s="835"/>
      <c r="T72" s="835"/>
      <c r="U72" s="835"/>
      <c r="V72" s="835"/>
      <c r="W72" s="835"/>
      <c r="X72" s="835"/>
      <c r="Y72" s="835"/>
    </row>
    <row r="73" spans="18:25" ht="12.75">
      <c r="R73" s="835"/>
      <c r="S73" s="835"/>
      <c r="T73" s="835"/>
      <c r="U73" s="835"/>
      <c r="V73" s="835"/>
      <c r="W73" s="835"/>
      <c r="X73" s="835"/>
      <c r="Y73" s="835"/>
    </row>
    <row r="74" spans="18:25" ht="12.75">
      <c r="R74" s="835"/>
      <c r="S74" s="835"/>
      <c r="T74" s="835"/>
      <c r="U74" s="835"/>
      <c r="V74" s="835"/>
      <c r="W74" s="835"/>
      <c r="X74" s="835"/>
      <c r="Y74" s="835"/>
    </row>
    <row r="75" spans="18:25" ht="12.75">
      <c r="R75" s="835"/>
      <c r="S75" s="835"/>
      <c r="T75" s="835"/>
      <c r="U75" s="835"/>
      <c r="V75" s="835"/>
      <c r="W75" s="835"/>
      <c r="X75" s="835"/>
      <c r="Y75" s="835"/>
    </row>
    <row r="76" spans="18:25" ht="12.75">
      <c r="R76" s="835"/>
      <c r="S76" s="835"/>
      <c r="T76" s="835"/>
      <c r="U76" s="835"/>
      <c r="V76" s="835"/>
      <c r="W76" s="835"/>
      <c r="X76" s="835"/>
      <c r="Y76" s="835"/>
    </row>
    <row r="77" spans="18:25" ht="12.75">
      <c r="R77" s="835"/>
      <c r="S77" s="835"/>
      <c r="T77" s="835"/>
      <c r="U77" s="835"/>
      <c r="V77" s="835"/>
      <c r="W77" s="835"/>
      <c r="X77" s="835"/>
      <c r="Y77" s="835"/>
    </row>
    <row r="78" spans="18:25" ht="12.75">
      <c r="R78" s="835"/>
      <c r="S78" s="835"/>
      <c r="T78" s="835"/>
      <c r="U78" s="835"/>
      <c r="V78" s="835"/>
      <c r="W78" s="835"/>
      <c r="X78" s="835"/>
      <c r="Y78" s="835"/>
    </row>
    <row r="79" spans="18:25" ht="12.75">
      <c r="R79" s="835"/>
      <c r="S79" s="835"/>
      <c r="T79" s="835"/>
      <c r="U79" s="835"/>
      <c r="V79" s="835"/>
      <c r="W79" s="835"/>
      <c r="X79" s="835"/>
      <c r="Y79" s="835"/>
    </row>
    <row r="80" spans="18:25" ht="12.75">
      <c r="R80" s="835"/>
      <c r="S80" s="835"/>
      <c r="T80" s="835"/>
      <c r="U80" s="835"/>
      <c r="V80" s="835"/>
      <c r="W80" s="835"/>
      <c r="X80" s="835"/>
      <c r="Y80" s="835"/>
    </row>
    <row r="81" spans="18:25" ht="12.75">
      <c r="R81" s="835"/>
      <c r="S81" s="835"/>
      <c r="T81" s="835"/>
      <c r="U81" s="835"/>
      <c r="V81" s="835"/>
      <c r="W81" s="835"/>
      <c r="X81" s="835"/>
      <c r="Y81" s="835"/>
    </row>
    <row r="82" spans="18:25" ht="12.75">
      <c r="R82" s="835"/>
      <c r="S82" s="835"/>
      <c r="T82" s="835"/>
      <c r="U82" s="835"/>
      <c r="V82" s="835"/>
      <c r="W82" s="835"/>
      <c r="X82" s="835"/>
      <c r="Y82" s="835"/>
    </row>
    <row r="83" spans="18:25" ht="12.75">
      <c r="R83" s="835"/>
      <c r="S83" s="835"/>
      <c r="T83" s="835"/>
      <c r="U83" s="835"/>
      <c r="V83" s="835"/>
      <c r="W83" s="835"/>
      <c r="X83" s="835"/>
      <c r="Y83" s="835"/>
    </row>
    <row r="84" spans="18:25" ht="12.75">
      <c r="R84" s="835"/>
      <c r="S84" s="835"/>
      <c r="T84" s="835"/>
      <c r="U84" s="835"/>
      <c r="V84" s="835"/>
      <c r="W84" s="835"/>
      <c r="X84" s="835"/>
      <c r="Y84" s="835"/>
    </row>
    <row r="85" spans="18:25" ht="12.75">
      <c r="R85" s="835"/>
      <c r="S85" s="835"/>
      <c r="T85" s="835"/>
      <c r="U85" s="835"/>
      <c r="V85" s="835"/>
      <c r="W85" s="835"/>
      <c r="X85" s="835"/>
      <c r="Y85" s="835"/>
    </row>
    <row r="86" spans="18:25" ht="12.75">
      <c r="R86" s="835"/>
      <c r="S86" s="835"/>
      <c r="T86" s="835"/>
      <c r="U86" s="835"/>
      <c r="V86" s="835"/>
      <c r="W86" s="835"/>
      <c r="X86" s="835"/>
      <c r="Y86" s="835"/>
    </row>
    <row r="87" spans="18:25" ht="12.75">
      <c r="R87" s="835"/>
      <c r="S87" s="835"/>
      <c r="T87" s="835"/>
      <c r="U87" s="835"/>
      <c r="V87" s="835"/>
      <c r="W87" s="835"/>
      <c r="X87" s="835"/>
      <c r="Y87" s="835"/>
    </row>
    <row r="88" spans="18:25" ht="12.75">
      <c r="R88" s="835"/>
      <c r="S88" s="835"/>
      <c r="T88" s="835"/>
      <c r="U88" s="835"/>
      <c r="V88" s="835"/>
      <c r="W88" s="835"/>
      <c r="X88" s="835"/>
      <c r="Y88" s="835"/>
    </row>
    <row r="89" spans="18:25" ht="12.75">
      <c r="R89" s="835"/>
      <c r="S89" s="835"/>
      <c r="T89" s="835"/>
      <c r="U89" s="835"/>
      <c r="V89" s="835"/>
      <c r="W89" s="835"/>
      <c r="X89" s="835"/>
      <c r="Y89" s="835"/>
    </row>
    <row r="90" spans="18:25" ht="12.75">
      <c r="R90" s="835"/>
      <c r="S90" s="835"/>
      <c r="T90" s="835"/>
      <c r="U90" s="835"/>
      <c r="V90" s="835"/>
      <c r="W90" s="835"/>
      <c r="X90" s="835"/>
      <c r="Y90" s="835"/>
    </row>
    <row r="91" spans="18:25" ht="12.75">
      <c r="R91" s="835"/>
      <c r="S91" s="835"/>
      <c r="T91" s="835"/>
      <c r="U91" s="835"/>
      <c r="V91" s="835"/>
      <c r="W91" s="835"/>
      <c r="X91" s="835"/>
      <c r="Y91" s="835"/>
    </row>
    <row r="92" spans="18:25" ht="12.75">
      <c r="R92" s="835"/>
      <c r="S92" s="835"/>
      <c r="T92" s="835"/>
      <c r="U92" s="835"/>
      <c r="V92" s="835"/>
      <c r="W92" s="835"/>
      <c r="X92" s="835"/>
      <c r="Y92" s="835"/>
    </row>
    <row r="93" spans="18:25" ht="12.75">
      <c r="R93" s="835"/>
      <c r="S93" s="835"/>
      <c r="T93" s="835"/>
      <c r="U93" s="835"/>
      <c r="V93" s="835"/>
      <c r="W93" s="835"/>
      <c r="X93" s="835"/>
      <c r="Y93" s="835"/>
    </row>
    <row r="94" spans="18:25" ht="12.75">
      <c r="R94" s="835"/>
      <c r="S94" s="835"/>
      <c r="T94" s="835"/>
      <c r="U94" s="835"/>
      <c r="V94" s="835"/>
      <c r="W94" s="835"/>
      <c r="X94" s="835"/>
      <c r="Y94" s="835"/>
    </row>
    <row r="95" spans="18:25" ht="12.75">
      <c r="R95" s="835"/>
      <c r="S95" s="835"/>
      <c r="T95" s="835"/>
      <c r="U95" s="835"/>
      <c r="V95" s="835"/>
      <c r="W95" s="835"/>
      <c r="X95" s="835"/>
      <c r="Y95" s="835"/>
    </row>
  </sheetData>
  <sheetProtection/>
  <mergeCells count="4">
    <mergeCell ref="C2:K2"/>
    <mergeCell ref="C3:K3"/>
    <mergeCell ref="A4:A5"/>
    <mergeCell ref="H4:P4"/>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R57"/>
  <sheetViews>
    <sheetView zoomScalePageLayoutView="0" workbookViewId="0" topLeftCell="A12">
      <selection activeCell="A2" sqref="A2"/>
    </sheetView>
  </sheetViews>
  <sheetFormatPr defaultColWidth="9.140625" defaultRowHeight="12.75"/>
  <cols>
    <col min="1" max="1" width="6.28125" style="835" customWidth="1"/>
    <col min="2" max="2" width="1.7109375" style="835" customWidth="1"/>
    <col min="3" max="3" width="44.57421875" style="835" customWidth="1"/>
    <col min="4" max="4" width="9.8515625" style="835" customWidth="1"/>
    <col min="5" max="5" width="9.57421875" style="835" customWidth="1"/>
    <col min="6" max="6" width="10.421875" style="835" customWidth="1"/>
    <col min="7" max="15" width="9.140625" style="835" customWidth="1"/>
    <col min="16" max="16" width="1.7109375" style="835" customWidth="1"/>
    <col min="17" max="17" width="9.140625" style="835" customWidth="1"/>
    <col min="18" max="18" width="9.57421875" style="835" bestFit="1" customWidth="1"/>
    <col min="19" max="16384" width="9.140625" style="835" customWidth="1"/>
  </cols>
  <sheetData>
    <row r="1" s="834" customFormat="1" ht="14.25" customHeight="1">
      <c r="Q1" s="869" t="s">
        <v>398</v>
      </c>
    </row>
    <row r="2" spans="3:17" s="834" customFormat="1" ht="15" customHeight="1">
      <c r="C2" s="955" t="s">
        <v>92</v>
      </c>
      <c r="D2" s="955"/>
      <c r="E2" s="955"/>
      <c r="F2" s="955"/>
      <c r="G2" s="955"/>
      <c r="H2" s="955"/>
      <c r="I2" s="955"/>
      <c r="J2" s="955"/>
      <c r="K2" s="867"/>
      <c r="L2" s="867"/>
      <c r="M2" s="867"/>
      <c r="N2" s="867"/>
      <c r="O2" s="867"/>
      <c r="P2" s="867"/>
      <c r="Q2" s="867"/>
    </row>
    <row r="3" spans="3:17" s="834" customFormat="1" ht="15" customHeight="1">
      <c r="C3" s="955" t="s">
        <v>91</v>
      </c>
      <c r="D3" s="955"/>
      <c r="E3" s="955"/>
      <c r="F3" s="955"/>
      <c r="G3" s="955"/>
      <c r="H3" s="955"/>
      <c r="I3" s="955"/>
      <c r="J3" s="955"/>
      <c r="K3" s="867"/>
      <c r="L3" s="867"/>
      <c r="M3" s="867"/>
      <c r="N3" s="867"/>
      <c r="O3" s="867"/>
      <c r="P3" s="867"/>
      <c r="Q3" s="867"/>
    </row>
    <row r="4" spans="3:17" s="834" customFormat="1" ht="15" customHeight="1">
      <c r="C4" s="958" t="s">
        <v>617</v>
      </c>
      <c r="D4" s="958"/>
      <c r="E4" s="958"/>
      <c r="F4" s="958"/>
      <c r="G4" s="958"/>
      <c r="H4" s="958"/>
      <c r="I4" s="958"/>
      <c r="J4" s="958"/>
      <c r="K4" s="888"/>
      <c r="L4" s="888"/>
      <c r="M4" s="888"/>
      <c r="N4" s="888"/>
      <c r="O4" s="888"/>
      <c r="P4" s="888"/>
      <c r="Q4" s="888"/>
    </row>
    <row r="5" spans="1:17" s="834" customFormat="1" ht="12" customHeight="1">
      <c r="A5" s="956" t="s">
        <v>261</v>
      </c>
      <c r="B5" s="887"/>
      <c r="H5" s="957"/>
      <c r="I5" s="957"/>
      <c r="J5" s="957"/>
      <c r="K5" s="957"/>
      <c r="L5" s="957"/>
      <c r="M5" s="957"/>
      <c r="N5" s="957"/>
      <c r="O5" s="957"/>
      <c r="P5" s="957"/>
      <c r="Q5" s="886">
        <v>1000</v>
      </c>
    </row>
    <row r="6" spans="1:17" s="834" customFormat="1" ht="24.75" customHeight="1">
      <c r="A6" s="956"/>
      <c r="B6" s="865"/>
      <c r="C6" s="863"/>
      <c r="D6" s="864">
        <v>2005</v>
      </c>
      <c r="E6" s="864">
        <v>2006</v>
      </c>
      <c r="F6" s="864">
        <v>2007</v>
      </c>
      <c r="G6" s="864">
        <v>2008</v>
      </c>
      <c r="H6" s="864">
        <v>2009</v>
      </c>
      <c r="I6" s="864">
        <v>2010</v>
      </c>
      <c r="J6" s="864">
        <v>2011</v>
      </c>
      <c r="K6" s="864">
        <v>2012</v>
      </c>
      <c r="L6" s="864">
        <v>2013</v>
      </c>
      <c r="M6" s="864">
        <v>2014</v>
      </c>
      <c r="N6" s="864">
        <v>2015</v>
      </c>
      <c r="O6" s="864">
        <v>2016</v>
      </c>
      <c r="P6" s="863"/>
      <c r="Q6" s="862" t="s">
        <v>616</v>
      </c>
    </row>
    <row r="7" spans="1:18" ht="12.75" customHeight="1">
      <c r="A7" s="876">
        <v>1</v>
      </c>
      <c r="B7" s="885"/>
      <c r="C7" s="884" t="s">
        <v>77</v>
      </c>
      <c r="D7" s="878">
        <v>2939.555</v>
      </c>
      <c r="E7" s="878">
        <v>2752.033</v>
      </c>
      <c r="F7" s="878">
        <v>2838.837</v>
      </c>
      <c r="G7" s="883">
        <v>2802.748</v>
      </c>
      <c r="H7" s="883">
        <v>2478.787</v>
      </c>
      <c r="I7" s="883">
        <v>2516.58</v>
      </c>
      <c r="J7" s="883">
        <v>2678.991</v>
      </c>
      <c r="K7" s="878">
        <v>2838.673</v>
      </c>
      <c r="L7" s="878">
        <v>3015.311</v>
      </c>
      <c r="M7" s="878">
        <v>2972.463</v>
      </c>
      <c r="N7" s="878">
        <v>3050.499</v>
      </c>
      <c r="O7" s="878">
        <v>2934.554</v>
      </c>
      <c r="P7" s="851"/>
      <c r="Q7" s="882">
        <f aca="true" t="shared" si="0" ref="Q7:Q38">(O7/N7)-1</f>
        <v>-0.038008535652691466</v>
      </c>
      <c r="R7" s="881"/>
    </row>
    <row r="8" spans="1:17" ht="12.75" customHeight="1">
      <c r="A8" s="876">
        <v>2</v>
      </c>
      <c r="B8" s="848"/>
      <c r="C8" s="847" t="s">
        <v>333</v>
      </c>
      <c r="D8" s="880">
        <v>1183.023</v>
      </c>
      <c r="E8" s="880">
        <v>1374.451</v>
      </c>
      <c r="F8" s="880">
        <v>1571.472</v>
      </c>
      <c r="G8" s="880">
        <v>1652.06</v>
      </c>
      <c r="H8" s="880">
        <v>1744.96</v>
      </c>
      <c r="I8" s="880">
        <v>1787.496</v>
      </c>
      <c r="J8" s="880">
        <v>1889.513</v>
      </c>
      <c r="K8" s="880">
        <v>1959.418</v>
      </c>
      <c r="L8" s="880">
        <v>2240.26</v>
      </c>
      <c r="M8" s="880">
        <v>2437.719</v>
      </c>
      <c r="N8" s="880">
        <v>2451.738</v>
      </c>
      <c r="O8" s="880">
        <v>2650.543</v>
      </c>
      <c r="P8" s="845"/>
      <c r="Q8" s="844">
        <f t="shared" si="0"/>
        <v>0.0810873755678625</v>
      </c>
    </row>
    <row r="9" spans="1:17" ht="12.75" customHeight="1">
      <c r="A9" s="876">
        <v>3</v>
      </c>
      <c r="B9" s="855"/>
      <c r="C9" s="854" t="s">
        <v>334</v>
      </c>
      <c r="D9" s="878">
        <v>1257.997</v>
      </c>
      <c r="E9" s="878">
        <v>1416.789</v>
      </c>
      <c r="F9" s="878">
        <v>1453.229</v>
      </c>
      <c r="G9" s="878">
        <v>1493.546</v>
      </c>
      <c r="H9" s="878">
        <v>1528.886</v>
      </c>
      <c r="I9" s="878">
        <v>1385.626</v>
      </c>
      <c r="J9" s="878">
        <v>1412.75</v>
      </c>
      <c r="K9" s="878">
        <v>1386.541</v>
      </c>
      <c r="L9" s="878">
        <v>1381.916</v>
      </c>
      <c r="M9" s="878">
        <v>1563.714</v>
      </c>
      <c r="N9" s="878">
        <v>1584.486</v>
      </c>
      <c r="O9" s="878">
        <v>1574.741</v>
      </c>
      <c r="P9" s="851"/>
      <c r="Q9" s="877">
        <f t="shared" si="0"/>
        <v>-0.006150259453223339</v>
      </c>
    </row>
    <row r="10" spans="1:17" ht="12.75" customHeight="1">
      <c r="A10" s="876">
        <v>4</v>
      </c>
      <c r="B10" s="848"/>
      <c r="C10" s="847" t="s">
        <v>78</v>
      </c>
      <c r="D10" s="880">
        <v>1382.829</v>
      </c>
      <c r="E10" s="880">
        <v>1429.425</v>
      </c>
      <c r="F10" s="880">
        <v>1405.694</v>
      </c>
      <c r="G10" s="880">
        <v>1460.93</v>
      </c>
      <c r="H10" s="880">
        <v>1235.549</v>
      </c>
      <c r="I10" s="880">
        <v>1188.711</v>
      </c>
      <c r="J10" s="880">
        <v>1298.892</v>
      </c>
      <c r="K10" s="880">
        <v>1313.394</v>
      </c>
      <c r="L10" s="880">
        <v>1339.633</v>
      </c>
      <c r="M10" s="880">
        <v>1354.61</v>
      </c>
      <c r="N10" s="880">
        <v>1518.903</v>
      </c>
      <c r="O10" s="880">
        <v>1529.632</v>
      </c>
      <c r="P10" s="845"/>
      <c r="Q10" s="844">
        <f t="shared" si="0"/>
        <v>0.007063650542529665</v>
      </c>
    </row>
    <row r="11" spans="1:17" ht="12.75" customHeight="1">
      <c r="A11" s="876">
        <v>5</v>
      </c>
      <c r="B11" s="855"/>
      <c r="C11" s="854" t="s">
        <v>336</v>
      </c>
      <c r="D11" s="878">
        <v>1246.818</v>
      </c>
      <c r="E11" s="878">
        <v>1284.916</v>
      </c>
      <c r="F11" s="878">
        <v>1332.494</v>
      </c>
      <c r="G11" s="878">
        <v>1301.901</v>
      </c>
      <c r="H11" s="878">
        <v>1107.342</v>
      </c>
      <c r="I11" s="878">
        <v>1132.399</v>
      </c>
      <c r="J11" s="878">
        <v>1211.98</v>
      </c>
      <c r="K11" s="878">
        <v>1287.06</v>
      </c>
      <c r="L11" s="878">
        <v>1315.399</v>
      </c>
      <c r="M11" s="878">
        <v>1395.277</v>
      </c>
      <c r="N11" s="878">
        <v>1423.135</v>
      </c>
      <c r="O11" s="878">
        <v>1509.378</v>
      </c>
      <c r="P11" s="851"/>
      <c r="Q11" s="877">
        <f t="shared" si="0"/>
        <v>0.060600716024832524</v>
      </c>
    </row>
    <row r="12" spans="1:17" ht="12.75" customHeight="1">
      <c r="A12" s="876">
        <v>6</v>
      </c>
      <c r="B12" s="848"/>
      <c r="C12" s="847" t="s">
        <v>386</v>
      </c>
      <c r="D12" s="880">
        <v>1729.629</v>
      </c>
      <c r="E12" s="880">
        <v>1659.334</v>
      </c>
      <c r="F12" s="880">
        <v>1729.269</v>
      </c>
      <c r="G12" s="880">
        <v>1214.388</v>
      </c>
      <c r="H12" s="880">
        <v>1184.076</v>
      </c>
      <c r="I12" s="880">
        <v>1189.927</v>
      </c>
      <c r="J12" s="880">
        <v>1268.56</v>
      </c>
      <c r="K12" s="880">
        <v>1361.999</v>
      </c>
      <c r="L12" s="880">
        <v>1406.505</v>
      </c>
      <c r="M12" s="880">
        <v>1368.509</v>
      </c>
      <c r="N12" s="880">
        <v>1503.021</v>
      </c>
      <c r="O12" s="880">
        <v>1423.606</v>
      </c>
      <c r="P12" s="845"/>
      <c r="Q12" s="844">
        <f t="shared" si="0"/>
        <v>-0.052836919776902636</v>
      </c>
    </row>
    <row r="13" spans="1:17" ht="12.75" customHeight="1">
      <c r="A13" s="876">
        <v>7</v>
      </c>
      <c r="B13" s="855"/>
      <c r="C13" s="854" t="s">
        <v>335</v>
      </c>
      <c r="D13" s="878">
        <v>936.628</v>
      </c>
      <c r="E13" s="878">
        <v>1036.425</v>
      </c>
      <c r="F13" s="878">
        <v>1057.016</v>
      </c>
      <c r="G13" s="878">
        <v>1047.291</v>
      </c>
      <c r="H13" s="878">
        <v>966.54</v>
      </c>
      <c r="I13" s="878">
        <v>1006.592</v>
      </c>
      <c r="J13" s="878">
        <v>1165.387</v>
      </c>
      <c r="K13" s="878">
        <v>1193.371</v>
      </c>
      <c r="L13" s="878">
        <v>1194.991</v>
      </c>
      <c r="M13" s="878">
        <v>1342.544</v>
      </c>
      <c r="N13" s="878">
        <v>1336.214</v>
      </c>
      <c r="O13" s="878">
        <v>1393.746</v>
      </c>
      <c r="P13" s="851"/>
      <c r="Q13" s="877">
        <f t="shared" si="0"/>
        <v>0.04305597756048063</v>
      </c>
    </row>
    <row r="14" spans="1:17" ht="12.75" customHeight="1">
      <c r="A14" s="876">
        <v>8</v>
      </c>
      <c r="B14" s="848"/>
      <c r="C14" s="847" t="s">
        <v>541</v>
      </c>
      <c r="D14" s="880" t="s">
        <v>193</v>
      </c>
      <c r="E14" s="880" t="s">
        <v>193</v>
      </c>
      <c r="F14" s="880" t="s">
        <v>193</v>
      </c>
      <c r="G14" s="880" t="s">
        <v>193</v>
      </c>
      <c r="H14" s="880" t="s">
        <v>193</v>
      </c>
      <c r="I14" s="880" t="s">
        <v>193</v>
      </c>
      <c r="J14" s="880" t="s">
        <v>193</v>
      </c>
      <c r="K14" s="880" t="s">
        <v>193</v>
      </c>
      <c r="L14" s="880" t="s">
        <v>193</v>
      </c>
      <c r="M14" s="880">
        <v>682.88</v>
      </c>
      <c r="N14" s="880">
        <v>1072.037</v>
      </c>
      <c r="O14" s="880">
        <v>1206.752</v>
      </c>
      <c r="P14" s="845"/>
      <c r="Q14" s="844">
        <f t="shared" si="0"/>
        <v>0.1256626403752854</v>
      </c>
    </row>
    <row r="15" spans="1:17" ht="12.75" customHeight="1">
      <c r="A15" s="876">
        <v>9</v>
      </c>
      <c r="B15" s="855"/>
      <c r="C15" s="854" t="s">
        <v>364</v>
      </c>
      <c r="D15" s="878">
        <v>996.143</v>
      </c>
      <c r="E15" s="878">
        <v>1086.322</v>
      </c>
      <c r="F15" s="878">
        <v>1074.672</v>
      </c>
      <c r="G15" s="878">
        <v>1065.975</v>
      </c>
      <c r="H15" s="878">
        <v>1123.503</v>
      </c>
      <c r="I15" s="878">
        <v>1021.734</v>
      </c>
      <c r="J15" s="878">
        <v>1069.706</v>
      </c>
      <c r="K15" s="878">
        <v>1166.982</v>
      </c>
      <c r="L15" s="878">
        <v>1150.299</v>
      </c>
      <c r="M15" s="878">
        <v>1125.125</v>
      </c>
      <c r="N15" s="878">
        <v>1150.24</v>
      </c>
      <c r="O15" s="878">
        <v>1198.301</v>
      </c>
      <c r="P15" s="851"/>
      <c r="Q15" s="877">
        <f t="shared" si="0"/>
        <v>0.04178345388788429</v>
      </c>
    </row>
    <row r="16" spans="1:17" ht="12.75" customHeight="1">
      <c r="A16" s="876">
        <v>10</v>
      </c>
      <c r="B16" s="848"/>
      <c r="C16" s="847" t="s">
        <v>387</v>
      </c>
      <c r="D16" s="880">
        <v>928.671</v>
      </c>
      <c r="E16" s="880">
        <v>976.713</v>
      </c>
      <c r="F16" s="880">
        <v>1056.937</v>
      </c>
      <c r="G16" s="880">
        <v>1105.007</v>
      </c>
      <c r="H16" s="880">
        <v>1101.535</v>
      </c>
      <c r="I16" s="880">
        <v>1147.869</v>
      </c>
      <c r="J16" s="880">
        <v>1165.432</v>
      </c>
      <c r="K16" s="880">
        <v>1086.844</v>
      </c>
      <c r="L16" s="880">
        <v>1098.733</v>
      </c>
      <c r="M16" s="880">
        <v>1107.985</v>
      </c>
      <c r="N16" s="880">
        <v>1147.067</v>
      </c>
      <c r="O16" s="880">
        <v>1150.366</v>
      </c>
      <c r="P16" s="845"/>
      <c r="Q16" s="844">
        <f t="shared" si="0"/>
        <v>0.0028760307811139807</v>
      </c>
    </row>
    <row r="17" spans="1:17" ht="12.75" customHeight="1">
      <c r="A17" s="876">
        <v>11</v>
      </c>
      <c r="B17" s="855"/>
      <c r="C17" s="854" t="s">
        <v>365</v>
      </c>
      <c r="D17" s="878">
        <v>904.673</v>
      </c>
      <c r="E17" s="878">
        <v>940.321</v>
      </c>
      <c r="F17" s="878">
        <v>909.437</v>
      </c>
      <c r="G17" s="878">
        <v>869.669</v>
      </c>
      <c r="H17" s="878">
        <v>888.38</v>
      </c>
      <c r="I17" s="878">
        <v>876.621</v>
      </c>
      <c r="J17" s="878">
        <v>958.474</v>
      </c>
      <c r="K17" s="878">
        <v>1012.103</v>
      </c>
      <c r="L17" s="878">
        <v>1038.675</v>
      </c>
      <c r="M17" s="878">
        <v>1048.896</v>
      </c>
      <c r="N17" s="878">
        <v>1075.373</v>
      </c>
      <c r="O17" s="878">
        <v>1102.297</v>
      </c>
      <c r="P17" s="851"/>
      <c r="Q17" s="877">
        <f t="shared" si="0"/>
        <v>0.0250368941753234</v>
      </c>
    </row>
    <row r="18" spans="1:17" ht="12.75" customHeight="1">
      <c r="A18" s="876">
        <v>12</v>
      </c>
      <c r="B18" s="848"/>
      <c r="C18" s="847" t="s">
        <v>389</v>
      </c>
      <c r="D18" s="880">
        <v>439.373</v>
      </c>
      <c r="E18" s="880">
        <v>531.85</v>
      </c>
      <c r="F18" s="880">
        <v>608.939</v>
      </c>
      <c r="G18" s="880">
        <v>648.916</v>
      </c>
      <c r="H18" s="880">
        <v>656.352</v>
      </c>
      <c r="I18" s="880">
        <v>716.428</v>
      </c>
      <c r="J18" s="880">
        <v>716.58</v>
      </c>
      <c r="K18" s="880">
        <v>843.205</v>
      </c>
      <c r="L18" s="880">
        <v>968.523</v>
      </c>
      <c r="M18" s="880">
        <v>1063.559</v>
      </c>
      <c r="N18" s="880">
        <v>1076.875</v>
      </c>
      <c r="O18" s="880">
        <v>1101.546</v>
      </c>
      <c r="P18" s="845"/>
      <c r="Q18" s="844">
        <f t="shared" si="0"/>
        <v>0.022909808473592586</v>
      </c>
    </row>
    <row r="19" spans="1:17" ht="12.75" customHeight="1">
      <c r="A19" s="876">
        <v>13</v>
      </c>
      <c r="B19" s="855"/>
      <c r="C19" s="854" t="s">
        <v>85</v>
      </c>
      <c r="D19" s="878">
        <v>1522.096</v>
      </c>
      <c r="E19" s="878">
        <v>1520.779</v>
      </c>
      <c r="F19" s="878">
        <v>1604.946</v>
      </c>
      <c r="G19" s="878">
        <v>1460.27</v>
      </c>
      <c r="H19" s="878">
        <v>1218.286</v>
      </c>
      <c r="I19" s="878">
        <v>1137.499</v>
      </c>
      <c r="J19" s="878">
        <v>1207.429</v>
      </c>
      <c r="K19" s="878">
        <v>1187.837</v>
      </c>
      <c r="L19" s="878">
        <v>1181.569</v>
      </c>
      <c r="M19" s="878">
        <v>1160.192</v>
      </c>
      <c r="N19" s="878">
        <v>1059.686</v>
      </c>
      <c r="O19" s="878">
        <v>1072.875</v>
      </c>
      <c r="P19" s="851"/>
      <c r="Q19" s="877">
        <f t="shared" si="0"/>
        <v>0.012446139705535542</v>
      </c>
    </row>
    <row r="20" spans="1:17" ht="12.75" customHeight="1">
      <c r="A20" s="876">
        <v>14</v>
      </c>
      <c r="B20" s="848"/>
      <c r="C20" s="847" t="s">
        <v>444</v>
      </c>
      <c r="D20" s="880">
        <v>570.364</v>
      </c>
      <c r="E20" s="880">
        <v>580.258</v>
      </c>
      <c r="F20" s="880">
        <v>585.337</v>
      </c>
      <c r="G20" s="880">
        <v>577.276</v>
      </c>
      <c r="H20" s="880">
        <v>604.165</v>
      </c>
      <c r="I20" s="880">
        <v>859.37</v>
      </c>
      <c r="J20" s="880">
        <v>977.928</v>
      </c>
      <c r="K20" s="880">
        <v>955.243</v>
      </c>
      <c r="L20" s="880">
        <v>971.09</v>
      </c>
      <c r="M20" s="880">
        <v>1018.555</v>
      </c>
      <c r="N20" s="880">
        <v>1021.882</v>
      </c>
      <c r="O20" s="880">
        <v>1053.728</v>
      </c>
      <c r="P20" s="845"/>
      <c r="Q20" s="844">
        <f t="shared" si="0"/>
        <v>0.03116406786693582</v>
      </c>
    </row>
    <row r="21" spans="1:17" ht="12.75" customHeight="1">
      <c r="A21" s="876">
        <v>15</v>
      </c>
      <c r="B21" s="855"/>
      <c r="C21" s="854" t="s">
        <v>81</v>
      </c>
      <c r="D21" s="878">
        <v>1067.426</v>
      </c>
      <c r="E21" s="878">
        <v>1045.77</v>
      </c>
      <c r="F21" s="878">
        <v>1023.597</v>
      </c>
      <c r="G21" s="878">
        <v>992.754</v>
      </c>
      <c r="H21" s="878">
        <v>1013.867</v>
      </c>
      <c r="I21" s="878">
        <v>940.948</v>
      </c>
      <c r="J21" s="878">
        <v>926.239</v>
      </c>
      <c r="K21" s="878">
        <v>950.948</v>
      </c>
      <c r="L21" s="878">
        <v>1013.908</v>
      </c>
      <c r="M21" s="878">
        <v>1036.608</v>
      </c>
      <c r="N21" s="878">
        <v>1032.206</v>
      </c>
      <c r="O21" s="878">
        <v>1053.524</v>
      </c>
      <c r="P21" s="851"/>
      <c r="Q21" s="877">
        <f t="shared" si="0"/>
        <v>0.020652854178332625</v>
      </c>
    </row>
    <row r="22" spans="1:17" ht="12.75" customHeight="1">
      <c r="A22" s="876">
        <v>16</v>
      </c>
      <c r="B22" s="848"/>
      <c r="C22" s="847" t="s">
        <v>88</v>
      </c>
      <c r="D22" s="880">
        <v>383.767</v>
      </c>
      <c r="E22" s="880">
        <v>599.594</v>
      </c>
      <c r="F22" s="880">
        <v>664.934</v>
      </c>
      <c r="G22" s="880">
        <v>716.031</v>
      </c>
      <c r="H22" s="880">
        <v>755.746</v>
      </c>
      <c r="I22" s="880">
        <v>918.196</v>
      </c>
      <c r="J22" s="880">
        <v>997.477</v>
      </c>
      <c r="K22" s="880">
        <v>918.553</v>
      </c>
      <c r="L22" s="880">
        <v>1042.667</v>
      </c>
      <c r="M22" s="880">
        <v>1067.486</v>
      </c>
      <c r="N22" s="880">
        <v>1033.842</v>
      </c>
      <c r="O22" s="880">
        <v>1042.307</v>
      </c>
      <c r="P22" s="845"/>
      <c r="Q22" s="844">
        <f t="shared" si="0"/>
        <v>0.008187904921641787</v>
      </c>
    </row>
    <row r="23" spans="1:17" ht="12.75" customHeight="1">
      <c r="A23" s="876">
        <v>17</v>
      </c>
      <c r="B23" s="855"/>
      <c r="C23" s="854" t="s">
        <v>86</v>
      </c>
      <c r="D23" s="878">
        <v>878.017</v>
      </c>
      <c r="E23" s="878">
        <v>837.465</v>
      </c>
      <c r="F23" s="878">
        <v>833.863</v>
      </c>
      <c r="G23" s="878">
        <v>829.763</v>
      </c>
      <c r="H23" s="878">
        <v>846.21</v>
      </c>
      <c r="I23" s="878">
        <v>821.983</v>
      </c>
      <c r="J23" s="878">
        <v>953.878</v>
      </c>
      <c r="K23" s="878">
        <v>1031.276</v>
      </c>
      <c r="L23" s="878">
        <v>1010.183</v>
      </c>
      <c r="M23" s="878">
        <v>1008.257</v>
      </c>
      <c r="N23" s="878">
        <v>1030.673</v>
      </c>
      <c r="O23" s="878">
        <v>1030.01</v>
      </c>
      <c r="P23" s="851"/>
      <c r="Q23" s="877">
        <f t="shared" si="0"/>
        <v>-0.0006432690096664917</v>
      </c>
    </row>
    <row r="24" spans="1:17" ht="12.75" customHeight="1">
      <c r="A24" s="876">
        <v>18</v>
      </c>
      <c r="B24" s="848"/>
      <c r="C24" s="847" t="s">
        <v>80</v>
      </c>
      <c r="D24" s="880">
        <v>1005.375</v>
      </c>
      <c r="E24" s="880">
        <v>1027.495</v>
      </c>
      <c r="F24" s="880">
        <v>1032.103</v>
      </c>
      <c r="G24" s="880">
        <v>985.575</v>
      </c>
      <c r="H24" s="880">
        <v>892.735</v>
      </c>
      <c r="I24" s="880">
        <v>860.617</v>
      </c>
      <c r="J24" s="880">
        <v>925.722</v>
      </c>
      <c r="K24" s="880">
        <v>965.712</v>
      </c>
      <c r="L24" s="880">
        <v>978.381</v>
      </c>
      <c r="M24" s="880">
        <v>937.643</v>
      </c>
      <c r="N24" s="880">
        <v>1046.981</v>
      </c>
      <c r="O24" s="880">
        <v>1016.616</v>
      </c>
      <c r="P24" s="845"/>
      <c r="Q24" s="844">
        <f t="shared" si="0"/>
        <v>-0.0290024365294117</v>
      </c>
    </row>
    <row r="25" spans="1:17" ht="12.75" customHeight="1">
      <c r="A25" s="876">
        <v>19</v>
      </c>
      <c r="B25" s="855"/>
      <c r="C25" s="854" t="s">
        <v>89</v>
      </c>
      <c r="D25" s="878">
        <v>466.595</v>
      </c>
      <c r="E25" s="878">
        <v>574.427</v>
      </c>
      <c r="F25" s="878">
        <v>640.581</v>
      </c>
      <c r="G25" s="878">
        <v>730.313</v>
      </c>
      <c r="H25" s="878">
        <v>737.078</v>
      </c>
      <c r="I25" s="878">
        <v>800.823</v>
      </c>
      <c r="J25" s="878">
        <v>855.029</v>
      </c>
      <c r="K25" s="878">
        <v>904.536</v>
      </c>
      <c r="L25" s="878">
        <v>930.746</v>
      </c>
      <c r="M25" s="878">
        <v>955.13</v>
      </c>
      <c r="N25" s="878">
        <v>986.371</v>
      </c>
      <c r="O25" s="878">
        <v>1007.131</v>
      </c>
      <c r="P25" s="851"/>
      <c r="Q25" s="877">
        <f t="shared" si="0"/>
        <v>0.02104684748436436</v>
      </c>
    </row>
    <row r="26" spans="1:17" ht="12.75" customHeight="1">
      <c r="A26" s="876">
        <v>20</v>
      </c>
      <c r="B26" s="848"/>
      <c r="C26" s="847" t="s">
        <v>90</v>
      </c>
      <c r="D26" s="880">
        <v>597.284</v>
      </c>
      <c r="E26" s="880">
        <v>622.947</v>
      </c>
      <c r="F26" s="880">
        <v>691.98</v>
      </c>
      <c r="G26" s="880">
        <v>716.714</v>
      </c>
      <c r="H26" s="880">
        <v>747.038</v>
      </c>
      <c r="I26" s="880">
        <v>777.891</v>
      </c>
      <c r="J26" s="880">
        <v>863.406</v>
      </c>
      <c r="K26" s="880">
        <v>907.954</v>
      </c>
      <c r="L26" s="880">
        <v>933.755</v>
      </c>
      <c r="M26" s="880">
        <v>950.839</v>
      </c>
      <c r="N26" s="880">
        <v>963.451</v>
      </c>
      <c r="O26" s="880">
        <v>987.939</v>
      </c>
      <c r="P26" s="845"/>
      <c r="Q26" s="844">
        <f t="shared" si="0"/>
        <v>0.02541696464065102</v>
      </c>
    </row>
    <row r="27" spans="1:17" ht="12.75" customHeight="1">
      <c r="A27" s="876">
        <v>21</v>
      </c>
      <c r="B27" s="855"/>
      <c r="C27" s="854" t="s">
        <v>337</v>
      </c>
      <c r="D27" s="878">
        <v>525.458</v>
      </c>
      <c r="E27" s="878">
        <v>577.54</v>
      </c>
      <c r="F27" s="878">
        <v>588.038</v>
      </c>
      <c r="G27" s="878">
        <v>604.706</v>
      </c>
      <c r="H27" s="878">
        <v>653.18</v>
      </c>
      <c r="I27" s="878">
        <v>724.554</v>
      </c>
      <c r="J27" s="878">
        <v>847.92</v>
      </c>
      <c r="K27" s="878">
        <v>874.378</v>
      </c>
      <c r="L27" s="878">
        <v>906.253</v>
      </c>
      <c r="M27" s="878">
        <v>924.457</v>
      </c>
      <c r="N27" s="878">
        <v>933.041</v>
      </c>
      <c r="O27" s="878">
        <v>956.235</v>
      </c>
      <c r="P27" s="851"/>
      <c r="Q27" s="877">
        <f t="shared" si="0"/>
        <v>0.024858500323136967</v>
      </c>
    </row>
    <row r="28" spans="1:17" ht="12.75" customHeight="1">
      <c r="A28" s="876">
        <v>22</v>
      </c>
      <c r="B28" s="848"/>
      <c r="C28" s="847" t="s">
        <v>332</v>
      </c>
      <c r="D28" s="880">
        <v>739.615</v>
      </c>
      <c r="E28" s="880">
        <v>689.11</v>
      </c>
      <c r="F28" s="880">
        <v>710.319</v>
      </c>
      <c r="G28" s="880">
        <v>882.931</v>
      </c>
      <c r="H28" s="880">
        <v>1002.986</v>
      </c>
      <c r="I28" s="880">
        <v>1091.604</v>
      </c>
      <c r="J28" s="880">
        <v>1197.85</v>
      </c>
      <c r="K28" s="880">
        <v>1167.65</v>
      </c>
      <c r="L28" s="880">
        <v>1179.521</v>
      </c>
      <c r="M28" s="880">
        <v>1168.357</v>
      </c>
      <c r="N28" s="880">
        <v>1000.189</v>
      </c>
      <c r="O28" s="880">
        <v>944.639</v>
      </c>
      <c r="P28" s="845"/>
      <c r="Q28" s="844">
        <f t="shared" si="0"/>
        <v>-0.05553950303392652</v>
      </c>
    </row>
    <row r="29" spans="1:17" ht="12.75" customHeight="1">
      <c r="A29" s="876">
        <v>23</v>
      </c>
      <c r="B29" s="855"/>
      <c r="C29" s="854" t="s">
        <v>445</v>
      </c>
      <c r="D29" s="878">
        <v>491.012</v>
      </c>
      <c r="E29" s="878">
        <v>513.835</v>
      </c>
      <c r="F29" s="878">
        <v>573.747</v>
      </c>
      <c r="G29" s="878">
        <v>593.813</v>
      </c>
      <c r="H29" s="878">
        <v>630.565</v>
      </c>
      <c r="I29" s="878">
        <v>679.148</v>
      </c>
      <c r="J29" s="878">
        <v>657.31</v>
      </c>
      <c r="K29" s="878">
        <v>739.828</v>
      </c>
      <c r="L29" s="878">
        <v>828.458</v>
      </c>
      <c r="M29" s="878">
        <v>812.289</v>
      </c>
      <c r="N29" s="878">
        <v>903.422</v>
      </c>
      <c r="O29" s="878">
        <v>943.796</v>
      </c>
      <c r="P29" s="851"/>
      <c r="Q29" s="877">
        <f t="shared" si="0"/>
        <v>0.0446900783908295</v>
      </c>
    </row>
    <row r="30" spans="1:17" ht="12.75" customHeight="1">
      <c r="A30" s="876">
        <v>24</v>
      </c>
      <c r="B30" s="848"/>
      <c r="C30" s="847" t="s">
        <v>390</v>
      </c>
      <c r="D30" s="880">
        <v>415.097</v>
      </c>
      <c r="E30" s="880">
        <v>376.708</v>
      </c>
      <c r="F30" s="880">
        <v>366.381</v>
      </c>
      <c r="G30" s="880">
        <v>619.069</v>
      </c>
      <c r="H30" s="880">
        <v>692.028</v>
      </c>
      <c r="I30" s="880">
        <v>687.516</v>
      </c>
      <c r="J30" s="880">
        <v>744.879</v>
      </c>
      <c r="K30" s="880">
        <v>780.825</v>
      </c>
      <c r="L30" s="880">
        <v>776.498</v>
      </c>
      <c r="M30" s="880">
        <v>826.519</v>
      </c>
      <c r="N30" s="880">
        <v>920.841</v>
      </c>
      <c r="O30" s="880">
        <v>943.333</v>
      </c>
      <c r="P30" s="845"/>
      <c r="Q30" s="844">
        <f t="shared" si="0"/>
        <v>0.024425497995853807</v>
      </c>
    </row>
    <row r="31" spans="1:17" ht="12.75" customHeight="1">
      <c r="A31" s="876">
        <v>25</v>
      </c>
      <c r="B31" s="855"/>
      <c r="C31" s="854" t="s">
        <v>479</v>
      </c>
      <c r="D31" s="878">
        <v>370.043</v>
      </c>
      <c r="E31" s="878">
        <v>416.201</v>
      </c>
      <c r="F31" s="878">
        <v>495.234</v>
      </c>
      <c r="G31" s="878">
        <v>491.982</v>
      </c>
      <c r="H31" s="878">
        <v>521.729</v>
      </c>
      <c r="I31" s="878">
        <v>566.198</v>
      </c>
      <c r="J31" s="878">
        <v>637.866</v>
      </c>
      <c r="K31" s="878">
        <v>692.58</v>
      </c>
      <c r="L31" s="878">
        <v>768.745</v>
      </c>
      <c r="M31" s="878">
        <v>799.631</v>
      </c>
      <c r="N31" s="878">
        <v>860.79</v>
      </c>
      <c r="O31" s="878">
        <v>932.649</v>
      </c>
      <c r="P31" s="851"/>
      <c r="Q31" s="877">
        <f t="shared" si="0"/>
        <v>0.08348029136026214</v>
      </c>
    </row>
    <row r="32" spans="1:17" ht="12.75" customHeight="1">
      <c r="A32" s="876">
        <v>26</v>
      </c>
      <c r="B32" s="848"/>
      <c r="C32" s="847" t="s">
        <v>571</v>
      </c>
      <c r="D32" s="880">
        <v>362</v>
      </c>
      <c r="E32" s="880">
        <v>250.332</v>
      </c>
      <c r="F32" s="880">
        <v>329.549</v>
      </c>
      <c r="G32" s="880">
        <v>443.205</v>
      </c>
      <c r="H32" s="880">
        <v>525.64</v>
      </c>
      <c r="I32" s="880">
        <v>503.521</v>
      </c>
      <c r="J32" s="880">
        <v>578.114</v>
      </c>
      <c r="K32" s="880">
        <v>587.863</v>
      </c>
      <c r="L32" s="880">
        <v>638.493</v>
      </c>
      <c r="M32" s="880">
        <v>642.485</v>
      </c>
      <c r="N32" s="880">
        <v>835.977</v>
      </c>
      <c r="O32" s="880">
        <v>928.813</v>
      </c>
      <c r="P32" s="845"/>
      <c r="Q32" s="844">
        <f t="shared" si="0"/>
        <v>0.11105090211812052</v>
      </c>
    </row>
    <row r="33" spans="1:17" ht="12.75" customHeight="1">
      <c r="A33" s="876">
        <v>27</v>
      </c>
      <c r="B33" s="855"/>
      <c r="C33" s="854" t="s">
        <v>570</v>
      </c>
      <c r="D33" s="878">
        <v>482.979</v>
      </c>
      <c r="E33" s="878">
        <v>502.379</v>
      </c>
      <c r="F33" s="878">
        <v>519.173</v>
      </c>
      <c r="G33" s="878">
        <v>509.694</v>
      </c>
      <c r="H33" s="878">
        <v>570.026</v>
      </c>
      <c r="I33" s="878">
        <v>628.816</v>
      </c>
      <c r="J33" s="878">
        <v>617.1</v>
      </c>
      <c r="K33" s="878">
        <v>620.853</v>
      </c>
      <c r="L33" s="878">
        <v>716.311</v>
      </c>
      <c r="M33" s="878">
        <v>775.362</v>
      </c>
      <c r="N33" s="878">
        <v>866.505</v>
      </c>
      <c r="O33" s="878">
        <v>921.431</v>
      </c>
      <c r="P33" s="851"/>
      <c r="Q33" s="877">
        <f t="shared" si="0"/>
        <v>0.06338797814207653</v>
      </c>
    </row>
    <row r="34" spans="1:17" ht="12.75" customHeight="1">
      <c r="A34" s="876">
        <v>28</v>
      </c>
      <c r="B34" s="848"/>
      <c r="C34" s="847" t="s">
        <v>331</v>
      </c>
      <c r="D34" s="880">
        <v>725.387</v>
      </c>
      <c r="E34" s="880">
        <v>1006.862</v>
      </c>
      <c r="F34" s="880">
        <v>1005.9</v>
      </c>
      <c r="G34" s="880">
        <v>840.425</v>
      </c>
      <c r="H34" s="880">
        <v>861.794</v>
      </c>
      <c r="I34" s="880">
        <v>957.233</v>
      </c>
      <c r="J34" s="880">
        <v>950.819</v>
      </c>
      <c r="K34" s="880">
        <v>891.279</v>
      </c>
      <c r="L34" s="880">
        <v>1046.004</v>
      </c>
      <c r="M34" s="880">
        <v>1048.492</v>
      </c>
      <c r="N34" s="880">
        <v>949.485</v>
      </c>
      <c r="O34" s="880">
        <v>916.714</v>
      </c>
      <c r="P34" s="845"/>
      <c r="Q34" s="844">
        <f t="shared" si="0"/>
        <v>-0.03451449996577083</v>
      </c>
    </row>
    <row r="35" spans="1:17" ht="12.75" customHeight="1">
      <c r="A35" s="876">
        <v>29</v>
      </c>
      <c r="B35" s="855"/>
      <c r="C35" s="854" t="s">
        <v>82</v>
      </c>
      <c r="D35" s="878">
        <v>994.9</v>
      </c>
      <c r="E35" s="878">
        <v>997.7</v>
      </c>
      <c r="F35" s="878">
        <v>1003.3</v>
      </c>
      <c r="G35" s="878">
        <v>944.4</v>
      </c>
      <c r="H35" s="878">
        <v>920.7</v>
      </c>
      <c r="I35" s="878">
        <v>886.1</v>
      </c>
      <c r="J35" s="878">
        <v>840.2</v>
      </c>
      <c r="K35" s="878">
        <v>862.3</v>
      </c>
      <c r="L35" s="878">
        <v>915.2</v>
      </c>
      <c r="M35" s="878">
        <v>939.7</v>
      </c>
      <c r="N35" s="878">
        <v>938.5</v>
      </c>
      <c r="O35" s="878">
        <v>883.135</v>
      </c>
      <c r="P35" s="851"/>
      <c r="Q35" s="877">
        <f t="shared" si="0"/>
        <v>-0.058993074054342065</v>
      </c>
    </row>
    <row r="36" spans="1:17" ht="12.75" customHeight="1">
      <c r="A36" s="876">
        <v>30</v>
      </c>
      <c r="B36" s="848"/>
      <c r="C36" s="847" t="s">
        <v>79</v>
      </c>
      <c r="D36" s="880">
        <v>1074.148</v>
      </c>
      <c r="E36" s="880">
        <v>1040.222</v>
      </c>
      <c r="F36" s="880">
        <v>1055.058</v>
      </c>
      <c r="G36" s="880">
        <v>1041.182</v>
      </c>
      <c r="H36" s="880">
        <v>1009.187</v>
      </c>
      <c r="I36" s="880">
        <v>920.707</v>
      </c>
      <c r="J36" s="880">
        <v>989.211</v>
      </c>
      <c r="K36" s="880">
        <v>953.954</v>
      </c>
      <c r="L36" s="880">
        <v>931.654</v>
      </c>
      <c r="M36" s="880">
        <v>884.654</v>
      </c>
      <c r="N36" s="880">
        <v>866.457</v>
      </c>
      <c r="O36" s="880">
        <v>849.69</v>
      </c>
      <c r="P36" s="845"/>
      <c r="Q36" s="844">
        <f t="shared" si="0"/>
        <v>-0.019351219968215316</v>
      </c>
    </row>
    <row r="37" spans="1:17" ht="12.75" customHeight="1">
      <c r="A37" s="876">
        <v>31</v>
      </c>
      <c r="B37" s="855"/>
      <c r="C37" s="854" t="s">
        <v>493</v>
      </c>
      <c r="D37" s="878">
        <v>639.866</v>
      </c>
      <c r="E37" s="878">
        <v>586.937</v>
      </c>
      <c r="F37" s="878">
        <v>519.127</v>
      </c>
      <c r="G37" s="878">
        <v>466.189</v>
      </c>
      <c r="H37" s="878">
        <v>565.735</v>
      </c>
      <c r="I37" s="878">
        <v>576.693</v>
      </c>
      <c r="J37" s="878">
        <v>623.933</v>
      </c>
      <c r="K37" s="878">
        <v>702.721</v>
      </c>
      <c r="L37" s="878">
        <v>766.674</v>
      </c>
      <c r="M37" s="878">
        <v>857.111</v>
      </c>
      <c r="N37" s="878">
        <v>891.014</v>
      </c>
      <c r="O37" s="878">
        <v>844.391</v>
      </c>
      <c r="P37" s="851"/>
      <c r="Q37" s="877">
        <f t="shared" si="0"/>
        <v>-0.05232577714828279</v>
      </c>
    </row>
    <row r="38" spans="1:17" ht="12.75" customHeight="1">
      <c r="A38" s="876">
        <v>32</v>
      </c>
      <c r="B38" s="848"/>
      <c r="C38" s="847" t="s">
        <v>446</v>
      </c>
      <c r="D38" s="880">
        <v>643.246</v>
      </c>
      <c r="E38" s="880">
        <v>712.316</v>
      </c>
      <c r="F38" s="880">
        <v>687.007</v>
      </c>
      <c r="G38" s="880">
        <v>701.959</v>
      </c>
      <c r="H38" s="880">
        <v>647.576</v>
      </c>
      <c r="I38" s="880">
        <v>624.078</v>
      </c>
      <c r="J38" s="880">
        <v>710.009</v>
      </c>
      <c r="K38" s="880">
        <v>740.066</v>
      </c>
      <c r="L38" s="880">
        <v>782.886</v>
      </c>
      <c r="M38" s="880">
        <v>816.778</v>
      </c>
      <c r="N38" s="880">
        <v>845.261</v>
      </c>
      <c r="O38" s="880">
        <v>844.341</v>
      </c>
      <c r="P38" s="845"/>
      <c r="Q38" s="844">
        <f t="shared" si="0"/>
        <v>-0.0010884212095435553</v>
      </c>
    </row>
    <row r="39" spans="1:17" ht="12.75" customHeight="1">
      <c r="A39" s="876">
        <v>33</v>
      </c>
      <c r="B39" s="855"/>
      <c r="C39" s="854" t="s">
        <v>538</v>
      </c>
      <c r="D39" s="878">
        <v>230.625</v>
      </c>
      <c r="E39" s="878">
        <v>305.166</v>
      </c>
      <c r="F39" s="878">
        <v>309.631</v>
      </c>
      <c r="G39" s="878">
        <v>330.622</v>
      </c>
      <c r="H39" s="878">
        <v>287.719</v>
      </c>
      <c r="I39" s="878">
        <v>433.684</v>
      </c>
      <c r="J39" s="878">
        <v>525.659</v>
      </c>
      <c r="K39" s="878">
        <v>551.918</v>
      </c>
      <c r="L39" s="878">
        <v>610.432</v>
      </c>
      <c r="M39" s="878">
        <v>744.918</v>
      </c>
      <c r="N39" s="878">
        <v>774.78</v>
      </c>
      <c r="O39" s="878">
        <v>832.773</v>
      </c>
      <c r="P39" s="851"/>
      <c r="Q39" s="877">
        <f aca="true" t="shared" si="1" ref="Q39:Q56">(O39/N39)-1</f>
        <v>0.0748509254239913</v>
      </c>
    </row>
    <row r="40" spans="1:17" ht="12.75" customHeight="1">
      <c r="A40" s="876">
        <v>34</v>
      </c>
      <c r="B40" s="848"/>
      <c r="C40" s="847" t="s">
        <v>388</v>
      </c>
      <c r="D40" s="880">
        <v>607.719</v>
      </c>
      <c r="E40" s="880">
        <v>643.791</v>
      </c>
      <c r="F40" s="880">
        <v>711.116</v>
      </c>
      <c r="G40" s="880">
        <v>735.348</v>
      </c>
      <c r="H40" s="880">
        <v>672.13</v>
      </c>
      <c r="I40" s="880">
        <v>709.532</v>
      </c>
      <c r="J40" s="880">
        <v>755.727</v>
      </c>
      <c r="K40" s="880">
        <v>740.091</v>
      </c>
      <c r="L40" s="880">
        <v>818.134</v>
      </c>
      <c r="M40" s="880">
        <v>788.757</v>
      </c>
      <c r="N40" s="880">
        <v>785.553</v>
      </c>
      <c r="O40" s="880">
        <v>809.192</v>
      </c>
      <c r="P40" s="845"/>
      <c r="Q40" s="844">
        <f t="shared" si="1"/>
        <v>0.030092177103263618</v>
      </c>
    </row>
    <row r="41" spans="1:17" ht="12.75" customHeight="1">
      <c r="A41" s="876">
        <v>35</v>
      </c>
      <c r="B41" s="855"/>
      <c r="C41" s="854" t="s">
        <v>366</v>
      </c>
      <c r="D41" s="878">
        <v>444.487</v>
      </c>
      <c r="E41" s="878">
        <v>502.867</v>
      </c>
      <c r="F41" s="878">
        <v>568.606</v>
      </c>
      <c r="G41" s="878">
        <v>661.161</v>
      </c>
      <c r="H41" s="878">
        <v>665.684</v>
      </c>
      <c r="I41" s="878">
        <v>647.51</v>
      </c>
      <c r="J41" s="878">
        <v>700.163</v>
      </c>
      <c r="K41" s="878">
        <v>699.984</v>
      </c>
      <c r="L41" s="878">
        <v>693</v>
      </c>
      <c r="M41" s="878">
        <v>701.262</v>
      </c>
      <c r="N41" s="878">
        <v>742.662</v>
      </c>
      <c r="O41" s="878">
        <v>807.02</v>
      </c>
      <c r="P41" s="851"/>
      <c r="Q41" s="877">
        <f t="shared" si="1"/>
        <v>0.08665853376098398</v>
      </c>
    </row>
    <row r="42" spans="1:17" ht="12.75" customHeight="1">
      <c r="A42" s="876">
        <v>36</v>
      </c>
      <c r="B42" s="848"/>
      <c r="C42" s="847" t="s">
        <v>477</v>
      </c>
      <c r="D42" s="880">
        <v>549.104</v>
      </c>
      <c r="E42" s="880">
        <v>591.41</v>
      </c>
      <c r="F42" s="880">
        <v>611.401</v>
      </c>
      <c r="G42" s="880">
        <v>638.727</v>
      </c>
      <c r="H42" s="880">
        <v>595.552</v>
      </c>
      <c r="I42" s="880">
        <v>611.999</v>
      </c>
      <c r="J42" s="880">
        <v>666.16</v>
      </c>
      <c r="K42" s="880">
        <v>677.705</v>
      </c>
      <c r="L42" s="880">
        <v>697.973</v>
      </c>
      <c r="M42" s="880">
        <v>720.881</v>
      </c>
      <c r="N42" s="880">
        <v>761.444</v>
      </c>
      <c r="O42" s="880">
        <v>800.714</v>
      </c>
      <c r="P42" s="845"/>
      <c r="Q42" s="844">
        <f t="shared" si="1"/>
        <v>0.051573063810339326</v>
      </c>
    </row>
    <row r="43" spans="1:17" ht="12.75" customHeight="1">
      <c r="A43" s="876">
        <v>37</v>
      </c>
      <c r="B43" s="855"/>
      <c r="C43" s="854" t="s">
        <v>515</v>
      </c>
      <c r="D43" s="878" t="s">
        <v>604</v>
      </c>
      <c r="E43" s="878" t="s">
        <v>604</v>
      </c>
      <c r="F43" s="878" t="s">
        <v>604</v>
      </c>
      <c r="G43" s="878">
        <v>475.78</v>
      </c>
      <c r="H43" s="878">
        <v>464.896</v>
      </c>
      <c r="I43" s="878">
        <v>520.971</v>
      </c>
      <c r="J43" s="878">
        <v>526.735</v>
      </c>
      <c r="K43" s="878">
        <v>604.414</v>
      </c>
      <c r="L43" s="878">
        <v>661.651</v>
      </c>
      <c r="M43" s="878">
        <v>718.457</v>
      </c>
      <c r="N43" s="878">
        <v>777.936</v>
      </c>
      <c r="O43" s="878">
        <v>799.456</v>
      </c>
      <c r="P43" s="851"/>
      <c r="Q43" s="877">
        <f t="shared" si="1"/>
        <v>0.02766294399539282</v>
      </c>
    </row>
    <row r="44" spans="1:17" ht="12.75" customHeight="1">
      <c r="A44" s="876">
        <v>38</v>
      </c>
      <c r="B44" s="848"/>
      <c r="C44" s="847" t="s">
        <v>84</v>
      </c>
      <c r="D44" s="880">
        <v>928.529</v>
      </c>
      <c r="E44" s="880">
        <v>931.456</v>
      </c>
      <c r="F44" s="880">
        <v>888.887</v>
      </c>
      <c r="G44" s="880">
        <v>842.511</v>
      </c>
      <c r="H44" s="880">
        <v>850.621</v>
      </c>
      <c r="I44" s="880">
        <v>866.414</v>
      </c>
      <c r="J44" s="880">
        <v>1030.875</v>
      </c>
      <c r="K44" s="880">
        <v>996.468</v>
      </c>
      <c r="L44" s="880">
        <v>893.75</v>
      </c>
      <c r="M44" s="880">
        <v>891.078</v>
      </c>
      <c r="N44" s="880">
        <v>858.358</v>
      </c>
      <c r="O44" s="880">
        <v>798.119</v>
      </c>
      <c r="P44" s="845"/>
      <c r="Q44" s="844">
        <f t="shared" si="1"/>
        <v>-0.07017934241889734</v>
      </c>
    </row>
    <row r="45" spans="1:17" ht="12.75" customHeight="1">
      <c r="A45" s="876">
        <v>39</v>
      </c>
      <c r="B45" s="855"/>
      <c r="C45" s="854" t="s">
        <v>87</v>
      </c>
      <c r="D45" s="878">
        <v>661.481</v>
      </c>
      <c r="E45" s="878">
        <v>649.524</v>
      </c>
      <c r="F45" s="878">
        <v>686.387</v>
      </c>
      <c r="G45" s="878">
        <v>674.715</v>
      </c>
      <c r="H45" s="878">
        <v>645.105</v>
      </c>
      <c r="I45" s="878">
        <v>637.736</v>
      </c>
      <c r="J45" s="878">
        <v>711.755</v>
      </c>
      <c r="K45" s="878">
        <v>801.373</v>
      </c>
      <c r="L45" s="878">
        <v>817.332</v>
      </c>
      <c r="M45" s="878">
        <v>822.422</v>
      </c>
      <c r="N45" s="878">
        <v>858.724</v>
      </c>
      <c r="O45" s="878">
        <v>796.375</v>
      </c>
      <c r="P45" s="851"/>
      <c r="Q45" s="877">
        <f t="shared" si="1"/>
        <v>-0.07260656508959806</v>
      </c>
    </row>
    <row r="46" spans="1:17" ht="12.75" customHeight="1">
      <c r="A46" s="876">
        <v>40</v>
      </c>
      <c r="B46" s="848"/>
      <c r="C46" s="847" t="s">
        <v>494</v>
      </c>
      <c r="D46" s="880">
        <v>738.729</v>
      </c>
      <c r="E46" s="880">
        <v>668.338</v>
      </c>
      <c r="F46" s="880">
        <v>686.564</v>
      </c>
      <c r="G46" s="880">
        <v>742.538</v>
      </c>
      <c r="H46" s="880">
        <v>736.25</v>
      </c>
      <c r="I46" s="880">
        <v>673.435</v>
      </c>
      <c r="J46" s="880">
        <v>633.261</v>
      </c>
      <c r="K46" s="880">
        <v>674.233</v>
      </c>
      <c r="L46" s="880">
        <v>661.285</v>
      </c>
      <c r="M46" s="880">
        <v>705.046</v>
      </c>
      <c r="N46" s="880">
        <v>737.221</v>
      </c>
      <c r="O46" s="880">
        <v>791.669</v>
      </c>
      <c r="P46" s="845"/>
      <c r="Q46" s="844">
        <f t="shared" si="1"/>
        <v>0.07385573661086697</v>
      </c>
    </row>
    <row r="47" spans="1:17" ht="12.75" customHeight="1">
      <c r="A47" s="876">
        <v>41</v>
      </c>
      <c r="B47" s="855"/>
      <c r="C47" s="854" t="s">
        <v>572</v>
      </c>
      <c r="D47" s="878">
        <v>504.417</v>
      </c>
      <c r="E47" s="878">
        <v>490.922</v>
      </c>
      <c r="F47" s="878">
        <v>509.802</v>
      </c>
      <c r="G47" s="878">
        <v>557.75</v>
      </c>
      <c r="H47" s="878">
        <v>515.765</v>
      </c>
      <c r="I47" s="878">
        <v>469.893</v>
      </c>
      <c r="J47" s="878">
        <v>527.342</v>
      </c>
      <c r="K47" s="878">
        <v>611.986</v>
      </c>
      <c r="L47" s="878">
        <v>613.078</v>
      </c>
      <c r="M47" s="878">
        <v>628.669</v>
      </c>
      <c r="N47" s="878">
        <v>777.574</v>
      </c>
      <c r="O47" s="878">
        <v>790.076</v>
      </c>
      <c r="P47" s="851"/>
      <c r="Q47" s="877">
        <f t="shared" si="1"/>
        <v>0.01607821249167296</v>
      </c>
    </row>
    <row r="48" spans="1:17" ht="12.75" customHeight="1">
      <c r="A48" s="876">
        <v>42</v>
      </c>
      <c r="B48" s="848"/>
      <c r="C48" s="847" t="s">
        <v>619</v>
      </c>
      <c r="D48" s="880">
        <v>132.128</v>
      </c>
      <c r="E48" s="880">
        <v>230.269</v>
      </c>
      <c r="F48" s="880">
        <v>353.855</v>
      </c>
      <c r="G48" s="880">
        <v>408.696</v>
      </c>
      <c r="H48" s="880">
        <v>388.858</v>
      </c>
      <c r="I48" s="880">
        <v>376.883</v>
      </c>
      <c r="J48" s="880">
        <v>420.778</v>
      </c>
      <c r="K48" s="880">
        <v>450.849</v>
      </c>
      <c r="L48" s="880">
        <v>543.668</v>
      </c>
      <c r="M48" s="880">
        <v>613.559</v>
      </c>
      <c r="N48" s="880">
        <v>649.333</v>
      </c>
      <c r="O48" s="880">
        <v>785.912</v>
      </c>
      <c r="P48" s="845"/>
      <c r="Q48" s="844">
        <f t="shared" si="1"/>
        <v>0.21033737696990618</v>
      </c>
    </row>
    <row r="49" spans="1:17" ht="12.75" customHeight="1">
      <c r="A49" s="876">
        <v>43</v>
      </c>
      <c r="B49" s="855"/>
      <c r="C49" s="854" t="s">
        <v>542</v>
      </c>
      <c r="D49" s="878">
        <v>619.972</v>
      </c>
      <c r="E49" s="878">
        <v>561.909</v>
      </c>
      <c r="F49" s="878">
        <v>520.904</v>
      </c>
      <c r="G49" s="878">
        <v>504.595</v>
      </c>
      <c r="H49" s="878">
        <v>529.901</v>
      </c>
      <c r="I49" s="878">
        <v>531.892</v>
      </c>
      <c r="J49" s="878">
        <v>521.907</v>
      </c>
      <c r="K49" s="878">
        <v>548.447</v>
      </c>
      <c r="L49" s="878">
        <v>615.273</v>
      </c>
      <c r="M49" s="878">
        <v>681.681</v>
      </c>
      <c r="N49" s="878">
        <v>769.354</v>
      </c>
      <c r="O49" s="878">
        <v>782.28</v>
      </c>
      <c r="P49" s="851"/>
      <c r="Q49" s="877">
        <f t="shared" si="1"/>
        <v>0.01680110846242422</v>
      </c>
    </row>
    <row r="50" spans="1:17" ht="12.75" customHeight="1">
      <c r="A50" s="876">
        <v>44</v>
      </c>
      <c r="B50" s="848"/>
      <c r="C50" s="847" t="s">
        <v>573</v>
      </c>
      <c r="D50" s="880">
        <v>253.354</v>
      </c>
      <c r="E50" s="880">
        <v>258.946</v>
      </c>
      <c r="F50" s="880">
        <v>279.16</v>
      </c>
      <c r="G50" s="880">
        <v>288.025</v>
      </c>
      <c r="H50" s="880">
        <v>238.378</v>
      </c>
      <c r="I50" s="880">
        <v>345.207</v>
      </c>
      <c r="J50" s="880">
        <v>459.013</v>
      </c>
      <c r="K50" s="880">
        <v>526.044</v>
      </c>
      <c r="L50" s="880">
        <v>595.469</v>
      </c>
      <c r="M50" s="880">
        <v>645.768</v>
      </c>
      <c r="N50" s="880">
        <v>777.355</v>
      </c>
      <c r="O50" s="880">
        <v>777.335</v>
      </c>
      <c r="P50" s="845"/>
      <c r="Q50" s="844">
        <f t="shared" si="1"/>
        <v>-2.5728270867220182E-05</v>
      </c>
    </row>
    <row r="51" spans="1:17" ht="12.75" customHeight="1">
      <c r="A51" s="876">
        <v>45</v>
      </c>
      <c r="B51" s="855"/>
      <c r="C51" s="854" t="s">
        <v>83</v>
      </c>
      <c r="D51" s="878">
        <v>872.787</v>
      </c>
      <c r="E51" s="878">
        <v>965.056</v>
      </c>
      <c r="F51" s="878">
        <v>991.688</v>
      </c>
      <c r="G51" s="878">
        <v>919.275</v>
      </c>
      <c r="H51" s="878">
        <v>871.049</v>
      </c>
      <c r="I51" s="878">
        <v>857.851</v>
      </c>
      <c r="J51" s="878">
        <v>832.009</v>
      </c>
      <c r="K51" s="878">
        <v>781.817</v>
      </c>
      <c r="L51" s="878">
        <v>772.956</v>
      </c>
      <c r="M51" s="878">
        <v>744.097</v>
      </c>
      <c r="N51" s="878">
        <v>783.393</v>
      </c>
      <c r="O51" s="878">
        <v>775.975</v>
      </c>
      <c r="P51" s="851"/>
      <c r="Q51" s="877">
        <f t="shared" si="1"/>
        <v>-0.009469065973272683</v>
      </c>
    </row>
    <row r="52" spans="1:17" ht="12.75" customHeight="1">
      <c r="A52" s="876">
        <v>46</v>
      </c>
      <c r="B52" s="848"/>
      <c r="C52" s="847" t="s">
        <v>618</v>
      </c>
      <c r="D52" s="880" t="s">
        <v>604</v>
      </c>
      <c r="E52" s="880">
        <v>163.889</v>
      </c>
      <c r="F52" s="880">
        <v>672.199</v>
      </c>
      <c r="G52" s="880">
        <v>593.428</v>
      </c>
      <c r="H52" s="880">
        <v>599.574</v>
      </c>
      <c r="I52" s="880">
        <v>598.08</v>
      </c>
      <c r="J52" s="880">
        <v>579.174</v>
      </c>
      <c r="K52" s="880">
        <v>636.84</v>
      </c>
      <c r="L52" s="880">
        <v>635.464</v>
      </c>
      <c r="M52" s="880">
        <v>568.774</v>
      </c>
      <c r="N52" s="880">
        <v>599.558</v>
      </c>
      <c r="O52" s="880">
        <v>773.105</v>
      </c>
      <c r="P52" s="845"/>
      <c r="Q52" s="844">
        <f t="shared" si="1"/>
        <v>0.28945823423255135</v>
      </c>
    </row>
    <row r="53" spans="1:17" ht="12.75" customHeight="1">
      <c r="A53" s="876">
        <v>47</v>
      </c>
      <c r="B53" s="855"/>
      <c r="C53" s="854" t="s">
        <v>539</v>
      </c>
      <c r="D53" s="878">
        <v>427.143</v>
      </c>
      <c r="E53" s="878">
        <v>460.647</v>
      </c>
      <c r="F53" s="878">
        <v>460.556</v>
      </c>
      <c r="G53" s="878">
        <v>477.12</v>
      </c>
      <c r="H53" s="878">
        <v>551.995</v>
      </c>
      <c r="I53" s="878">
        <v>709.801</v>
      </c>
      <c r="J53" s="878">
        <v>716.832</v>
      </c>
      <c r="K53" s="878">
        <v>685.826</v>
      </c>
      <c r="L53" s="878">
        <v>657.007</v>
      </c>
      <c r="M53" s="878">
        <v>701.802</v>
      </c>
      <c r="N53" s="878">
        <v>726.614</v>
      </c>
      <c r="O53" s="878">
        <v>747.432</v>
      </c>
      <c r="P53" s="851"/>
      <c r="Q53" s="877">
        <f t="shared" si="1"/>
        <v>0.02865070037186168</v>
      </c>
    </row>
    <row r="54" spans="1:17" ht="12.75" customHeight="1">
      <c r="A54" s="876">
        <v>48</v>
      </c>
      <c r="B54" s="848"/>
      <c r="C54" s="847" t="s">
        <v>540</v>
      </c>
      <c r="D54" s="880">
        <v>319.126</v>
      </c>
      <c r="E54" s="880">
        <v>315.247</v>
      </c>
      <c r="F54" s="880">
        <v>336.621</v>
      </c>
      <c r="G54" s="880">
        <v>347.908</v>
      </c>
      <c r="H54" s="880">
        <v>461.06</v>
      </c>
      <c r="I54" s="880">
        <v>559.876</v>
      </c>
      <c r="J54" s="880">
        <v>520.718</v>
      </c>
      <c r="K54" s="880">
        <v>622.737</v>
      </c>
      <c r="L54" s="880">
        <v>660.508</v>
      </c>
      <c r="M54" s="880">
        <v>692.471</v>
      </c>
      <c r="N54" s="880">
        <v>722.613</v>
      </c>
      <c r="O54" s="880">
        <v>741.477</v>
      </c>
      <c r="P54" s="845"/>
      <c r="Q54" s="879">
        <f t="shared" si="1"/>
        <v>0.026105259661810543</v>
      </c>
    </row>
    <row r="55" spans="1:17" ht="12.75" customHeight="1">
      <c r="A55" s="876">
        <v>49</v>
      </c>
      <c r="B55" s="855"/>
      <c r="C55" s="854" t="s">
        <v>574</v>
      </c>
      <c r="D55" s="878" t="s">
        <v>193</v>
      </c>
      <c r="E55" s="878" t="s">
        <v>193</v>
      </c>
      <c r="F55" s="878" t="s">
        <v>193</v>
      </c>
      <c r="G55" s="878" t="s">
        <v>193</v>
      </c>
      <c r="H55" s="878" t="s">
        <v>193</v>
      </c>
      <c r="I55" s="878" t="s">
        <v>193</v>
      </c>
      <c r="J55" s="878" t="s">
        <v>193</v>
      </c>
      <c r="K55" s="878" t="s">
        <v>193</v>
      </c>
      <c r="L55" s="878" t="s">
        <v>193</v>
      </c>
      <c r="M55" s="878" t="s">
        <v>193</v>
      </c>
      <c r="N55" s="878">
        <v>721.615</v>
      </c>
      <c r="O55" s="878">
        <v>737.54</v>
      </c>
      <c r="P55" s="851"/>
      <c r="Q55" s="877">
        <f t="shared" si="1"/>
        <v>0.022068554561643028</v>
      </c>
    </row>
    <row r="56" spans="1:17" ht="12.75" customHeight="1">
      <c r="A56" s="876">
        <v>50</v>
      </c>
      <c r="B56" s="875"/>
      <c r="C56" s="874" t="s">
        <v>478</v>
      </c>
      <c r="D56" s="873">
        <v>695.35</v>
      </c>
      <c r="E56" s="873">
        <v>692.469</v>
      </c>
      <c r="F56" s="873">
        <v>709.925</v>
      </c>
      <c r="G56" s="873">
        <v>711.45</v>
      </c>
      <c r="H56" s="873">
        <v>687.415</v>
      </c>
      <c r="I56" s="873">
        <v>648.794</v>
      </c>
      <c r="J56" s="873">
        <v>652.657</v>
      </c>
      <c r="K56" s="873">
        <v>665.027</v>
      </c>
      <c r="L56" s="873">
        <v>676.469</v>
      </c>
      <c r="M56" s="873">
        <v>696.846</v>
      </c>
      <c r="N56" s="873">
        <v>712.2</v>
      </c>
      <c r="O56" s="873">
        <v>725.867</v>
      </c>
      <c r="P56" s="872"/>
      <c r="Q56" s="871">
        <f t="shared" si="1"/>
        <v>0.019189834316203136</v>
      </c>
    </row>
    <row r="57" spans="1:15" ht="15" customHeight="1">
      <c r="A57" s="870"/>
      <c r="B57" s="870"/>
      <c r="C57" s="836" t="s">
        <v>427</v>
      </c>
      <c r="D57" s="870"/>
      <c r="E57" s="870"/>
      <c r="F57" s="870"/>
      <c r="G57" s="870"/>
      <c r="H57" s="870"/>
      <c r="I57" s="870"/>
      <c r="J57" s="870"/>
      <c r="K57" s="870"/>
      <c r="L57" s="870"/>
      <c r="M57" s="870"/>
      <c r="N57" s="866"/>
      <c r="O57" s="86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sheetData>
  <sheetProtection/>
  <mergeCells count="5">
    <mergeCell ref="C2:J2"/>
    <mergeCell ref="C3:J3"/>
    <mergeCell ref="C4:J4"/>
    <mergeCell ref="A5:A6"/>
    <mergeCell ref="H5:P5"/>
  </mergeCells>
  <printOptions/>
  <pageMargins left="0.6692913385826772" right="0.6692913385826772" top="0.3937007874015748" bottom="0.3937007874015748" header="0" footer="0"/>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W65"/>
  <sheetViews>
    <sheetView zoomScalePageLayoutView="0" workbookViewId="0" topLeftCell="AD1">
      <selection activeCell="AF10" sqref="AF10:BE15"/>
    </sheetView>
  </sheetViews>
  <sheetFormatPr defaultColWidth="9.140625" defaultRowHeight="12.75"/>
  <cols>
    <col min="1" max="1" width="3.7109375" style="6" customWidth="1"/>
    <col min="2" max="2" width="0.9921875" style="0" customWidth="1"/>
    <col min="3" max="3" width="27.28125" style="0" customWidth="1"/>
    <col min="4" max="4" width="6.00390625" style="0" customWidth="1"/>
    <col min="5" max="5" width="6.7109375" style="0" customWidth="1"/>
    <col min="6" max="6" width="7.00390625" style="0" customWidth="1"/>
    <col min="7" max="21" width="6.8515625" style="0" customWidth="1"/>
    <col min="22" max="22" width="6.7109375" style="0" customWidth="1"/>
    <col min="23" max="23" width="9.140625" style="0" customWidth="1"/>
  </cols>
  <sheetData>
    <row r="1" spans="2:23" ht="14.25" customHeight="1">
      <c r="B1" s="215"/>
      <c r="C1" s="216"/>
      <c r="D1" s="216"/>
      <c r="E1" s="216"/>
      <c r="F1" s="216"/>
      <c r="G1" s="216"/>
      <c r="H1" s="216"/>
      <c r="I1" s="216"/>
      <c r="J1" s="216"/>
      <c r="K1" s="216"/>
      <c r="L1" s="216"/>
      <c r="M1" s="216"/>
      <c r="N1" s="216"/>
      <c r="O1" s="352"/>
      <c r="P1" s="353"/>
      <c r="Q1" s="345"/>
      <c r="R1" s="345"/>
      <c r="S1" s="345"/>
      <c r="T1" s="345"/>
      <c r="U1" s="345"/>
      <c r="V1" s="44" t="s">
        <v>399</v>
      </c>
      <c r="W1" s="345"/>
    </row>
    <row r="2" spans="2:22" ht="30" customHeight="1">
      <c r="B2" s="964" t="s">
        <v>212</v>
      </c>
      <c r="C2" s="965"/>
      <c r="D2" s="965"/>
      <c r="E2" s="965"/>
      <c r="F2" s="965"/>
      <c r="G2" s="965"/>
      <c r="H2" s="965"/>
      <c r="I2" s="965"/>
      <c r="J2" s="965"/>
      <c r="K2" s="965"/>
      <c r="L2" s="965"/>
      <c r="M2" s="965"/>
      <c r="N2" s="965"/>
      <c r="O2" s="965"/>
      <c r="P2" s="965"/>
      <c r="Q2" s="965"/>
      <c r="R2" s="965"/>
      <c r="S2" s="965"/>
      <c r="T2" s="965"/>
      <c r="U2" s="965"/>
      <c r="V2" s="965"/>
    </row>
    <row r="3" spans="2:22" ht="15" customHeight="1">
      <c r="B3" s="962" t="s">
        <v>3</v>
      </c>
      <c r="C3" s="962"/>
      <c r="D3" s="962"/>
      <c r="E3" s="962"/>
      <c r="F3" s="962"/>
      <c r="G3" s="962"/>
      <c r="H3" s="962"/>
      <c r="I3" s="962"/>
      <c r="J3" s="962"/>
      <c r="K3" s="962"/>
      <c r="L3" s="962"/>
      <c r="M3" s="962"/>
      <c r="N3" s="962"/>
      <c r="O3" s="962"/>
      <c r="P3" s="962"/>
      <c r="Q3" s="962"/>
      <c r="R3" s="962"/>
      <c r="S3" s="962"/>
      <c r="T3" s="962"/>
      <c r="U3" s="962"/>
      <c r="V3" s="962"/>
    </row>
    <row r="4" spans="2:22" s="12" customFormat="1" ht="12.75" customHeight="1">
      <c r="B4" s="961" t="s">
        <v>4</v>
      </c>
      <c r="C4" s="961"/>
      <c r="D4" s="961"/>
      <c r="E4" s="961"/>
      <c r="F4" s="961"/>
      <c r="G4" s="961"/>
      <c r="H4" s="961"/>
      <c r="I4" s="961"/>
      <c r="J4" s="961"/>
      <c r="K4" s="961"/>
      <c r="L4" s="961"/>
      <c r="M4" s="961"/>
      <c r="N4" s="961"/>
      <c r="O4" s="961"/>
      <c r="P4" s="961"/>
      <c r="Q4" s="961"/>
      <c r="R4" s="961"/>
      <c r="S4" s="961"/>
      <c r="T4" s="961"/>
      <c r="U4" s="961"/>
      <c r="V4" s="961"/>
    </row>
    <row r="5" spans="1:22" s="12" customFormat="1" ht="12.75" customHeight="1">
      <c r="A5" s="963" t="s">
        <v>261</v>
      </c>
      <c r="B5" s="88"/>
      <c r="C5" s="47"/>
      <c r="D5" s="49"/>
      <c r="E5" s="63"/>
      <c r="F5" s="163"/>
      <c r="G5" s="163"/>
      <c r="H5" s="163"/>
      <c r="I5" s="163"/>
      <c r="J5" s="163"/>
      <c r="K5" s="163"/>
      <c r="L5" s="163"/>
      <c r="M5" s="163"/>
      <c r="N5" s="163"/>
      <c r="O5" s="163"/>
      <c r="P5" s="163"/>
      <c r="Q5" s="163"/>
      <c r="R5" s="163"/>
      <c r="S5" s="163"/>
      <c r="T5" s="163"/>
      <c r="U5" s="691"/>
      <c r="V5" s="59" t="s">
        <v>322</v>
      </c>
    </row>
    <row r="6" spans="1:22" s="12" customFormat="1" ht="12.75" customHeight="1">
      <c r="A6" s="963"/>
      <c r="B6" s="130"/>
      <c r="C6" s="51" t="s">
        <v>330</v>
      </c>
      <c r="D6" s="60"/>
      <c r="E6" s="39">
        <v>2000</v>
      </c>
      <c r="F6" s="70">
        <v>2001</v>
      </c>
      <c r="G6" s="70">
        <v>2002</v>
      </c>
      <c r="H6" s="70">
        <v>2003</v>
      </c>
      <c r="I6" s="70">
        <v>2004</v>
      </c>
      <c r="J6" s="70">
        <v>2005</v>
      </c>
      <c r="K6" s="70">
        <v>2006</v>
      </c>
      <c r="L6" s="70">
        <v>2007</v>
      </c>
      <c r="M6" s="70">
        <v>2008</v>
      </c>
      <c r="N6" s="70">
        <v>2009</v>
      </c>
      <c r="O6" s="70">
        <v>2010</v>
      </c>
      <c r="P6" s="70">
        <v>2011</v>
      </c>
      <c r="Q6" s="70">
        <v>2012</v>
      </c>
      <c r="R6" s="70">
        <v>2013</v>
      </c>
      <c r="S6" s="70">
        <v>2014</v>
      </c>
      <c r="T6" s="70">
        <v>2015</v>
      </c>
      <c r="U6" s="45">
        <v>2016</v>
      </c>
      <c r="V6" s="61" t="s">
        <v>577</v>
      </c>
    </row>
    <row r="7" spans="1:22" s="12" customFormat="1" ht="12.75" customHeight="1">
      <c r="A7" s="963"/>
      <c r="B7" s="131"/>
      <c r="C7" s="55"/>
      <c r="D7" s="62"/>
      <c r="E7" s="132"/>
      <c r="F7" s="132"/>
      <c r="G7" s="132"/>
      <c r="H7" s="132"/>
      <c r="I7" s="132"/>
      <c r="J7" s="132"/>
      <c r="K7" s="132"/>
      <c r="L7" s="132"/>
      <c r="M7" s="132"/>
      <c r="N7" s="132"/>
      <c r="O7" s="132"/>
      <c r="P7" s="132"/>
      <c r="Q7" s="132"/>
      <c r="R7" s="132"/>
      <c r="S7" s="132"/>
      <c r="T7" s="132"/>
      <c r="U7" s="46"/>
      <c r="V7" s="139" t="s">
        <v>192</v>
      </c>
    </row>
    <row r="8" spans="1:22" s="23" customFormat="1" ht="12.75" customHeight="1">
      <c r="A8" s="210">
        <v>1</v>
      </c>
      <c r="B8" s="715"/>
      <c r="C8" s="240" t="s">
        <v>385</v>
      </c>
      <c r="D8" s="716" t="s">
        <v>181</v>
      </c>
      <c r="E8" s="349">
        <v>1067.011</v>
      </c>
      <c r="F8" s="345">
        <v>1101.316</v>
      </c>
      <c r="G8" s="345">
        <v>1218.086</v>
      </c>
      <c r="H8" s="717">
        <v>1193.749</v>
      </c>
      <c r="I8" s="345">
        <v>1275.772</v>
      </c>
      <c r="J8" s="345">
        <v>1217.796</v>
      </c>
      <c r="K8" s="345">
        <v>1340.423</v>
      </c>
      <c r="L8" s="345">
        <v>1434.77</v>
      </c>
      <c r="M8" s="345">
        <v>1392.147</v>
      </c>
      <c r="N8" s="345">
        <v>1202.3</v>
      </c>
      <c r="O8" s="345">
        <v>1290.895</v>
      </c>
      <c r="P8" s="345">
        <v>1530.892</v>
      </c>
      <c r="Q8" s="345">
        <v>1508.411</v>
      </c>
      <c r="R8" s="345">
        <v>1489.052</v>
      </c>
      <c r="S8" s="345">
        <v>2076.015</v>
      </c>
      <c r="T8" s="717">
        <v>2090.622</v>
      </c>
      <c r="U8" s="718">
        <v>2211.265</v>
      </c>
      <c r="V8" s="719">
        <f>U8/T8*100-100</f>
        <v>5.7706749474558166</v>
      </c>
    </row>
    <row r="9" spans="1:22" s="26" customFormat="1" ht="12.75" customHeight="1">
      <c r="A9" s="211">
        <v>2</v>
      </c>
      <c r="B9" s="263"/>
      <c r="C9" s="264" t="s">
        <v>28</v>
      </c>
      <c r="D9" s="265" t="s">
        <v>179</v>
      </c>
      <c r="E9" s="346">
        <v>1703.422</v>
      </c>
      <c r="F9" s="347">
        <v>1603.035</v>
      </c>
      <c r="G9" s="347">
        <v>1627.61</v>
      </c>
      <c r="H9" s="347">
        <v>1642.698</v>
      </c>
      <c r="I9" s="347">
        <v>1827.35</v>
      </c>
      <c r="J9" s="347">
        <v>1950.61</v>
      </c>
      <c r="K9" s="347">
        <v>2117.936</v>
      </c>
      <c r="L9" s="347">
        <v>2162.22</v>
      </c>
      <c r="M9" s="347">
        <v>2104.348</v>
      </c>
      <c r="N9" s="348">
        <v>1882.662</v>
      </c>
      <c r="O9" s="348">
        <v>2270.237</v>
      </c>
      <c r="P9" s="348">
        <v>2214.648</v>
      </c>
      <c r="Q9" s="347">
        <v>2065.457</v>
      </c>
      <c r="R9" s="347">
        <v>2094.74</v>
      </c>
      <c r="S9" s="650">
        <v>2131.585</v>
      </c>
      <c r="T9" s="347">
        <v>2075.657</v>
      </c>
      <c r="U9" s="646">
        <v>2111.358</v>
      </c>
      <c r="V9" s="665">
        <f aca="true" t="shared" si="0" ref="V9:V57">U9/T9*100-100</f>
        <v>1.7199855274739377</v>
      </c>
    </row>
    <row r="10" spans="1:22" s="26" customFormat="1" ht="12.75" customHeight="1">
      <c r="A10" s="211">
        <v>3</v>
      </c>
      <c r="B10" s="179"/>
      <c r="C10" s="240" t="s">
        <v>31</v>
      </c>
      <c r="D10" s="226" t="s">
        <v>176</v>
      </c>
      <c r="E10" s="720">
        <v>1222.508</v>
      </c>
      <c r="F10" s="582">
        <v>1183.222</v>
      </c>
      <c r="G10" s="344">
        <v>1239.918</v>
      </c>
      <c r="H10" s="582">
        <v>1353.413</v>
      </c>
      <c r="I10" s="344">
        <v>1467.014</v>
      </c>
      <c r="J10" s="582">
        <v>1495.561</v>
      </c>
      <c r="K10" s="344">
        <v>1566.726</v>
      </c>
      <c r="L10" s="582">
        <v>1650.967</v>
      </c>
      <c r="M10" s="344">
        <v>1592.455</v>
      </c>
      <c r="N10" s="582">
        <v>1316.848</v>
      </c>
      <c r="O10" s="344">
        <v>1538.034</v>
      </c>
      <c r="P10" s="582">
        <v>1549.445</v>
      </c>
      <c r="Q10" s="344">
        <v>1510.925</v>
      </c>
      <c r="R10" s="582">
        <v>1565.956</v>
      </c>
      <c r="S10" s="344">
        <v>1670.671</v>
      </c>
      <c r="T10" s="344">
        <v>1655.328</v>
      </c>
      <c r="U10" s="647">
        <v>1771.106</v>
      </c>
      <c r="V10" s="664">
        <f t="shared" si="0"/>
        <v>6.994263372576313</v>
      </c>
    </row>
    <row r="11" spans="1:22" s="27" customFormat="1" ht="12.75" customHeight="1">
      <c r="A11" s="211">
        <v>4</v>
      </c>
      <c r="B11" s="263"/>
      <c r="C11" s="264" t="s">
        <v>29</v>
      </c>
      <c r="D11" s="265" t="s">
        <v>177</v>
      </c>
      <c r="E11" s="347">
        <v>1306.829</v>
      </c>
      <c r="F11" s="347">
        <v>1179.521</v>
      </c>
      <c r="G11" s="347">
        <v>1234.51</v>
      </c>
      <c r="H11" s="347">
        <v>1300.349</v>
      </c>
      <c r="I11" s="347">
        <v>1412.019</v>
      </c>
      <c r="J11" s="347">
        <v>1389.278</v>
      </c>
      <c r="K11" s="347">
        <v>1342.646</v>
      </c>
      <c r="L11" s="347">
        <v>1393.243</v>
      </c>
      <c r="M11" s="347">
        <v>1482.662</v>
      </c>
      <c r="N11" s="347">
        <v>1348.914</v>
      </c>
      <c r="O11" s="347">
        <v>1551.308</v>
      </c>
      <c r="P11" s="347">
        <v>1569.303</v>
      </c>
      <c r="Q11" s="347">
        <v>1555.992</v>
      </c>
      <c r="R11" s="347">
        <v>1513.668</v>
      </c>
      <c r="S11" s="347">
        <v>1585.885</v>
      </c>
      <c r="T11" s="347">
        <v>1588.884</v>
      </c>
      <c r="U11" s="646">
        <v>1637.582</v>
      </c>
      <c r="V11" s="665">
        <f t="shared" si="0"/>
        <v>3.0649185214276287</v>
      </c>
    </row>
    <row r="12" spans="1:22" s="27" customFormat="1" ht="11.25">
      <c r="A12" s="211">
        <v>5</v>
      </c>
      <c r="B12" s="179"/>
      <c r="C12" s="240" t="s">
        <v>75</v>
      </c>
      <c r="D12" s="226" t="s">
        <v>179</v>
      </c>
      <c r="E12" s="720">
        <v>13.666</v>
      </c>
      <c r="F12" s="582">
        <v>13.067</v>
      </c>
      <c r="G12" s="582">
        <v>14.937</v>
      </c>
      <c r="H12" s="649">
        <v>15.827</v>
      </c>
      <c r="I12" s="344">
        <v>10.126</v>
      </c>
      <c r="J12" s="582">
        <v>12.263</v>
      </c>
      <c r="K12" s="344">
        <v>26.812</v>
      </c>
      <c r="L12" s="582">
        <v>86.104</v>
      </c>
      <c r="M12" s="344">
        <v>430.236</v>
      </c>
      <c r="N12" s="582">
        <v>508.793</v>
      </c>
      <c r="O12" s="344">
        <v>637.815</v>
      </c>
      <c r="P12" s="582">
        <v>744.028</v>
      </c>
      <c r="Q12" s="344">
        <v>845.908</v>
      </c>
      <c r="R12" s="582">
        <v>877.259</v>
      </c>
      <c r="S12" s="344">
        <v>904.11</v>
      </c>
      <c r="T12" s="344">
        <v>982.534</v>
      </c>
      <c r="U12" s="647">
        <v>1044.952</v>
      </c>
      <c r="V12" s="664">
        <f t="shared" si="0"/>
        <v>6.352757258273002</v>
      </c>
    </row>
    <row r="13" spans="1:22" s="27" customFormat="1" ht="12.75" customHeight="1">
      <c r="A13" s="211">
        <v>6</v>
      </c>
      <c r="B13" s="263"/>
      <c r="C13" s="264" t="s">
        <v>242</v>
      </c>
      <c r="D13" s="265" t="s">
        <v>184</v>
      </c>
      <c r="E13" s="357">
        <v>499.907</v>
      </c>
      <c r="F13" s="357">
        <v>509.098</v>
      </c>
      <c r="G13" s="357">
        <v>549.536</v>
      </c>
      <c r="H13" s="357">
        <v>602.079</v>
      </c>
      <c r="I13" s="347">
        <v>616.583</v>
      </c>
      <c r="J13" s="347">
        <v>624.803</v>
      </c>
      <c r="K13" s="347">
        <v>633.747</v>
      </c>
      <c r="L13" s="347">
        <v>702.76</v>
      </c>
      <c r="M13" s="347">
        <v>788.218</v>
      </c>
      <c r="N13" s="348">
        <v>627.261</v>
      </c>
      <c r="O13" s="348">
        <v>705.829</v>
      </c>
      <c r="P13" s="348">
        <v>666.011</v>
      </c>
      <c r="Q13" s="347">
        <v>615.286</v>
      </c>
      <c r="R13" s="347">
        <v>673.38</v>
      </c>
      <c r="S13" s="347">
        <v>707.15</v>
      </c>
      <c r="T13" s="347">
        <v>736.88</v>
      </c>
      <c r="U13" s="646">
        <v>801.058</v>
      </c>
      <c r="V13" s="665">
        <f t="shared" si="0"/>
        <v>8.709423515362062</v>
      </c>
    </row>
    <row r="14" spans="1:22" s="7" customFormat="1" ht="12.75" customHeight="1">
      <c r="A14" s="211">
        <v>7</v>
      </c>
      <c r="B14" s="179"/>
      <c r="C14" s="240" t="s">
        <v>71</v>
      </c>
      <c r="D14" s="226" t="s">
        <v>179</v>
      </c>
      <c r="E14" s="351">
        <v>438.274</v>
      </c>
      <c r="F14" s="345">
        <v>454.83</v>
      </c>
      <c r="G14" s="345">
        <v>507.539</v>
      </c>
      <c r="H14" s="345">
        <v>530.01</v>
      </c>
      <c r="I14" s="345">
        <v>621.853</v>
      </c>
      <c r="J14" s="345">
        <v>646.833</v>
      </c>
      <c r="K14" s="345">
        <v>690.998</v>
      </c>
      <c r="L14" s="345">
        <v>709.329</v>
      </c>
      <c r="M14" s="345">
        <v>574.123</v>
      </c>
      <c r="N14" s="345">
        <v>549.025</v>
      </c>
      <c r="O14" s="345">
        <v>638.184</v>
      </c>
      <c r="P14" s="345">
        <v>727.46</v>
      </c>
      <c r="Q14" s="345">
        <v>730.129</v>
      </c>
      <c r="R14" s="345">
        <v>721.722</v>
      </c>
      <c r="S14" s="345">
        <v>736.439</v>
      </c>
      <c r="T14" s="345">
        <v>739.467</v>
      </c>
      <c r="U14" s="645">
        <v>768.138</v>
      </c>
      <c r="V14" s="664">
        <f t="shared" si="0"/>
        <v>3.877252128898249</v>
      </c>
    </row>
    <row r="15" spans="1:22" s="7" customFormat="1" ht="12.75" customHeight="1">
      <c r="A15" s="210">
        <v>8</v>
      </c>
      <c r="B15" s="263"/>
      <c r="C15" s="264" t="s">
        <v>72</v>
      </c>
      <c r="D15" s="265" t="s">
        <v>178</v>
      </c>
      <c r="E15" s="354">
        <v>270.307</v>
      </c>
      <c r="F15" s="354">
        <v>273.217</v>
      </c>
      <c r="G15" s="354">
        <v>326.817</v>
      </c>
      <c r="H15" s="354">
        <v>374.159</v>
      </c>
      <c r="I15" s="723">
        <v>382.325</v>
      </c>
      <c r="J15" s="723">
        <v>325.712</v>
      </c>
      <c r="K15" s="650">
        <v>323.242</v>
      </c>
      <c r="L15" s="347">
        <v>363.68</v>
      </c>
      <c r="M15" s="347">
        <v>381.637</v>
      </c>
      <c r="N15" s="348">
        <v>401.799</v>
      </c>
      <c r="O15" s="348">
        <v>508.518</v>
      </c>
      <c r="P15" s="348">
        <v>544.034</v>
      </c>
      <c r="Q15" s="347">
        <v>510.286</v>
      </c>
      <c r="R15" s="347">
        <v>534.215</v>
      </c>
      <c r="S15" s="347">
        <v>581.802</v>
      </c>
      <c r="T15" s="347">
        <v>625.308</v>
      </c>
      <c r="U15" s="646">
        <v>592.146</v>
      </c>
      <c r="V15" s="665">
        <f t="shared" si="0"/>
        <v>-5.303306530541747</v>
      </c>
    </row>
    <row r="16" spans="1:22" s="7" customFormat="1" ht="12.75" customHeight="1">
      <c r="A16" s="211">
        <v>9</v>
      </c>
      <c r="B16" s="179"/>
      <c r="C16" s="240" t="s">
        <v>35</v>
      </c>
      <c r="D16" s="226" t="s">
        <v>183</v>
      </c>
      <c r="E16" s="355">
        <v>295.7</v>
      </c>
      <c r="F16" s="355">
        <v>289.204</v>
      </c>
      <c r="G16" s="345">
        <v>292.953</v>
      </c>
      <c r="H16" s="345">
        <v>318.374</v>
      </c>
      <c r="I16" s="345">
        <v>360.589</v>
      </c>
      <c r="J16" s="345">
        <v>383.789</v>
      </c>
      <c r="K16" s="345">
        <v>417.555</v>
      </c>
      <c r="L16" s="345">
        <v>482.58</v>
      </c>
      <c r="M16" s="345">
        <v>414.13</v>
      </c>
      <c r="N16" s="350">
        <v>343.561</v>
      </c>
      <c r="O16" s="350">
        <v>432.667</v>
      </c>
      <c r="P16" s="350">
        <v>450.445</v>
      </c>
      <c r="Q16" s="345">
        <v>414.317</v>
      </c>
      <c r="R16" s="345">
        <v>430.342</v>
      </c>
      <c r="S16" s="345">
        <v>469.658</v>
      </c>
      <c r="T16" s="345">
        <v>511.192</v>
      </c>
      <c r="U16" s="645">
        <v>548.765</v>
      </c>
      <c r="V16" s="664">
        <f t="shared" si="0"/>
        <v>7.3500759010313175</v>
      </c>
    </row>
    <row r="17" spans="1:22" s="23" customFormat="1" ht="12.75" customHeight="1">
      <c r="A17" s="211">
        <v>10</v>
      </c>
      <c r="B17" s="263"/>
      <c r="C17" s="264" t="s">
        <v>38</v>
      </c>
      <c r="D17" s="265" t="s">
        <v>178</v>
      </c>
      <c r="E17" s="356">
        <v>687.385</v>
      </c>
      <c r="F17" s="357">
        <v>583.729</v>
      </c>
      <c r="G17" s="347">
        <v>499.431</v>
      </c>
      <c r="H17" s="347">
        <v>606.504</v>
      </c>
      <c r="I17" s="347">
        <v>660.428</v>
      </c>
      <c r="J17" s="347">
        <v>694.523</v>
      </c>
      <c r="K17" s="347">
        <v>713.535</v>
      </c>
      <c r="L17" s="347">
        <v>734.206</v>
      </c>
      <c r="M17" s="347">
        <v>614.385</v>
      </c>
      <c r="N17" s="348">
        <v>364.426</v>
      </c>
      <c r="O17" s="348">
        <v>385.029</v>
      </c>
      <c r="P17" s="348">
        <v>386.652</v>
      </c>
      <c r="Q17" s="347">
        <v>405.27</v>
      </c>
      <c r="R17" s="347">
        <v>378.672</v>
      </c>
      <c r="S17" s="347">
        <v>408.045</v>
      </c>
      <c r="T17" s="347">
        <v>483.121</v>
      </c>
      <c r="U17" s="646">
        <v>472.71</v>
      </c>
      <c r="V17" s="665">
        <f t="shared" si="0"/>
        <v>-2.1549466903736345</v>
      </c>
    </row>
    <row r="18" spans="1:23" s="7" customFormat="1" ht="12.75" customHeight="1">
      <c r="A18" s="211">
        <v>11</v>
      </c>
      <c r="B18" s="179"/>
      <c r="C18" s="240" t="s">
        <v>30</v>
      </c>
      <c r="D18" s="226" t="s">
        <v>180</v>
      </c>
      <c r="E18" s="351">
        <v>280.367</v>
      </c>
      <c r="F18" s="345">
        <v>295.828</v>
      </c>
      <c r="G18" s="345">
        <v>293.099</v>
      </c>
      <c r="H18" s="345">
        <v>296.301</v>
      </c>
      <c r="I18" s="345">
        <v>352.78</v>
      </c>
      <c r="J18" s="345">
        <v>360.312</v>
      </c>
      <c r="K18" s="345">
        <v>344.241</v>
      </c>
      <c r="L18" s="345">
        <v>341.589</v>
      </c>
      <c r="M18" s="345">
        <v>355.032</v>
      </c>
      <c r="N18" s="345">
        <v>330.161</v>
      </c>
      <c r="O18" s="345">
        <v>400.477</v>
      </c>
      <c r="P18" s="345">
        <v>421.832</v>
      </c>
      <c r="Q18" s="345">
        <v>385.361</v>
      </c>
      <c r="R18" s="345">
        <v>367.044</v>
      </c>
      <c r="S18" s="345">
        <v>376.827</v>
      </c>
      <c r="T18" s="345">
        <v>382.628</v>
      </c>
      <c r="U18" s="645">
        <v>404.286</v>
      </c>
      <c r="V18" s="664">
        <f t="shared" si="0"/>
        <v>5.660328047084889</v>
      </c>
      <c r="W18" s="355"/>
    </row>
    <row r="19" spans="1:22" s="7" customFormat="1" ht="12.75" customHeight="1">
      <c r="A19" s="211">
        <v>12</v>
      </c>
      <c r="B19" s="263"/>
      <c r="C19" s="264" t="s">
        <v>32</v>
      </c>
      <c r="D19" s="265" t="s">
        <v>179</v>
      </c>
      <c r="E19" s="346">
        <v>148.431</v>
      </c>
      <c r="F19" s="347">
        <v>145.292</v>
      </c>
      <c r="G19" s="347">
        <v>166.903</v>
      </c>
      <c r="H19" s="347">
        <v>163.388</v>
      </c>
      <c r="I19" s="347">
        <v>192.451</v>
      </c>
      <c r="J19" s="347">
        <v>218.191</v>
      </c>
      <c r="K19" s="347">
        <v>238.089</v>
      </c>
      <c r="L19" s="347">
        <v>265.301</v>
      </c>
      <c r="M19" s="347">
        <v>264.933</v>
      </c>
      <c r="N19" s="347">
        <v>234.34</v>
      </c>
      <c r="O19" s="347">
        <v>291.061</v>
      </c>
      <c r="P19" s="347">
        <v>303.667</v>
      </c>
      <c r="Q19" s="347">
        <v>290.28</v>
      </c>
      <c r="R19" s="347">
        <v>287.733</v>
      </c>
      <c r="S19" s="347">
        <v>309.146</v>
      </c>
      <c r="T19" s="347">
        <v>336.039</v>
      </c>
      <c r="U19" s="646">
        <v>353.495</v>
      </c>
      <c r="V19" s="665">
        <f t="shared" si="0"/>
        <v>5.1946351465157505</v>
      </c>
    </row>
    <row r="20" spans="1:22" s="7" customFormat="1" ht="12.75" customHeight="1">
      <c r="A20" s="211">
        <v>13</v>
      </c>
      <c r="B20" s="179"/>
      <c r="C20" s="240" t="s">
        <v>73</v>
      </c>
      <c r="D20" s="226" t="s">
        <v>177</v>
      </c>
      <c r="E20" s="351">
        <v>178.79</v>
      </c>
      <c r="F20" s="345">
        <v>195.057</v>
      </c>
      <c r="G20" s="345">
        <v>219.209</v>
      </c>
      <c r="H20" s="345">
        <v>237.344</v>
      </c>
      <c r="I20" s="345">
        <v>277.185</v>
      </c>
      <c r="J20" s="345">
        <v>292.149</v>
      </c>
      <c r="K20" s="345">
        <v>298.283</v>
      </c>
      <c r="L20" s="345">
        <v>318.447</v>
      </c>
      <c r="M20" s="345">
        <v>292.366</v>
      </c>
      <c r="N20" s="345">
        <v>286.629</v>
      </c>
      <c r="O20" s="345">
        <v>304.049</v>
      </c>
      <c r="P20" s="345">
        <v>298.752</v>
      </c>
      <c r="Q20" s="345">
        <v>299.994</v>
      </c>
      <c r="R20" s="345">
        <v>296.88</v>
      </c>
      <c r="S20" s="345">
        <v>307.242</v>
      </c>
      <c r="T20" s="345">
        <v>321.15</v>
      </c>
      <c r="U20" s="645">
        <v>319.609</v>
      </c>
      <c r="V20" s="664">
        <f t="shared" si="0"/>
        <v>-0.47983808189319177</v>
      </c>
    </row>
    <row r="21" spans="1:23" s="7" customFormat="1" ht="12.75" customHeight="1">
      <c r="A21" s="211">
        <v>14</v>
      </c>
      <c r="B21" s="263"/>
      <c r="C21" s="264" t="s">
        <v>44</v>
      </c>
      <c r="D21" s="265" t="s">
        <v>177</v>
      </c>
      <c r="E21" s="346">
        <v>167.752</v>
      </c>
      <c r="F21" s="347">
        <v>165.669</v>
      </c>
      <c r="G21" s="347">
        <v>184.66</v>
      </c>
      <c r="H21" s="347">
        <v>202.73</v>
      </c>
      <c r="I21" s="347">
        <v>239.042</v>
      </c>
      <c r="J21" s="347">
        <v>254.812</v>
      </c>
      <c r="K21" s="347">
        <v>241.331</v>
      </c>
      <c r="L21" s="347">
        <v>225.315</v>
      </c>
      <c r="M21" s="347">
        <v>230.063</v>
      </c>
      <c r="N21" s="347">
        <v>213.384</v>
      </c>
      <c r="O21" s="347">
        <v>229.812</v>
      </c>
      <c r="P21" s="347">
        <v>230.162</v>
      </c>
      <c r="Q21" s="347">
        <v>241.368</v>
      </c>
      <c r="R21" s="347">
        <v>236.253</v>
      </c>
      <c r="S21" s="347">
        <v>225.851</v>
      </c>
      <c r="T21" s="347">
        <v>226.776</v>
      </c>
      <c r="U21" s="646">
        <v>245.658</v>
      </c>
      <c r="V21" s="665">
        <f t="shared" si="0"/>
        <v>8.326277913006663</v>
      </c>
      <c r="W21" s="27"/>
    </row>
    <row r="22" spans="1:22" s="26" customFormat="1" ht="12.75" customHeight="1">
      <c r="A22" s="211">
        <v>15</v>
      </c>
      <c r="B22" s="179"/>
      <c r="C22" s="240" t="s">
        <v>36</v>
      </c>
      <c r="D22" s="226" t="s">
        <v>185</v>
      </c>
      <c r="E22" s="351">
        <v>65.941</v>
      </c>
      <c r="F22" s="345">
        <v>58.151</v>
      </c>
      <c r="G22" s="345">
        <v>124.26</v>
      </c>
      <c r="H22" s="345">
        <v>127.011</v>
      </c>
      <c r="I22" s="345">
        <v>158.103</v>
      </c>
      <c r="J22" s="345">
        <v>179.983</v>
      </c>
      <c r="K22" s="345">
        <v>201.83</v>
      </c>
      <c r="L22" s="345">
        <v>204.934</v>
      </c>
      <c r="M22" s="345">
        <v>201.288</v>
      </c>
      <c r="N22" s="345">
        <v>198.327</v>
      </c>
      <c r="O22" s="345">
        <v>231.763</v>
      </c>
      <c r="P22" s="345">
        <v>213.293</v>
      </c>
      <c r="Q22" s="345">
        <v>191.129</v>
      </c>
      <c r="R22" s="345">
        <v>190.461</v>
      </c>
      <c r="S22" s="345">
        <v>210.277</v>
      </c>
      <c r="T22" s="345">
        <v>209.053</v>
      </c>
      <c r="U22" s="645">
        <v>216.382</v>
      </c>
      <c r="V22" s="664">
        <f t="shared" si="0"/>
        <v>3.505809531554192</v>
      </c>
    </row>
    <row r="23" spans="1:22" s="25" customFormat="1" ht="12.75" customHeight="1">
      <c r="A23" s="211">
        <v>16</v>
      </c>
      <c r="B23" s="263"/>
      <c r="C23" s="264" t="s">
        <v>37</v>
      </c>
      <c r="D23" s="265" t="s">
        <v>174</v>
      </c>
      <c r="E23" s="354">
        <v>419.432</v>
      </c>
      <c r="F23" s="357">
        <v>379.037</v>
      </c>
      <c r="G23" s="357">
        <v>373.694</v>
      </c>
      <c r="H23" s="357">
        <v>335.731</v>
      </c>
      <c r="I23" s="357">
        <v>335.649</v>
      </c>
      <c r="J23" s="357">
        <v>355.087</v>
      </c>
      <c r="K23" s="357">
        <v>380.024</v>
      </c>
      <c r="L23" s="357">
        <v>395.506</v>
      </c>
      <c r="M23" s="617">
        <v>246.794</v>
      </c>
      <c r="N23" s="581">
        <v>152.012</v>
      </c>
      <c r="O23" s="581">
        <v>138.088</v>
      </c>
      <c r="P23" s="347">
        <v>141.331</v>
      </c>
      <c r="Q23" s="581">
        <v>152.374</v>
      </c>
      <c r="R23" s="581">
        <v>136.805</v>
      </c>
      <c r="S23" s="347">
        <v>200.014</v>
      </c>
      <c r="T23" s="347">
        <v>196.579</v>
      </c>
      <c r="U23" s="646">
        <v>185.691</v>
      </c>
      <c r="V23" s="665">
        <f t="shared" si="0"/>
        <v>-5.538740150270385</v>
      </c>
    </row>
    <row r="24" spans="1:22" s="26" customFormat="1" ht="12.75" customHeight="1">
      <c r="A24" s="210">
        <v>17</v>
      </c>
      <c r="B24" s="179"/>
      <c r="C24" s="240" t="s">
        <v>45</v>
      </c>
      <c r="D24" s="226" t="s">
        <v>187</v>
      </c>
      <c r="E24" s="345">
        <v>96.103</v>
      </c>
      <c r="F24" s="345">
        <v>84.974</v>
      </c>
      <c r="G24" s="345">
        <v>86.433</v>
      </c>
      <c r="H24" s="345">
        <v>88.139</v>
      </c>
      <c r="I24" s="345">
        <v>118.017</v>
      </c>
      <c r="J24" s="345">
        <v>114.86</v>
      </c>
      <c r="K24" s="345">
        <v>123.512</v>
      </c>
      <c r="L24" s="345">
        <v>141.28</v>
      </c>
      <c r="M24" s="345">
        <v>141.524</v>
      </c>
      <c r="N24" s="345">
        <v>121.882</v>
      </c>
      <c r="O24" s="345">
        <v>157.508</v>
      </c>
      <c r="P24" s="345">
        <v>170.934</v>
      </c>
      <c r="Q24" s="345">
        <v>188.549</v>
      </c>
      <c r="R24" s="345">
        <v>187.225</v>
      </c>
      <c r="S24" s="345">
        <v>187.419</v>
      </c>
      <c r="T24" s="345">
        <v>177.441</v>
      </c>
      <c r="U24" s="645">
        <v>182.198</v>
      </c>
      <c r="V24" s="664">
        <f t="shared" si="0"/>
        <v>2.6808911131023905</v>
      </c>
    </row>
    <row r="25" spans="1:22" s="7" customFormat="1" ht="12.75" customHeight="1">
      <c r="A25" s="211">
        <v>18</v>
      </c>
      <c r="B25" s="263"/>
      <c r="C25" s="264" t="s">
        <v>33</v>
      </c>
      <c r="D25" s="265" t="s">
        <v>183</v>
      </c>
      <c r="E25" s="356">
        <v>153.3</v>
      </c>
      <c r="F25" s="357">
        <v>169.652</v>
      </c>
      <c r="G25" s="347">
        <v>117.7</v>
      </c>
      <c r="H25" s="347">
        <v>163.868</v>
      </c>
      <c r="I25" s="347">
        <v>139.626</v>
      </c>
      <c r="J25" s="347">
        <v>131.935</v>
      </c>
      <c r="K25" s="347">
        <v>140.203</v>
      </c>
      <c r="L25" s="347">
        <v>153.9</v>
      </c>
      <c r="M25" s="347">
        <v>152.999</v>
      </c>
      <c r="N25" s="347">
        <v>139.014</v>
      </c>
      <c r="O25" s="347">
        <v>164.368</v>
      </c>
      <c r="P25" s="347">
        <v>151.867</v>
      </c>
      <c r="Q25" s="347">
        <v>143.244</v>
      </c>
      <c r="R25" s="347">
        <v>141.911</v>
      </c>
      <c r="S25" s="347">
        <v>142.972</v>
      </c>
      <c r="T25" s="347">
        <v>145.017</v>
      </c>
      <c r="U25" s="646">
        <v>160.904</v>
      </c>
      <c r="V25" s="665">
        <f t="shared" si="0"/>
        <v>10.955267313487397</v>
      </c>
    </row>
    <row r="26" spans="1:22" s="26" customFormat="1" ht="12.75" customHeight="1">
      <c r="A26" s="211">
        <v>19</v>
      </c>
      <c r="B26" s="179"/>
      <c r="C26" s="240" t="s">
        <v>325</v>
      </c>
      <c r="D26" s="226" t="s">
        <v>182</v>
      </c>
      <c r="E26" s="345">
        <v>35.478</v>
      </c>
      <c r="F26" s="345">
        <v>31.857</v>
      </c>
      <c r="G26" s="345">
        <v>9.586</v>
      </c>
      <c r="H26" s="355"/>
      <c r="I26" s="345">
        <v>33.871</v>
      </c>
      <c r="J26" s="345">
        <v>64.113</v>
      </c>
      <c r="K26" s="345">
        <v>107.558</v>
      </c>
      <c r="L26" s="345">
        <v>111.325</v>
      </c>
      <c r="M26" s="345">
        <v>107.462</v>
      </c>
      <c r="N26" s="345">
        <v>97.348</v>
      </c>
      <c r="O26" s="345">
        <v>105.339</v>
      </c>
      <c r="P26" s="345">
        <v>101.193</v>
      </c>
      <c r="Q26" s="345">
        <v>111.069</v>
      </c>
      <c r="R26" s="345">
        <v>113.482</v>
      </c>
      <c r="S26" s="345">
        <v>127.448</v>
      </c>
      <c r="T26" s="345">
        <v>137.267</v>
      </c>
      <c r="U26" s="645">
        <v>134.207</v>
      </c>
      <c r="V26" s="664">
        <f t="shared" si="0"/>
        <v>-2.229232080543767</v>
      </c>
    </row>
    <row r="27" spans="1:22" s="23" customFormat="1" ht="12.75" customHeight="1">
      <c r="A27" s="211">
        <v>20</v>
      </c>
      <c r="B27" s="263"/>
      <c r="C27" s="264" t="s">
        <v>393</v>
      </c>
      <c r="D27" s="265" t="s">
        <v>183</v>
      </c>
      <c r="E27" s="346">
        <v>98.923</v>
      </c>
      <c r="F27" s="354">
        <v>94.808</v>
      </c>
      <c r="G27" s="347">
        <v>113.139</v>
      </c>
      <c r="H27" s="347">
        <v>127.948</v>
      </c>
      <c r="I27" s="347">
        <v>129.624</v>
      </c>
      <c r="J27" s="347">
        <v>135.104</v>
      </c>
      <c r="K27" s="347">
        <v>139.378</v>
      </c>
      <c r="L27" s="724">
        <v>133.797</v>
      </c>
      <c r="M27" s="347">
        <v>122.12</v>
      </c>
      <c r="N27" s="347">
        <v>99.573</v>
      </c>
      <c r="O27" s="347">
        <v>105.787</v>
      </c>
      <c r="P27" s="347">
        <v>112.25</v>
      </c>
      <c r="Q27" s="347">
        <v>116.732</v>
      </c>
      <c r="R27" s="347">
        <v>115.949</v>
      </c>
      <c r="S27" s="347">
        <v>122.494</v>
      </c>
      <c r="T27" s="347">
        <v>120.952</v>
      </c>
      <c r="U27" s="646">
        <v>117.66</v>
      </c>
      <c r="V27" s="666">
        <f t="shared" si="0"/>
        <v>-2.7217408558767033</v>
      </c>
    </row>
    <row r="28" spans="1:22" s="26" customFormat="1" ht="12.75" customHeight="1">
      <c r="A28" s="212">
        <v>21</v>
      </c>
      <c r="B28" s="179"/>
      <c r="C28" s="240" t="s">
        <v>324</v>
      </c>
      <c r="D28" s="226" t="s">
        <v>180</v>
      </c>
      <c r="E28" s="351">
        <v>75.512</v>
      </c>
      <c r="F28" s="345">
        <v>77.392</v>
      </c>
      <c r="G28" s="345">
        <v>73.941</v>
      </c>
      <c r="H28" s="345">
        <v>61.705</v>
      </c>
      <c r="I28" s="345">
        <v>83.59</v>
      </c>
      <c r="J28" s="345">
        <v>94.484</v>
      </c>
      <c r="K28" s="345">
        <v>97.914</v>
      </c>
      <c r="L28" s="345">
        <v>92.141</v>
      </c>
      <c r="M28" s="345">
        <v>108.463</v>
      </c>
      <c r="N28" s="345">
        <v>92.255</v>
      </c>
      <c r="O28" s="345">
        <v>105.899</v>
      </c>
      <c r="P28" s="345">
        <v>98.016</v>
      </c>
      <c r="Q28" s="345">
        <v>94.949</v>
      </c>
      <c r="R28" s="345">
        <v>98.174</v>
      </c>
      <c r="S28" s="345">
        <v>95.284</v>
      </c>
      <c r="T28" s="345">
        <v>102.202</v>
      </c>
      <c r="U28" s="645">
        <v>114.617</v>
      </c>
      <c r="V28" s="664">
        <f t="shared" si="0"/>
        <v>12.147511790375916</v>
      </c>
    </row>
    <row r="29" spans="1:22" s="25" customFormat="1" ht="12.75" customHeight="1">
      <c r="A29" s="210">
        <v>22</v>
      </c>
      <c r="B29" s="263"/>
      <c r="C29" s="264" t="s">
        <v>39</v>
      </c>
      <c r="D29" s="265" t="s">
        <v>181</v>
      </c>
      <c r="E29" s="725">
        <v>107.347</v>
      </c>
      <c r="F29" s="581">
        <v>94.032</v>
      </c>
      <c r="G29" s="581">
        <v>83.892</v>
      </c>
      <c r="H29" s="581">
        <v>83.043</v>
      </c>
      <c r="I29" s="581">
        <v>78.104</v>
      </c>
      <c r="J29" s="581">
        <v>79.965</v>
      </c>
      <c r="K29" s="581">
        <v>75.985</v>
      </c>
      <c r="L29" s="581">
        <v>76.693</v>
      </c>
      <c r="M29" s="581">
        <v>72.103</v>
      </c>
      <c r="N29" s="581">
        <v>63.353</v>
      </c>
      <c r="O29" s="581">
        <v>53.772</v>
      </c>
      <c r="P29" s="581">
        <v>58.81</v>
      </c>
      <c r="Q29" s="581">
        <v>62.854</v>
      </c>
      <c r="R29" s="581">
        <v>62.854</v>
      </c>
      <c r="S29" s="617">
        <v>114.918</v>
      </c>
      <c r="T29" s="581">
        <v>126.296</v>
      </c>
      <c r="U29" s="583">
        <v>114.202</v>
      </c>
      <c r="V29" s="665">
        <f t="shared" si="0"/>
        <v>-9.575916893646678</v>
      </c>
    </row>
    <row r="30" spans="1:22" s="26" customFormat="1" ht="12.75" customHeight="1">
      <c r="A30" s="211">
        <v>23</v>
      </c>
      <c r="B30" s="179"/>
      <c r="C30" s="240" t="s">
        <v>41</v>
      </c>
      <c r="D30" s="226" t="s">
        <v>177</v>
      </c>
      <c r="E30" s="582">
        <v>116.59</v>
      </c>
      <c r="F30" s="582">
        <v>106.116</v>
      </c>
      <c r="G30" s="582">
        <v>112.799</v>
      </c>
      <c r="H30" s="582">
        <v>125.731</v>
      </c>
      <c r="I30" s="582">
        <v>153.276</v>
      </c>
      <c r="J30" s="582">
        <v>149.967</v>
      </c>
      <c r="K30" s="582">
        <v>150.267</v>
      </c>
      <c r="L30" s="582">
        <v>166.131</v>
      </c>
      <c r="M30" s="582">
        <v>142.594</v>
      </c>
      <c r="N30" s="582">
        <v>103.006</v>
      </c>
      <c r="O30" s="582">
        <v>116.559</v>
      </c>
      <c r="P30" s="582">
        <v>108.537</v>
      </c>
      <c r="Q30" s="582">
        <v>98.27</v>
      </c>
      <c r="R30" s="582">
        <v>96.708</v>
      </c>
      <c r="S30" s="582">
        <v>93.139</v>
      </c>
      <c r="T30" s="582">
        <v>103.007</v>
      </c>
      <c r="U30" s="615">
        <v>112.363</v>
      </c>
      <c r="V30" s="664">
        <f t="shared" si="0"/>
        <v>9.08287786266952</v>
      </c>
    </row>
    <row r="31" spans="1:22" s="7" customFormat="1" ht="12.75" customHeight="1">
      <c r="A31" s="211">
        <v>24</v>
      </c>
      <c r="B31" s="263"/>
      <c r="C31" s="264" t="s">
        <v>158</v>
      </c>
      <c r="D31" s="265" t="s">
        <v>186</v>
      </c>
      <c r="E31" s="347">
        <v>114.638</v>
      </c>
      <c r="F31" s="347">
        <v>93.912</v>
      </c>
      <c r="G31" s="347">
        <v>91.086</v>
      </c>
      <c r="H31" s="347">
        <v>93.509</v>
      </c>
      <c r="I31" s="347">
        <v>95.291</v>
      </c>
      <c r="J31" s="347">
        <v>100.023</v>
      </c>
      <c r="K31" s="347">
        <v>98.194</v>
      </c>
      <c r="L31" s="347">
        <v>94.466</v>
      </c>
      <c r="M31" s="347">
        <v>101.116</v>
      </c>
      <c r="N31" s="347">
        <v>95.528</v>
      </c>
      <c r="O31" s="347">
        <v>105.19</v>
      </c>
      <c r="P31" s="347">
        <v>95.311</v>
      </c>
      <c r="Q31" s="347">
        <v>91</v>
      </c>
      <c r="R31" s="347">
        <v>96.842</v>
      </c>
      <c r="S31" s="347">
        <v>103.181</v>
      </c>
      <c r="T31" s="347">
        <v>100.765</v>
      </c>
      <c r="U31" s="646">
        <v>101.622</v>
      </c>
      <c r="V31" s="665">
        <f t="shared" si="0"/>
        <v>0.8504937230189142</v>
      </c>
    </row>
    <row r="32" spans="1:22" s="26" customFormat="1" ht="12.75" customHeight="1">
      <c r="A32" s="211">
        <v>25</v>
      </c>
      <c r="B32" s="179"/>
      <c r="C32" s="240" t="s">
        <v>42</v>
      </c>
      <c r="D32" s="226" t="s">
        <v>188</v>
      </c>
      <c r="E32" s="345">
        <v>154</v>
      </c>
      <c r="F32" s="353">
        <v>145</v>
      </c>
      <c r="G32" s="353">
        <v>155</v>
      </c>
      <c r="H32" s="353">
        <v>131</v>
      </c>
      <c r="I32" s="353">
        <v>139</v>
      </c>
      <c r="J32" s="353">
        <v>158</v>
      </c>
      <c r="K32" s="353">
        <v>168.8</v>
      </c>
      <c r="L32" s="353">
        <v>191.8</v>
      </c>
      <c r="M32" s="582">
        <v>121.449</v>
      </c>
      <c r="N32" s="582">
        <v>84.218</v>
      </c>
      <c r="O32" s="582">
        <v>99.39</v>
      </c>
      <c r="P32" s="582">
        <v>82.52</v>
      </c>
      <c r="Q32" s="582">
        <v>74.215</v>
      </c>
      <c r="R32" s="582">
        <v>71.303</v>
      </c>
      <c r="S32" s="344">
        <v>85.186</v>
      </c>
      <c r="T32" s="344">
        <v>90.726</v>
      </c>
      <c r="U32" s="647">
        <v>94.4</v>
      </c>
      <c r="V32" s="664">
        <f t="shared" si="0"/>
        <v>4.04955580539206</v>
      </c>
    </row>
    <row r="33" spans="1:22" s="7" customFormat="1" ht="12.75" customHeight="1">
      <c r="A33" s="211">
        <v>26</v>
      </c>
      <c r="B33" s="263"/>
      <c r="C33" s="264" t="s">
        <v>40</v>
      </c>
      <c r="D33" s="265" t="s">
        <v>179</v>
      </c>
      <c r="E33" s="581">
        <v>59.421</v>
      </c>
      <c r="F33" s="581">
        <v>51.546</v>
      </c>
      <c r="G33" s="581">
        <v>45.544</v>
      </c>
      <c r="H33" s="581">
        <v>47.73</v>
      </c>
      <c r="I33" s="581">
        <v>55.971</v>
      </c>
      <c r="J33" s="581">
        <v>56.474</v>
      </c>
      <c r="K33" s="581">
        <v>59.328</v>
      </c>
      <c r="L33" s="581">
        <v>57.669</v>
      </c>
      <c r="M33" s="581">
        <v>70.167</v>
      </c>
      <c r="N33" s="581">
        <v>65.108</v>
      </c>
      <c r="O33" s="581">
        <v>87.061</v>
      </c>
      <c r="P33" s="581">
        <v>81.25</v>
      </c>
      <c r="Q33" s="581">
        <v>86.671</v>
      </c>
      <c r="R33" s="581">
        <v>90.558</v>
      </c>
      <c r="S33" s="581">
        <v>97.007</v>
      </c>
      <c r="T33" s="581">
        <v>90.238</v>
      </c>
      <c r="U33" s="583">
        <v>93.533</v>
      </c>
      <c r="V33" s="665">
        <f t="shared" si="0"/>
        <v>3.6514550411135076</v>
      </c>
    </row>
    <row r="34" spans="1:22" s="7" customFormat="1" ht="12.75" customHeight="1">
      <c r="A34" s="211">
        <v>27</v>
      </c>
      <c r="B34" s="179"/>
      <c r="C34" s="240" t="s">
        <v>545</v>
      </c>
      <c r="D34" s="226" t="s">
        <v>169</v>
      </c>
      <c r="E34" s="345">
        <v>44.6</v>
      </c>
      <c r="F34" s="345">
        <v>38.983</v>
      </c>
      <c r="G34" s="345">
        <v>45.218</v>
      </c>
      <c r="H34" s="345">
        <v>46.554</v>
      </c>
      <c r="I34" s="345">
        <v>31.423</v>
      </c>
      <c r="J34" s="345">
        <v>31.13</v>
      </c>
      <c r="K34" s="345">
        <v>36.925</v>
      </c>
      <c r="L34" s="345">
        <v>41.343</v>
      </c>
      <c r="M34" s="345">
        <v>54.619</v>
      </c>
      <c r="N34" s="345">
        <v>50.1</v>
      </c>
      <c r="O34" s="345">
        <v>57.066</v>
      </c>
      <c r="P34" s="345">
        <v>60.576</v>
      </c>
      <c r="Q34" s="345">
        <v>62.501</v>
      </c>
      <c r="R34" s="345">
        <v>64.196</v>
      </c>
      <c r="S34" s="345">
        <v>68.624</v>
      </c>
      <c r="T34" s="345">
        <v>72.309</v>
      </c>
      <c r="U34" s="645">
        <v>85.779</v>
      </c>
      <c r="V34" s="664">
        <f t="shared" si="0"/>
        <v>18.62838650790357</v>
      </c>
    </row>
    <row r="35" spans="1:22" s="26" customFormat="1" ht="12.75" customHeight="1">
      <c r="A35" s="211">
        <v>28</v>
      </c>
      <c r="B35" s="263"/>
      <c r="C35" s="264" t="s">
        <v>34</v>
      </c>
      <c r="D35" s="265" t="s">
        <v>177</v>
      </c>
      <c r="E35" s="346">
        <v>318.795</v>
      </c>
      <c r="F35" s="347">
        <v>279.904</v>
      </c>
      <c r="G35" s="347">
        <v>242.125</v>
      </c>
      <c r="H35" s="650">
        <v>233.471</v>
      </c>
      <c r="I35" s="347">
        <v>226.927</v>
      </c>
      <c r="J35" s="347">
        <v>232.084</v>
      </c>
      <c r="K35" s="347">
        <v>219.873</v>
      </c>
      <c r="L35" s="347">
        <v>176.635</v>
      </c>
      <c r="M35" s="650">
        <v>112.365</v>
      </c>
      <c r="N35" s="347">
        <v>79.209</v>
      </c>
      <c r="O35" s="347">
        <v>108.552</v>
      </c>
      <c r="P35" s="347">
        <v>92.056</v>
      </c>
      <c r="Q35" s="347">
        <v>101.096</v>
      </c>
      <c r="R35" s="347">
        <v>100.441</v>
      </c>
      <c r="S35" s="347">
        <v>92.735</v>
      </c>
      <c r="T35" s="347">
        <v>77.851</v>
      </c>
      <c r="U35" s="646">
        <v>83.99</v>
      </c>
      <c r="V35" s="665">
        <f t="shared" si="0"/>
        <v>7.885576293175404</v>
      </c>
    </row>
    <row r="36" spans="1:22" s="7" customFormat="1" ht="12.75" customHeight="1">
      <c r="A36" s="211">
        <v>29</v>
      </c>
      <c r="B36" s="179"/>
      <c r="C36" s="240" t="s">
        <v>53</v>
      </c>
      <c r="D36" s="226" t="s">
        <v>165</v>
      </c>
      <c r="E36" s="352">
        <v>43.5</v>
      </c>
      <c r="F36" s="353">
        <v>45.2</v>
      </c>
      <c r="G36" s="582">
        <v>46.402</v>
      </c>
      <c r="H36" s="582">
        <v>50.525</v>
      </c>
      <c r="I36" s="582">
        <v>60.414</v>
      </c>
      <c r="J36" s="582">
        <v>55.473</v>
      </c>
      <c r="K36" s="582">
        <v>64.882</v>
      </c>
      <c r="L36" s="582">
        <v>67.591</v>
      </c>
      <c r="M36" s="582">
        <v>62.544</v>
      </c>
      <c r="N36" s="582">
        <v>54.138</v>
      </c>
      <c r="O36" s="582">
        <v>65.305</v>
      </c>
      <c r="P36" s="582">
        <v>68.86</v>
      </c>
      <c r="Q36" s="582">
        <v>61.902</v>
      </c>
      <c r="R36" s="582">
        <v>64.166</v>
      </c>
      <c r="S36" s="344">
        <v>61.97</v>
      </c>
      <c r="T36" s="344">
        <v>65.783</v>
      </c>
      <c r="U36" s="647">
        <v>77.535</v>
      </c>
      <c r="V36" s="664">
        <f t="shared" si="0"/>
        <v>17.864797896112975</v>
      </c>
    </row>
    <row r="37" spans="1:22" s="7" customFormat="1" ht="12.75" customHeight="1">
      <c r="A37" s="211">
        <v>30</v>
      </c>
      <c r="B37" s="263"/>
      <c r="C37" s="264" t="s">
        <v>429</v>
      </c>
      <c r="D37" s="265" t="s">
        <v>180</v>
      </c>
      <c r="E37" s="346">
        <v>3.171</v>
      </c>
      <c r="F37" s="347">
        <v>2.225</v>
      </c>
      <c r="G37" s="347">
        <v>3.048</v>
      </c>
      <c r="H37" s="347">
        <v>8.24</v>
      </c>
      <c r="I37" s="347">
        <v>9.044</v>
      </c>
      <c r="J37" s="347">
        <v>3.769</v>
      </c>
      <c r="K37" s="347">
        <v>5.778</v>
      </c>
      <c r="L37" s="347">
        <v>19.397</v>
      </c>
      <c r="M37" s="347">
        <v>21.408</v>
      </c>
      <c r="N37" s="347">
        <v>36.654</v>
      </c>
      <c r="O37" s="347">
        <v>42.094</v>
      </c>
      <c r="P37" s="347">
        <v>48.151</v>
      </c>
      <c r="Q37" s="347">
        <v>70.904</v>
      </c>
      <c r="R37" s="347">
        <v>71.557</v>
      </c>
      <c r="S37" s="347">
        <v>76.097</v>
      </c>
      <c r="T37" s="347">
        <v>65.113</v>
      </c>
      <c r="U37" s="646">
        <v>76.184</v>
      </c>
      <c r="V37" s="665">
        <f t="shared" si="0"/>
        <v>17.00274906700659</v>
      </c>
    </row>
    <row r="38" spans="1:22" s="7" customFormat="1" ht="12.75" customHeight="1">
      <c r="A38" s="211">
        <v>31</v>
      </c>
      <c r="B38" s="179"/>
      <c r="C38" s="240" t="s">
        <v>46</v>
      </c>
      <c r="D38" s="226" t="s">
        <v>163</v>
      </c>
      <c r="E38" s="349"/>
      <c r="F38" s="355"/>
      <c r="G38" s="345">
        <v>39.431</v>
      </c>
      <c r="H38" s="345">
        <v>46.244</v>
      </c>
      <c r="I38" s="345">
        <v>51.598</v>
      </c>
      <c r="J38" s="345">
        <v>51.612</v>
      </c>
      <c r="K38" s="345">
        <v>54.875</v>
      </c>
      <c r="L38" s="345">
        <v>54.94</v>
      </c>
      <c r="M38" s="345">
        <v>47.839</v>
      </c>
      <c r="N38" s="345">
        <v>42.461</v>
      </c>
      <c r="O38" s="345">
        <v>58.237</v>
      </c>
      <c r="P38" s="345">
        <v>62.644</v>
      </c>
      <c r="Q38" s="345">
        <v>52.912</v>
      </c>
      <c r="R38" s="345">
        <v>51.869</v>
      </c>
      <c r="S38" s="345">
        <v>50.86</v>
      </c>
      <c r="T38" s="345">
        <v>50.521</v>
      </c>
      <c r="U38" s="645">
        <v>71.029</v>
      </c>
      <c r="V38" s="664">
        <f t="shared" si="0"/>
        <v>40.59302072405532</v>
      </c>
    </row>
    <row r="39" spans="1:22" s="7" customFormat="1" ht="12.75" customHeight="1">
      <c r="A39" s="211">
        <v>32</v>
      </c>
      <c r="B39" s="263"/>
      <c r="C39" s="264" t="s">
        <v>60</v>
      </c>
      <c r="D39" s="265" t="s">
        <v>181</v>
      </c>
      <c r="E39" s="581">
        <v>37.752</v>
      </c>
      <c r="F39" s="581">
        <v>55.299</v>
      </c>
      <c r="G39" s="581">
        <v>53.3</v>
      </c>
      <c r="H39" s="581">
        <v>54.058</v>
      </c>
      <c r="I39" s="581">
        <v>51.631</v>
      </c>
      <c r="J39" s="581">
        <v>56.231</v>
      </c>
      <c r="K39" s="581">
        <v>58.521</v>
      </c>
      <c r="L39" s="581">
        <v>55.078</v>
      </c>
      <c r="M39" s="581">
        <v>54.62</v>
      </c>
      <c r="N39" s="581">
        <v>54.885</v>
      </c>
      <c r="O39" s="581">
        <v>52.231</v>
      </c>
      <c r="P39" s="581">
        <v>55.047</v>
      </c>
      <c r="Q39" s="581">
        <v>59.27</v>
      </c>
      <c r="R39" s="581">
        <v>60.424</v>
      </c>
      <c r="S39" s="343">
        <v>61.333</v>
      </c>
      <c r="T39" s="343">
        <v>61.016</v>
      </c>
      <c r="U39" s="393">
        <v>66.732</v>
      </c>
      <c r="V39" s="665">
        <f t="shared" si="0"/>
        <v>9.368034613871771</v>
      </c>
    </row>
    <row r="40" spans="1:22" s="7" customFormat="1" ht="12.75" customHeight="1">
      <c r="A40" s="211">
        <v>33</v>
      </c>
      <c r="B40" s="179"/>
      <c r="C40" s="240" t="s">
        <v>43</v>
      </c>
      <c r="D40" s="226" t="s">
        <v>175</v>
      </c>
      <c r="E40" s="721">
        <v>123.391</v>
      </c>
      <c r="F40" s="721">
        <v>83.387</v>
      </c>
      <c r="G40" s="721">
        <v>106.813</v>
      </c>
      <c r="H40" s="345">
        <v>131.345</v>
      </c>
      <c r="I40" s="345">
        <v>104.089</v>
      </c>
      <c r="J40" s="345">
        <v>100.741</v>
      </c>
      <c r="K40" s="345">
        <v>102.447</v>
      </c>
      <c r="L40" s="345">
        <v>100.839</v>
      </c>
      <c r="M40" s="345">
        <v>104.874</v>
      </c>
      <c r="N40" s="345">
        <v>88.763</v>
      </c>
      <c r="O40" s="345">
        <v>83.96</v>
      </c>
      <c r="P40" s="345">
        <v>77.257</v>
      </c>
      <c r="Q40" s="345">
        <v>68.708</v>
      </c>
      <c r="R40" s="345">
        <v>63.667</v>
      </c>
      <c r="S40" s="345">
        <v>56.285</v>
      </c>
      <c r="T40" s="345">
        <v>58.058</v>
      </c>
      <c r="U40" s="645">
        <v>65.224</v>
      </c>
      <c r="V40" s="664">
        <f t="shared" si="0"/>
        <v>12.342829584208886</v>
      </c>
    </row>
    <row r="41" spans="1:22" s="7" customFormat="1" ht="12.75" customHeight="1">
      <c r="A41" s="211">
        <v>34</v>
      </c>
      <c r="B41" s="263"/>
      <c r="C41" s="264" t="s">
        <v>74</v>
      </c>
      <c r="D41" s="265" t="s">
        <v>179</v>
      </c>
      <c r="E41" s="725">
        <v>74.958</v>
      </c>
      <c r="F41" s="354">
        <v>23.987</v>
      </c>
      <c r="G41" s="354">
        <v>22.408</v>
      </c>
      <c r="H41" s="347">
        <v>36.963</v>
      </c>
      <c r="I41" s="347">
        <v>66.07</v>
      </c>
      <c r="J41" s="347">
        <v>100.943</v>
      </c>
      <c r="K41" s="347">
        <v>113.18</v>
      </c>
      <c r="L41" s="347">
        <v>111.728</v>
      </c>
      <c r="M41" s="347">
        <v>122.131</v>
      </c>
      <c r="N41" s="347">
        <v>105.059</v>
      </c>
      <c r="O41" s="347">
        <v>164.523</v>
      </c>
      <c r="P41" s="347">
        <v>221.541</v>
      </c>
      <c r="Q41" s="347">
        <v>175.519</v>
      </c>
      <c r="R41" s="347">
        <v>133.327</v>
      </c>
      <c r="S41" s="347">
        <v>126.916</v>
      </c>
      <c r="T41" s="347">
        <v>73.231</v>
      </c>
      <c r="U41" s="646">
        <v>62.42</v>
      </c>
      <c r="V41" s="665">
        <f t="shared" si="0"/>
        <v>-14.762873646406575</v>
      </c>
    </row>
    <row r="42" spans="1:22" s="7" customFormat="1" ht="12.75" customHeight="1">
      <c r="A42" s="211">
        <v>35</v>
      </c>
      <c r="B42" s="179"/>
      <c r="C42" s="240" t="s">
        <v>76</v>
      </c>
      <c r="D42" s="226" t="s">
        <v>176</v>
      </c>
      <c r="E42" s="648">
        <v>44.266</v>
      </c>
      <c r="F42" s="582">
        <v>33.463</v>
      </c>
      <c r="G42" s="582">
        <v>39.477</v>
      </c>
      <c r="H42" s="582">
        <v>34.254</v>
      </c>
      <c r="I42" s="616">
        <v>44.221</v>
      </c>
      <c r="J42" s="582">
        <v>54.55</v>
      </c>
      <c r="K42" s="582">
        <v>54.14</v>
      </c>
      <c r="L42" s="582">
        <v>57.811</v>
      </c>
      <c r="M42" s="582">
        <v>55.384</v>
      </c>
      <c r="N42" s="582">
        <v>53.351</v>
      </c>
      <c r="O42" s="582">
        <v>61.975</v>
      </c>
      <c r="P42" s="582">
        <v>65.402</v>
      </c>
      <c r="Q42" s="582">
        <v>52.528</v>
      </c>
      <c r="R42" s="582">
        <v>54.027</v>
      </c>
      <c r="S42" s="344">
        <v>56.693</v>
      </c>
      <c r="T42" s="344">
        <v>56.623</v>
      </c>
      <c r="U42" s="647">
        <v>60.596</v>
      </c>
      <c r="V42" s="664">
        <f t="shared" si="0"/>
        <v>7.016583367182932</v>
      </c>
    </row>
    <row r="43" spans="1:22" s="7" customFormat="1" ht="12.75" customHeight="1">
      <c r="A43" s="211">
        <v>36</v>
      </c>
      <c r="B43" s="263"/>
      <c r="C43" s="264" t="s">
        <v>58</v>
      </c>
      <c r="D43" s="265" t="s">
        <v>181</v>
      </c>
      <c r="E43" s="581">
        <v>36.008</v>
      </c>
      <c r="F43" s="581">
        <v>60.549</v>
      </c>
      <c r="G43" s="581">
        <v>59.923</v>
      </c>
      <c r="H43" s="581">
        <v>53.379</v>
      </c>
      <c r="I43" s="581">
        <v>51.961</v>
      </c>
      <c r="J43" s="581">
        <v>51.015</v>
      </c>
      <c r="K43" s="581">
        <v>49.517</v>
      </c>
      <c r="L43" s="581">
        <v>51.35</v>
      </c>
      <c r="M43" s="581">
        <v>53.973</v>
      </c>
      <c r="N43" s="581">
        <v>57.854</v>
      </c>
      <c r="O43" s="581">
        <v>58.582</v>
      </c>
      <c r="P43" s="581">
        <v>58.183</v>
      </c>
      <c r="Q43" s="581">
        <v>57.496</v>
      </c>
      <c r="R43" s="581">
        <v>55.443</v>
      </c>
      <c r="S43" s="343">
        <v>56.364</v>
      </c>
      <c r="T43" s="343">
        <v>55.249</v>
      </c>
      <c r="U43" s="393">
        <v>57.895</v>
      </c>
      <c r="V43" s="665">
        <f t="shared" si="0"/>
        <v>4.789226954334012</v>
      </c>
    </row>
    <row r="44" spans="1:22" s="7" customFormat="1" ht="12.75" customHeight="1">
      <c r="A44" s="211">
        <v>37</v>
      </c>
      <c r="B44" s="179"/>
      <c r="C44" s="240" t="s">
        <v>49</v>
      </c>
      <c r="D44" s="226" t="s">
        <v>181</v>
      </c>
      <c r="E44" s="720">
        <v>27.436</v>
      </c>
      <c r="F44" s="582">
        <v>38.089</v>
      </c>
      <c r="G44" s="582">
        <v>35.293</v>
      </c>
      <c r="H44" s="582">
        <v>35.428</v>
      </c>
      <c r="I44" s="582">
        <v>34.794</v>
      </c>
      <c r="J44" s="582">
        <v>38.651</v>
      </c>
      <c r="K44" s="582">
        <v>40.548</v>
      </c>
      <c r="L44" s="582">
        <v>36.829</v>
      </c>
      <c r="M44" s="616">
        <v>32.778</v>
      </c>
      <c r="N44" s="582">
        <v>32.561</v>
      </c>
      <c r="O44" s="582">
        <v>35.198</v>
      </c>
      <c r="P44" s="582">
        <v>36.252</v>
      </c>
      <c r="Q44" s="582">
        <v>36.419</v>
      </c>
      <c r="R44" s="582">
        <v>43.731</v>
      </c>
      <c r="S44" s="344">
        <v>49.16</v>
      </c>
      <c r="T44" s="344">
        <v>51.376</v>
      </c>
      <c r="U44" s="647">
        <v>55.751</v>
      </c>
      <c r="V44" s="664">
        <f t="shared" si="0"/>
        <v>8.515649330426655</v>
      </c>
    </row>
    <row r="45" spans="1:22" s="7" customFormat="1" ht="12.75" customHeight="1">
      <c r="A45" s="211">
        <v>38</v>
      </c>
      <c r="B45" s="263"/>
      <c r="C45" s="264" t="s">
        <v>447</v>
      </c>
      <c r="D45" s="265" t="s">
        <v>183</v>
      </c>
      <c r="E45" s="651"/>
      <c r="F45" s="581">
        <v>11.639</v>
      </c>
      <c r="G45" s="581">
        <v>11.291</v>
      </c>
      <c r="H45" s="581">
        <v>11.834</v>
      </c>
      <c r="I45" s="581">
        <v>12.108</v>
      </c>
      <c r="J45" s="581">
        <v>12.341</v>
      </c>
      <c r="K45" s="581">
        <v>13.941</v>
      </c>
      <c r="L45" s="581">
        <v>13.156</v>
      </c>
      <c r="M45" s="581">
        <v>20.12</v>
      </c>
      <c r="N45" s="581">
        <v>25.703</v>
      </c>
      <c r="O45" s="581">
        <v>29.388</v>
      </c>
      <c r="P45" s="581">
        <v>32.695</v>
      </c>
      <c r="Q45" s="581">
        <v>33.112</v>
      </c>
      <c r="R45" s="581">
        <v>37.728</v>
      </c>
      <c r="S45" s="581">
        <v>40.269</v>
      </c>
      <c r="T45" s="581">
        <v>47.969</v>
      </c>
      <c r="U45" s="583">
        <v>54.952</v>
      </c>
      <c r="V45" s="665">
        <f t="shared" si="0"/>
        <v>14.557318268048107</v>
      </c>
    </row>
    <row r="46" spans="1:22" s="7" customFormat="1" ht="12.75" customHeight="1">
      <c r="A46" s="211">
        <v>39</v>
      </c>
      <c r="B46" s="179"/>
      <c r="C46" s="240" t="s">
        <v>516</v>
      </c>
      <c r="D46" s="226" t="s">
        <v>179</v>
      </c>
      <c r="E46" s="582">
        <v>33.089</v>
      </c>
      <c r="F46" s="582">
        <v>33.555</v>
      </c>
      <c r="G46" s="582">
        <v>30.37</v>
      </c>
      <c r="H46" s="582">
        <v>27.69</v>
      </c>
      <c r="I46" s="582">
        <v>20.145</v>
      </c>
      <c r="J46" s="582">
        <v>19.032</v>
      </c>
      <c r="K46" s="582">
        <v>19.042</v>
      </c>
      <c r="L46" s="582">
        <v>19.686</v>
      </c>
      <c r="M46" s="582">
        <v>22.192</v>
      </c>
      <c r="N46" s="582">
        <v>18.203</v>
      </c>
      <c r="O46" s="582">
        <v>21.478</v>
      </c>
      <c r="P46" s="582">
        <v>26.71</v>
      </c>
      <c r="Q46" s="582">
        <v>30.769</v>
      </c>
      <c r="R46" s="582">
        <v>33.238</v>
      </c>
      <c r="S46" s="582">
        <v>40.853</v>
      </c>
      <c r="T46" s="582">
        <v>39.542</v>
      </c>
      <c r="U46" s="615">
        <v>42.351</v>
      </c>
      <c r="V46" s="664">
        <f t="shared" si="0"/>
        <v>7.103838956046744</v>
      </c>
    </row>
    <row r="47" spans="1:22" s="7" customFormat="1" ht="12.75" customHeight="1">
      <c r="A47" s="211">
        <v>40</v>
      </c>
      <c r="B47" s="726"/>
      <c r="C47" s="727" t="s">
        <v>518</v>
      </c>
      <c r="D47" s="675" t="s">
        <v>183</v>
      </c>
      <c r="E47" s="728"/>
      <c r="F47" s="728"/>
      <c r="G47" s="729">
        <v>16.56</v>
      </c>
      <c r="H47" s="730">
        <v>16.62</v>
      </c>
      <c r="I47" s="729">
        <v>12.208</v>
      </c>
      <c r="J47" s="729">
        <v>7.767</v>
      </c>
      <c r="K47" s="729">
        <v>15.623</v>
      </c>
      <c r="L47" s="729">
        <v>18.692</v>
      </c>
      <c r="M47" s="729">
        <v>25.87</v>
      </c>
      <c r="N47" s="729">
        <v>27.249</v>
      </c>
      <c r="O47" s="729">
        <v>28.207</v>
      </c>
      <c r="P47" s="729">
        <v>32.578</v>
      </c>
      <c r="Q47" s="729">
        <v>30.51</v>
      </c>
      <c r="R47" s="729">
        <v>33.687</v>
      </c>
      <c r="S47" s="729">
        <v>32.203</v>
      </c>
      <c r="T47" s="729">
        <v>30.836</v>
      </c>
      <c r="U47" s="731">
        <v>37.47</v>
      </c>
      <c r="V47" s="732">
        <f t="shared" si="0"/>
        <v>21.513815021403545</v>
      </c>
    </row>
    <row r="48" spans="1:22" ht="13.5" customHeight="1">
      <c r="A48" s="211">
        <v>41</v>
      </c>
      <c r="B48" s="722"/>
      <c r="C48" s="240" t="s">
        <v>52</v>
      </c>
      <c r="D48" s="226" t="s">
        <v>177</v>
      </c>
      <c r="E48" s="648">
        <v>18.234</v>
      </c>
      <c r="F48" s="582">
        <v>16.236</v>
      </c>
      <c r="G48" s="582">
        <v>21.217</v>
      </c>
      <c r="H48" s="582">
        <v>51.567</v>
      </c>
      <c r="I48" s="582">
        <v>55.982</v>
      </c>
      <c r="J48" s="582">
        <v>54.294</v>
      </c>
      <c r="K48" s="582">
        <v>50.939</v>
      </c>
      <c r="L48" s="582">
        <v>45.965</v>
      </c>
      <c r="M48" s="582">
        <v>49.126</v>
      </c>
      <c r="N48" s="582">
        <v>52.009</v>
      </c>
      <c r="O48" s="582">
        <v>44.083</v>
      </c>
      <c r="P48" s="582">
        <v>44.308</v>
      </c>
      <c r="Q48" s="582">
        <v>42.938</v>
      </c>
      <c r="R48" s="582">
        <v>38.004</v>
      </c>
      <c r="S48" s="582">
        <v>37.047</v>
      </c>
      <c r="T48" s="582">
        <v>35.638</v>
      </c>
      <c r="U48" s="615">
        <v>36.967</v>
      </c>
      <c r="V48" s="664">
        <f t="shared" si="0"/>
        <v>3.729165497502663</v>
      </c>
    </row>
    <row r="49" spans="1:22" ht="13.5" customHeight="1">
      <c r="A49" s="211">
        <v>42</v>
      </c>
      <c r="B49" s="263"/>
      <c r="C49" s="264" t="s">
        <v>327</v>
      </c>
      <c r="D49" s="321" t="s">
        <v>179</v>
      </c>
      <c r="E49" s="581">
        <v>48.682</v>
      </c>
      <c r="F49" s="581">
        <v>43.27</v>
      </c>
      <c r="G49" s="581">
        <v>41.169</v>
      </c>
      <c r="H49" s="581">
        <v>36.353</v>
      </c>
      <c r="I49" s="581">
        <v>37.89</v>
      </c>
      <c r="J49" s="581">
        <v>33.115</v>
      </c>
      <c r="K49" s="581">
        <v>37.901</v>
      </c>
      <c r="L49" s="581">
        <v>39.86</v>
      </c>
      <c r="M49" s="581">
        <v>36.386</v>
      </c>
      <c r="N49" s="581">
        <v>31.474</v>
      </c>
      <c r="O49" s="581">
        <v>27.221</v>
      </c>
      <c r="P49" s="581">
        <v>27.428</v>
      </c>
      <c r="Q49" s="581">
        <v>28.171</v>
      </c>
      <c r="R49" s="581">
        <v>28.285</v>
      </c>
      <c r="S49" s="581">
        <v>28.934</v>
      </c>
      <c r="T49" s="581">
        <v>31.262</v>
      </c>
      <c r="U49" s="583">
        <v>35.26</v>
      </c>
      <c r="V49" s="665">
        <f t="shared" si="0"/>
        <v>12.788689143368941</v>
      </c>
    </row>
    <row r="50" spans="1:22" ht="13.5" customHeight="1">
      <c r="A50" s="211">
        <v>43</v>
      </c>
      <c r="B50" s="179"/>
      <c r="C50" s="240" t="s">
        <v>70</v>
      </c>
      <c r="D50" s="140" t="s">
        <v>186</v>
      </c>
      <c r="E50" s="345">
        <v>40.927</v>
      </c>
      <c r="F50" s="345">
        <v>36.482</v>
      </c>
      <c r="G50" s="345">
        <v>34.666</v>
      </c>
      <c r="H50" s="345">
        <v>26.41</v>
      </c>
      <c r="I50" s="345">
        <v>24.907</v>
      </c>
      <c r="J50" s="345">
        <v>25.624</v>
      </c>
      <c r="K50" s="345">
        <v>34.423</v>
      </c>
      <c r="L50" s="345">
        <v>32.569</v>
      </c>
      <c r="M50" s="345">
        <v>32.2</v>
      </c>
      <c r="N50" s="345">
        <v>27.357</v>
      </c>
      <c r="O50" s="345">
        <v>28.776</v>
      </c>
      <c r="P50" s="345">
        <v>24.47</v>
      </c>
      <c r="Q50" s="345">
        <v>25.305</v>
      </c>
      <c r="R50" s="345">
        <v>27.996</v>
      </c>
      <c r="S50" s="345">
        <v>30.097</v>
      </c>
      <c r="T50" s="345">
        <v>29.961</v>
      </c>
      <c r="U50" s="645">
        <v>32.018</v>
      </c>
      <c r="V50" s="664">
        <f t="shared" si="0"/>
        <v>6.865591936183719</v>
      </c>
    </row>
    <row r="51" spans="1:22" ht="13.5" customHeight="1">
      <c r="A51" s="211">
        <v>44</v>
      </c>
      <c r="B51" s="263"/>
      <c r="C51" s="264" t="s">
        <v>519</v>
      </c>
      <c r="D51" s="321" t="s">
        <v>170</v>
      </c>
      <c r="E51" s="354"/>
      <c r="F51" s="347">
        <v>14.484</v>
      </c>
      <c r="G51" s="347">
        <v>15.002</v>
      </c>
      <c r="H51" s="347">
        <v>14.16</v>
      </c>
      <c r="I51" s="347">
        <v>16.455</v>
      </c>
      <c r="J51" s="347">
        <v>17.114</v>
      </c>
      <c r="K51" s="347">
        <v>18.789</v>
      </c>
      <c r="L51" s="347">
        <v>17.35</v>
      </c>
      <c r="M51" s="347">
        <v>22.1</v>
      </c>
      <c r="N51" s="347">
        <v>21.184</v>
      </c>
      <c r="O51" s="347">
        <v>22.988</v>
      </c>
      <c r="P51" s="347">
        <v>24.134</v>
      </c>
      <c r="Q51" s="347">
        <v>26.242</v>
      </c>
      <c r="R51" s="347">
        <v>27.777</v>
      </c>
      <c r="S51" s="347">
        <v>27.86</v>
      </c>
      <c r="T51" s="347">
        <v>29.193</v>
      </c>
      <c r="U51" s="646">
        <v>31.811</v>
      </c>
      <c r="V51" s="665">
        <f t="shared" si="0"/>
        <v>8.967903264481208</v>
      </c>
    </row>
    <row r="52" spans="1:22" s="7" customFormat="1" ht="12.75" customHeight="1">
      <c r="A52" s="211">
        <v>45</v>
      </c>
      <c r="B52" s="179"/>
      <c r="C52" s="240" t="s">
        <v>517</v>
      </c>
      <c r="D52" s="226" t="s">
        <v>181</v>
      </c>
      <c r="E52" s="582">
        <v>25.775</v>
      </c>
      <c r="F52" s="582">
        <v>28.32</v>
      </c>
      <c r="G52" s="582">
        <v>28.589</v>
      </c>
      <c r="H52" s="582">
        <v>27.547</v>
      </c>
      <c r="I52" s="582">
        <v>31.489</v>
      </c>
      <c r="J52" s="582">
        <v>31.561</v>
      </c>
      <c r="K52" s="582">
        <v>32.151</v>
      </c>
      <c r="L52" s="582">
        <v>32.943</v>
      </c>
      <c r="M52" s="582">
        <v>31.63</v>
      </c>
      <c r="N52" s="582">
        <v>32.964</v>
      </c>
      <c r="O52" s="582">
        <v>33.892</v>
      </c>
      <c r="P52" s="582">
        <v>34.47</v>
      </c>
      <c r="Q52" s="582">
        <v>31.41</v>
      </c>
      <c r="R52" s="582">
        <v>30.345</v>
      </c>
      <c r="S52" s="582">
        <v>32.465</v>
      </c>
      <c r="T52" s="582">
        <v>32.054</v>
      </c>
      <c r="U52" s="615">
        <v>31.254</v>
      </c>
      <c r="V52" s="664">
        <f t="shared" si="0"/>
        <v>-2.4957883571473047</v>
      </c>
    </row>
    <row r="53" spans="1:22" s="7" customFormat="1" ht="12.75" customHeight="1">
      <c r="A53" s="211">
        <v>46</v>
      </c>
      <c r="B53" s="263"/>
      <c r="C53" s="264" t="s">
        <v>48</v>
      </c>
      <c r="D53" s="321" t="s">
        <v>179</v>
      </c>
      <c r="E53" s="581">
        <v>34.717</v>
      </c>
      <c r="F53" s="581">
        <v>30.922</v>
      </c>
      <c r="G53" s="581">
        <v>30.947</v>
      </c>
      <c r="H53" s="581">
        <v>27.188</v>
      </c>
      <c r="I53" s="581">
        <v>25.927</v>
      </c>
      <c r="J53" s="581">
        <v>26.045</v>
      </c>
      <c r="K53" s="581">
        <v>28.523</v>
      </c>
      <c r="L53" s="581">
        <v>27.904</v>
      </c>
      <c r="M53" s="581">
        <v>28.89</v>
      </c>
      <c r="N53" s="581">
        <v>23.464</v>
      </c>
      <c r="O53" s="581">
        <v>29.531</v>
      </c>
      <c r="P53" s="581">
        <v>30.359</v>
      </c>
      <c r="Q53" s="581">
        <v>31.615</v>
      </c>
      <c r="R53" s="581">
        <v>29.724</v>
      </c>
      <c r="S53" s="581">
        <v>31.042</v>
      </c>
      <c r="T53" s="581">
        <v>29.296</v>
      </c>
      <c r="U53" s="583">
        <v>31.195</v>
      </c>
      <c r="V53" s="665">
        <f t="shared" si="0"/>
        <v>6.482113599126166</v>
      </c>
    </row>
    <row r="54" spans="1:22" s="7" customFormat="1" ht="12.75" customHeight="1">
      <c r="A54" s="211">
        <v>47</v>
      </c>
      <c r="B54" s="179"/>
      <c r="C54" s="89" t="s">
        <v>552</v>
      </c>
      <c r="D54" s="140" t="s">
        <v>188</v>
      </c>
      <c r="E54" s="582"/>
      <c r="F54" s="582"/>
      <c r="G54" s="582"/>
      <c r="H54" s="582"/>
      <c r="I54" s="582">
        <v>29.541</v>
      </c>
      <c r="J54" s="582"/>
      <c r="K54" s="582"/>
      <c r="L54" s="582"/>
      <c r="M54" s="582">
        <v>33.358</v>
      </c>
      <c r="N54" s="582">
        <v>28.417</v>
      </c>
      <c r="O54" s="582">
        <v>32.64</v>
      </c>
      <c r="P54" s="582">
        <v>33.175</v>
      </c>
      <c r="Q54" s="582">
        <v>27.692</v>
      </c>
      <c r="R54" s="582">
        <v>24.501</v>
      </c>
      <c r="S54" s="582">
        <v>27.143</v>
      </c>
      <c r="T54" s="582">
        <v>31.128</v>
      </c>
      <c r="U54" s="615">
        <v>30.533</v>
      </c>
      <c r="V54" s="664">
        <f t="shared" si="0"/>
        <v>-1.9114623490105345</v>
      </c>
    </row>
    <row r="55" spans="1:22" s="7" customFormat="1" ht="12.75" customHeight="1">
      <c r="A55" s="211">
        <v>48</v>
      </c>
      <c r="B55" s="263"/>
      <c r="C55" s="580" t="s">
        <v>54</v>
      </c>
      <c r="D55" s="321" t="s">
        <v>177</v>
      </c>
      <c r="E55" s="581">
        <v>9.63</v>
      </c>
      <c r="F55" s="581">
        <v>11.817</v>
      </c>
      <c r="G55" s="581">
        <v>13.278</v>
      </c>
      <c r="H55" s="581">
        <v>12.346</v>
      </c>
      <c r="I55" s="581">
        <v>10.478</v>
      </c>
      <c r="J55" s="581">
        <v>13.195</v>
      </c>
      <c r="K55" s="581">
        <v>14.718</v>
      </c>
      <c r="L55" s="581">
        <v>13.61</v>
      </c>
      <c r="M55" s="581">
        <v>12.213</v>
      </c>
      <c r="N55" s="581">
        <v>13.118</v>
      </c>
      <c r="O55" s="581">
        <v>21.659</v>
      </c>
      <c r="P55" s="581">
        <v>16.642</v>
      </c>
      <c r="Q55" s="581">
        <v>19.09</v>
      </c>
      <c r="R55" s="581">
        <v>22.331</v>
      </c>
      <c r="S55" s="581">
        <v>5.02</v>
      </c>
      <c r="T55" s="581">
        <v>7.1</v>
      </c>
      <c r="U55" s="583">
        <v>29.985</v>
      </c>
      <c r="V55" s="665">
        <f t="shared" si="0"/>
        <v>322.32394366197184</v>
      </c>
    </row>
    <row r="56" spans="1:22" s="7" customFormat="1" ht="12.75" customHeight="1">
      <c r="A56" s="211">
        <v>49</v>
      </c>
      <c r="B56" s="179"/>
      <c r="C56" s="89" t="s">
        <v>506</v>
      </c>
      <c r="D56" s="140" t="s">
        <v>162</v>
      </c>
      <c r="E56" s="345"/>
      <c r="F56" s="345">
        <v>30.943</v>
      </c>
      <c r="G56" s="345"/>
      <c r="H56" s="345">
        <v>30.695</v>
      </c>
      <c r="I56" s="345">
        <v>36.108</v>
      </c>
      <c r="J56" s="345">
        <v>37.851</v>
      </c>
      <c r="K56" s="345">
        <v>43.018</v>
      </c>
      <c r="L56" s="345">
        <v>40.458</v>
      </c>
      <c r="M56" s="345">
        <v>41.61</v>
      </c>
      <c r="N56" s="345">
        <v>38.238</v>
      </c>
      <c r="O56" s="345">
        <v>36.836</v>
      </c>
      <c r="P56" s="345">
        <v>29.133</v>
      </c>
      <c r="Q56" s="345">
        <v>27.244</v>
      </c>
      <c r="R56" s="345">
        <v>28.05</v>
      </c>
      <c r="S56" s="345">
        <v>27.789</v>
      </c>
      <c r="T56" s="345">
        <v>27.323</v>
      </c>
      <c r="U56" s="645">
        <v>28.044</v>
      </c>
      <c r="V56" s="664">
        <f t="shared" si="0"/>
        <v>2.6388024741060576</v>
      </c>
    </row>
    <row r="57" spans="1:22" s="7" customFormat="1" ht="12.75" customHeight="1">
      <c r="A57" s="211">
        <v>50</v>
      </c>
      <c r="B57" s="726"/>
      <c r="C57" s="727" t="s">
        <v>520</v>
      </c>
      <c r="D57" s="733" t="s">
        <v>177</v>
      </c>
      <c r="E57" s="734">
        <v>36.014</v>
      </c>
      <c r="F57" s="729">
        <v>22.841</v>
      </c>
      <c r="G57" s="729">
        <v>20.301</v>
      </c>
      <c r="H57" s="729">
        <v>22.85</v>
      </c>
      <c r="I57" s="729">
        <v>26.163</v>
      </c>
      <c r="J57" s="729">
        <v>23.108</v>
      </c>
      <c r="K57" s="729">
        <v>17.993</v>
      </c>
      <c r="L57" s="729">
        <v>38.095</v>
      </c>
      <c r="M57" s="729">
        <v>40.518</v>
      </c>
      <c r="N57" s="729">
        <v>28.643</v>
      </c>
      <c r="O57" s="729">
        <v>28.743</v>
      </c>
      <c r="P57" s="729">
        <v>27.905</v>
      </c>
      <c r="Q57" s="729">
        <v>29.635</v>
      </c>
      <c r="R57" s="729">
        <v>29.008</v>
      </c>
      <c r="S57" s="734">
        <v>27.275</v>
      </c>
      <c r="T57" s="734">
        <v>27.849</v>
      </c>
      <c r="U57" s="735">
        <v>25.603</v>
      </c>
      <c r="V57" s="732">
        <f t="shared" si="0"/>
        <v>-8.064921541168431</v>
      </c>
    </row>
    <row r="58" spans="3:22" s="7" customFormat="1" ht="12.75" customHeight="1">
      <c r="C58" s="4" t="s">
        <v>367</v>
      </c>
      <c r="D58"/>
      <c r="E58"/>
      <c r="F58"/>
      <c r="G58"/>
      <c r="H58"/>
      <c r="I58"/>
      <c r="J58"/>
      <c r="K58"/>
      <c r="L58"/>
      <c r="M58"/>
      <c r="N58"/>
      <c r="O58"/>
      <c r="P58"/>
      <c r="Q58"/>
      <c r="R58"/>
      <c r="S58"/>
      <c r="T58"/>
      <c r="U58"/>
      <c r="V58"/>
    </row>
    <row r="59" spans="3:22" s="7" customFormat="1" ht="22.5" customHeight="1">
      <c r="C59" s="959" t="s">
        <v>481</v>
      </c>
      <c r="D59" s="960"/>
      <c r="E59" s="960"/>
      <c r="F59" s="960"/>
      <c r="G59" s="960"/>
      <c r="H59" s="960"/>
      <c r="I59" s="960"/>
      <c r="J59" s="960"/>
      <c r="K59" s="960"/>
      <c r="L59" s="960"/>
      <c r="M59" s="960"/>
      <c r="N59" s="960"/>
      <c r="O59" s="960"/>
      <c r="P59" s="960"/>
      <c r="Q59" s="960"/>
      <c r="R59" s="960"/>
      <c r="S59" s="960"/>
      <c r="T59" s="960"/>
      <c r="U59" s="960"/>
      <c r="V59" s="960"/>
    </row>
    <row r="60" s="7" customFormat="1" ht="24" customHeight="1"/>
    <row r="61" spans="1:22" s="7" customFormat="1" ht="12.75" customHeight="1">
      <c r="A61" s="211"/>
      <c r="B61"/>
      <c r="C61"/>
      <c r="D61"/>
      <c r="E61"/>
      <c r="F61"/>
      <c r="G61"/>
      <c r="H61"/>
      <c r="I61"/>
      <c r="J61"/>
      <c r="K61"/>
      <c r="L61"/>
      <c r="M61"/>
      <c r="N61"/>
      <c r="O61"/>
      <c r="P61"/>
      <c r="Q61"/>
      <c r="R61"/>
      <c r="S61"/>
      <c r="T61"/>
      <c r="U61"/>
      <c r="V61"/>
    </row>
    <row r="62" spans="1:22" s="7" customFormat="1" ht="12.75" customHeight="1">
      <c r="A62" s="211"/>
      <c r="B62"/>
      <c r="C62" s="4"/>
      <c r="D62"/>
      <c r="E62"/>
      <c r="F62"/>
      <c r="G62"/>
      <c r="H62"/>
      <c r="I62"/>
      <c r="J62"/>
      <c r="K62"/>
      <c r="L62"/>
      <c r="M62"/>
      <c r="N62"/>
      <c r="O62"/>
      <c r="P62"/>
      <c r="Q62"/>
      <c r="R62"/>
      <c r="S62"/>
      <c r="T62"/>
      <c r="U62"/>
      <c r="V62"/>
    </row>
    <row r="63" spans="1:22" s="7" customFormat="1" ht="12.75" customHeight="1">
      <c r="A63" s="211"/>
      <c r="B63"/>
      <c r="C63" s="959"/>
      <c r="D63" s="960"/>
      <c r="E63" s="960"/>
      <c r="F63" s="960"/>
      <c r="G63" s="960"/>
      <c r="H63" s="960"/>
      <c r="I63" s="960"/>
      <c r="J63" s="960"/>
      <c r="K63" s="960"/>
      <c r="L63" s="960"/>
      <c r="M63" s="960"/>
      <c r="N63" s="960"/>
      <c r="O63" s="960"/>
      <c r="P63" s="960"/>
      <c r="Q63" s="960"/>
      <c r="R63" s="960"/>
      <c r="S63" s="960"/>
      <c r="T63" s="960"/>
      <c r="U63" s="960"/>
      <c r="V63" s="960"/>
    </row>
    <row r="64" spans="1:22" s="7" customFormat="1" ht="36.75" customHeight="1">
      <c r="A64" s="211"/>
      <c r="B64"/>
      <c r="C64"/>
      <c r="D64"/>
      <c r="E64"/>
      <c r="F64"/>
      <c r="G64"/>
      <c r="H64"/>
      <c r="I64"/>
      <c r="J64"/>
      <c r="K64"/>
      <c r="L64"/>
      <c r="M64"/>
      <c r="N64"/>
      <c r="O64"/>
      <c r="P64"/>
      <c r="Q64"/>
      <c r="R64"/>
      <c r="S64"/>
      <c r="T64"/>
      <c r="U64"/>
      <c r="V64"/>
    </row>
    <row r="65" spans="1:22" s="7" customFormat="1" ht="12.75" customHeight="1">
      <c r="A65" s="6"/>
      <c r="B65"/>
      <c r="C65"/>
      <c r="D65"/>
      <c r="E65"/>
      <c r="F65"/>
      <c r="G65"/>
      <c r="H65"/>
      <c r="I65"/>
      <c r="J65"/>
      <c r="K65"/>
      <c r="L65"/>
      <c r="M65"/>
      <c r="N65"/>
      <c r="O65"/>
      <c r="P65"/>
      <c r="Q65"/>
      <c r="R65"/>
      <c r="S65"/>
      <c r="T65"/>
      <c r="U65"/>
      <c r="V65"/>
    </row>
    <row r="66" ht="15" customHeight="1"/>
    <row r="67" ht="39.75" customHeight="1"/>
  </sheetData>
  <sheetProtection/>
  <mergeCells count="6">
    <mergeCell ref="C63:V63"/>
    <mergeCell ref="B4:V4"/>
    <mergeCell ref="B3:V3"/>
    <mergeCell ref="A5:A7"/>
    <mergeCell ref="B2:V2"/>
    <mergeCell ref="C59:V59"/>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U82"/>
  <sheetViews>
    <sheetView zoomScalePageLayoutView="0" workbookViewId="0" topLeftCell="C1">
      <selection activeCell="X19" sqref="X19"/>
    </sheetView>
  </sheetViews>
  <sheetFormatPr defaultColWidth="9.140625" defaultRowHeight="12.75"/>
  <cols>
    <col min="1" max="1" width="3.7109375" style="0" customWidth="1"/>
    <col min="2" max="2" width="3.7109375" style="6" customWidth="1"/>
    <col min="3" max="3" width="1.1484375" style="0" customWidth="1"/>
    <col min="4" max="4" width="22.140625" style="0" customWidth="1"/>
    <col min="5" max="5" width="6.7109375" style="6" customWidth="1"/>
    <col min="6" max="8" width="6.7109375" style="0" customWidth="1"/>
    <col min="9" max="9" width="6.8515625" style="0" customWidth="1"/>
    <col min="10" max="10" width="0.13671875" style="0" customWidth="1"/>
    <col min="11" max="19" width="6.7109375" style="0" customWidth="1"/>
    <col min="20" max="20" width="6.140625" style="0" customWidth="1"/>
  </cols>
  <sheetData>
    <row r="1" spans="3:20" ht="14.25" customHeight="1">
      <c r="C1" s="18"/>
      <c r="D1" s="18"/>
      <c r="E1" s="24"/>
      <c r="F1" s="18"/>
      <c r="G1" s="18"/>
      <c r="H1" s="18"/>
      <c r="I1" s="18"/>
      <c r="J1" s="18"/>
      <c r="K1" s="18"/>
      <c r="L1" s="18"/>
      <c r="M1" s="18"/>
      <c r="N1" s="18"/>
      <c r="O1" s="18"/>
      <c r="P1" s="18"/>
      <c r="Q1" s="18"/>
      <c r="R1" s="18"/>
      <c r="S1" s="18"/>
      <c r="T1" s="15" t="s">
        <v>400</v>
      </c>
    </row>
    <row r="2" spans="3:20" ht="19.5" customHeight="1">
      <c r="C2" s="925" t="s">
        <v>555</v>
      </c>
      <c r="D2" s="967"/>
      <c r="E2" s="967"/>
      <c r="F2" s="967"/>
      <c r="G2" s="967"/>
      <c r="H2" s="967"/>
      <c r="I2" s="967"/>
      <c r="J2" s="967"/>
      <c r="K2" s="967"/>
      <c r="L2" s="967"/>
      <c r="M2" s="967"/>
      <c r="N2" s="967"/>
      <c r="O2" s="967"/>
      <c r="P2" s="967"/>
      <c r="Q2" s="967"/>
      <c r="R2" s="967"/>
      <c r="S2" s="967"/>
      <c r="T2" s="967"/>
    </row>
    <row r="3" spans="3:20" s="12" customFormat="1" ht="19.5" customHeight="1">
      <c r="C3" s="968" t="s">
        <v>547</v>
      </c>
      <c r="D3" s="969"/>
      <c r="E3" s="969"/>
      <c r="F3" s="969"/>
      <c r="G3" s="969"/>
      <c r="H3" s="969"/>
      <c r="I3" s="969"/>
      <c r="J3" s="969"/>
      <c r="K3" s="969"/>
      <c r="L3" s="969"/>
      <c r="M3" s="969"/>
      <c r="N3" s="969"/>
      <c r="O3" s="969"/>
      <c r="P3" s="969"/>
      <c r="Q3" s="969"/>
      <c r="R3" s="969"/>
      <c r="S3" s="969"/>
      <c r="T3" s="969"/>
    </row>
    <row r="4" spans="3:20" s="12" customFormat="1" ht="14.25" customHeight="1">
      <c r="C4" s="970" t="s">
        <v>580</v>
      </c>
      <c r="D4" s="970"/>
      <c r="E4" s="970"/>
      <c r="F4" s="970"/>
      <c r="G4" s="970"/>
      <c r="H4" s="970"/>
      <c r="I4" s="970"/>
      <c r="J4" s="970"/>
      <c r="K4" s="970"/>
      <c r="L4" s="970"/>
      <c r="M4" s="970"/>
      <c r="N4" s="970"/>
      <c r="O4" s="970"/>
      <c r="P4" s="970"/>
      <c r="Q4" s="970"/>
      <c r="R4" s="970"/>
      <c r="S4" s="970"/>
      <c r="T4" s="970"/>
    </row>
    <row r="5" spans="2:20" s="12" customFormat="1" ht="9.75" customHeight="1">
      <c r="B5" s="963" t="s">
        <v>261</v>
      </c>
      <c r="C5" s="88"/>
      <c r="D5" s="47"/>
      <c r="E5" s="48"/>
      <c r="F5" s="47"/>
      <c r="G5" s="47"/>
      <c r="H5" s="47"/>
      <c r="I5" s="47"/>
      <c r="J5" s="47"/>
      <c r="K5" s="47"/>
      <c r="L5" s="47"/>
      <c r="M5" s="47"/>
      <c r="N5" s="47"/>
      <c r="O5" s="47"/>
      <c r="P5" s="47"/>
      <c r="Q5" s="47"/>
      <c r="R5" s="47"/>
      <c r="S5" s="49"/>
      <c r="T5" s="50" t="s">
        <v>322</v>
      </c>
    </row>
    <row r="6" spans="2:20" s="12" customFormat="1" ht="10.5" customHeight="1">
      <c r="B6" s="963"/>
      <c r="C6" s="130"/>
      <c r="D6" s="51" t="s">
        <v>330</v>
      </c>
      <c r="E6" s="52"/>
      <c r="F6" s="53">
        <v>2003</v>
      </c>
      <c r="G6" s="53">
        <v>2004</v>
      </c>
      <c r="H6" s="53">
        <v>2005</v>
      </c>
      <c r="I6" s="53">
        <v>2006</v>
      </c>
      <c r="J6" s="53">
        <v>2007</v>
      </c>
      <c r="K6" s="53">
        <v>2008</v>
      </c>
      <c r="L6" s="53">
        <v>2009</v>
      </c>
      <c r="M6" s="53">
        <v>2010</v>
      </c>
      <c r="N6" s="53">
        <v>2011</v>
      </c>
      <c r="O6" s="53">
        <v>2012</v>
      </c>
      <c r="P6" s="53">
        <v>2013</v>
      </c>
      <c r="Q6" s="53">
        <v>2014</v>
      </c>
      <c r="R6" s="53">
        <v>2015</v>
      </c>
      <c r="S6" s="52">
        <v>2016</v>
      </c>
      <c r="T6" s="54" t="s">
        <v>577</v>
      </c>
    </row>
    <row r="7" spans="2:20" s="12" customFormat="1" ht="9" customHeight="1">
      <c r="B7" s="963"/>
      <c r="C7" s="131"/>
      <c r="D7" s="55"/>
      <c r="E7" s="56"/>
      <c r="F7" s="57"/>
      <c r="G7" s="57"/>
      <c r="H7" s="57"/>
      <c r="I7" s="57"/>
      <c r="J7" s="57"/>
      <c r="K7" s="57"/>
      <c r="L7" s="57"/>
      <c r="M7" s="57"/>
      <c r="N7" s="57"/>
      <c r="O7" s="57"/>
      <c r="P7" s="57"/>
      <c r="Q7" s="57"/>
      <c r="R7" s="57"/>
      <c r="S7" s="56"/>
      <c r="T7" s="134" t="s">
        <v>192</v>
      </c>
    </row>
    <row r="8" spans="1:21" s="13" customFormat="1" ht="12.75" customHeight="1">
      <c r="A8" s="38"/>
      <c r="B8" s="214">
        <v>1</v>
      </c>
      <c r="C8" s="736"/>
      <c r="D8" s="737" t="s">
        <v>31</v>
      </c>
      <c r="E8" s="738" t="s">
        <v>176</v>
      </c>
      <c r="F8" s="739">
        <v>394.885</v>
      </c>
      <c r="G8" s="739">
        <v>404.906</v>
      </c>
      <c r="H8" s="739">
        <v>408.203</v>
      </c>
      <c r="I8" s="739">
        <v>429.505</v>
      </c>
      <c r="J8" s="739">
        <v>443.677</v>
      </c>
      <c r="K8" s="739">
        <v>435.852</v>
      </c>
      <c r="L8" s="739">
        <v>396.143</v>
      </c>
      <c r="M8" s="739">
        <v>390.378</v>
      </c>
      <c r="N8" s="739">
        <v>425.189</v>
      </c>
      <c r="O8" s="739">
        <v>427.452</v>
      </c>
      <c r="P8" s="739">
        <v>430.13</v>
      </c>
      <c r="Q8" s="739">
        <v>442.736</v>
      </c>
      <c r="R8" s="739">
        <v>455.215</v>
      </c>
      <c r="S8" s="738">
        <v>483.386</v>
      </c>
      <c r="T8" s="740">
        <f>S8/R8*100-100</f>
        <v>6.188504333117322</v>
      </c>
      <c r="U8"/>
    </row>
    <row r="9" spans="1:21" s="13" customFormat="1" ht="12.75" customHeight="1">
      <c r="A9" s="19"/>
      <c r="B9" s="214">
        <v>2</v>
      </c>
      <c r="C9" s="608"/>
      <c r="D9" s="576" t="s">
        <v>29</v>
      </c>
      <c r="E9" s="572" t="s">
        <v>177</v>
      </c>
      <c r="F9" s="569">
        <v>457.075</v>
      </c>
      <c r="G9" s="569">
        <v>469.783</v>
      </c>
      <c r="H9" s="569">
        <v>472.04</v>
      </c>
      <c r="I9" s="569">
        <v>470.89</v>
      </c>
      <c r="J9" s="569">
        <v>475.786</v>
      </c>
      <c r="K9" s="569">
        <v>473.209</v>
      </c>
      <c r="L9" s="569">
        <v>460.148</v>
      </c>
      <c r="M9" s="569">
        <v>449.249</v>
      </c>
      <c r="N9" s="569">
        <v>476.293</v>
      </c>
      <c r="O9" s="569">
        <v>471.454</v>
      </c>
      <c r="P9" s="569">
        <v>469.579</v>
      </c>
      <c r="Q9" s="569">
        <v>470.707</v>
      </c>
      <c r="R9" s="569">
        <v>472.059</v>
      </c>
      <c r="S9" s="572">
        <v>473.199</v>
      </c>
      <c r="T9" s="443">
        <f aca="true" t="shared" si="0" ref="T9:T62">S9/R9*100-100</f>
        <v>0.24149523682422114</v>
      </c>
      <c r="U9"/>
    </row>
    <row r="10" spans="1:21" s="13" customFormat="1" ht="12.75" customHeight="1">
      <c r="A10" s="19"/>
      <c r="B10" s="214">
        <v>3</v>
      </c>
      <c r="C10" s="607"/>
      <c r="D10" s="575" t="s">
        <v>385</v>
      </c>
      <c r="E10" s="571" t="s">
        <v>181</v>
      </c>
      <c r="F10" s="570">
        <v>545.939</v>
      </c>
      <c r="G10" s="570">
        <v>550.183</v>
      </c>
      <c r="H10" s="570">
        <v>543.767</v>
      </c>
      <c r="I10" s="570">
        <v>559.986</v>
      </c>
      <c r="J10" s="570">
        <v>569.446</v>
      </c>
      <c r="K10" s="570">
        <v>576.397</v>
      </c>
      <c r="L10" s="570">
        <v>541.776</v>
      </c>
      <c r="M10" s="570">
        <v>477.918</v>
      </c>
      <c r="N10" s="570">
        <v>504.751</v>
      </c>
      <c r="O10" s="570">
        <v>489.853</v>
      </c>
      <c r="P10" s="570">
        <v>470.969</v>
      </c>
      <c r="Q10" s="570">
        <v>463.858</v>
      </c>
      <c r="R10" s="570">
        <v>468.5</v>
      </c>
      <c r="S10" s="571">
        <v>471.986</v>
      </c>
      <c r="T10" s="442">
        <f t="shared" si="0"/>
        <v>0.7440768409818617</v>
      </c>
      <c r="U10"/>
    </row>
    <row r="11" spans="1:21" s="20" customFormat="1" ht="12.75" customHeight="1">
      <c r="A11" s="19"/>
      <c r="B11" s="214">
        <v>4</v>
      </c>
      <c r="C11" s="608"/>
      <c r="D11" s="576" t="s">
        <v>28</v>
      </c>
      <c r="E11" s="572" t="s">
        <v>179</v>
      </c>
      <c r="F11" s="569">
        <v>444.468</v>
      </c>
      <c r="G11" s="569">
        <v>462.291</v>
      </c>
      <c r="H11" s="569">
        <v>475.627</v>
      </c>
      <c r="I11" s="569">
        <v>480.51</v>
      </c>
      <c r="J11" s="569">
        <v>484.59</v>
      </c>
      <c r="K11" s="569">
        <v>477.393</v>
      </c>
      <c r="L11" s="569">
        <v>455.094</v>
      </c>
      <c r="M11" s="569">
        <v>455.993</v>
      </c>
      <c r="N11" s="569">
        <v>480.871</v>
      </c>
      <c r="O11" s="569">
        <v>475.458</v>
      </c>
      <c r="P11" s="569">
        <v>465.698</v>
      </c>
      <c r="Q11" s="569">
        <v>461.963</v>
      </c>
      <c r="R11" s="569">
        <v>460.549</v>
      </c>
      <c r="S11" s="572">
        <v>456.297</v>
      </c>
      <c r="T11" s="443">
        <f t="shared" si="0"/>
        <v>-0.9232459521136605</v>
      </c>
      <c r="U11"/>
    </row>
    <row r="12" spans="1:21" s="13" customFormat="1" ht="12.75" customHeight="1">
      <c r="A12" s="19"/>
      <c r="B12" s="214">
        <v>5</v>
      </c>
      <c r="C12" s="607"/>
      <c r="D12" s="575" t="s">
        <v>32</v>
      </c>
      <c r="E12" s="571" t="s">
        <v>179</v>
      </c>
      <c r="F12" s="570">
        <v>338.924</v>
      </c>
      <c r="G12" s="570">
        <v>365.976</v>
      </c>
      <c r="H12" s="570">
        <v>382.323</v>
      </c>
      <c r="I12" s="570">
        <v>387.807</v>
      </c>
      <c r="J12" s="570">
        <v>407.591</v>
      </c>
      <c r="K12" s="570">
        <v>409.001</v>
      </c>
      <c r="L12" s="570">
        <v>377.203</v>
      </c>
      <c r="M12" s="570">
        <v>368.219</v>
      </c>
      <c r="N12" s="570">
        <v>399.439</v>
      </c>
      <c r="O12" s="570">
        <v>387.902</v>
      </c>
      <c r="P12" s="570">
        <v>368.443</v>
      </c>
      <c r="Q12" s="570">
        <v>360.889</v>
      </c>
      <c r="R12" s="570">
        <v>365.739</v>
      </c>
      <c r="S12" s="571">
        <v>379.957</v>
      </c>
      <c r="T12" s="442">
        <f t="shared" si="0"/>
        <v>3.8874716669537577</v>
      </c>
      <c r="U12"/>
    </row>
    <row r="13" spans="1:20" ht="12.75" customHeight="1">
      <c r="A13" s="19"/>
      <c r="B13" s="214">
        <v>6</v>
      </c>
      <c r="C13" s="608"/>
      <c r="D13" s="576" t="s">
        <v>30</v>
      </c>
      <c r="E13" s="572" t="s">
        <v>180</v>
      </c>
      <c r="F13" s="569">
        <v>363.182</v>
      </c>
      <c r="G13" s="569">
        <v>391.14</v>
      </c>
      <c r="H13" s="569">
        <v>406.323</v>
      </c>
      <c r="I13" s="569">
        <v>422.234</v>
      </c>
      <c r="J13" s="569">
        <v>470.315</v>
      </c>
      <c r="K13" s="569">
        <v>459.65</v>
      </c>
      <c r="L13" s="569">
        <v>427.168</v>
      </c>
      <c r="M13" s="569">
        <v>426.941</v>
      </c>
      <c r="N13" s="569">
        <v>422.842</v>
      </c>
      <c r="O13" s="569">
        <v>368.604</v>
      </c>
      <c r="P13" s="569">
        <v>325.981</v>
      </c>
      <c r="Q13" s="569">
        <v>335.048</v>
      </c>
      <c r="R13" s="569">
        <v>357.685</v>
      </c>
      <c r="S13" s="572">
        <v>359.726</v>
      </c>
      <c r="T13" s="443">
        <f t="shared" si="0"/>
        <v>0.5706138082390879</v>
      </c>
    </row>
    <row r="14" spans="1:21" s="20" customFormat="1" ht="12.75" customHeight="1">
      <c r="A14" s="19"/>
      <c r="B14" s="214">
        <v>7</v>
      </c>
      <c r="C14" s="607"/>
      <c r="D14" s="575" t="s">
        <v>33</v>
      </c>
      <c r="E14" s="571" t="s">
        <v>183</v>
      </c>
      <c r="F14" s="570">
        <v>286.649</v>
      </c>
      <c r="G14" s="570">
        <v>300.262</v>
      </c>
      <c r="H14" s="570">
        <v>299.552</v>
      </c>
      <c r="I14" s="570">
        <v>308.578</v>
      </c>
      <c r="J14" s="570">
        <v>332.933</v>
      </c>
      <c r="K14" s="570">
        <v>340.79</v>
      </c>
      <c r="L14" s="570">
        <v>321.253</v>
      </c>
      <c r="M14" s="570">
        <v>327.344</v>
      </c>
      <c r="N14" s="570">
        <v>323.564</v>
      </c>
      <c r="O14" s="570">
        <v>309.279</v>
      </c>
      <c r="P14" s="570">
        <v>298.001</v>
      </c>
      <c r="Q14" s="570">
        <v>305.602</v>
      </c>
      <c r="R14" s="570">
        <v>311.824</v>
      </c>
      <c r="S14" s="571">
        <v>310.845</v>
      </c>
      <c r="T14" s="442">
        <f t="shared" si="0"/>
        <v>-0.3139591564472255</v>
      </c>
      <c r="U14"/>
    </row>
    <row r="15" spans="1:21" s="14" customFormat="1" ht="12.75" customHeight="1">
      <c r="A15" s="19"/>
      <c r="B15" s="214">
        <v>8</v>
      </c>
      <c r="C15" s="608"/>
      <c r="D15" s="576" t="s">
        <v>324</v>
      </c>
      <c r="E15" s="572" t="s">
        <v>180</v>
      </c>
      <c r="F15" s="569">
        <v>257.129</v>
      </c>
      <c r="G15" s="569">
        <v>277.314</v>
      </c>
      <c r="H15" s="569">
        <v>294.346</v>
      </c>
      <c r="I15" s="569">
        <v>312.365</v>
      </c>
      <c r="J15" s="569">
        <v>339.02</v>
      </c>
      <c r="K15" s="569">
        <v>313.088</v>
      </c>
      <c r="L15" s="569">
        <v>269.475</v>
      </c>
      <c r="M15" s="569">
        <v>268.537</v>
      </c>
      <c r="N15" s="569">
        <v>293.578</v>
      </c>
      <c r="O15" s="569">
        <v>281.561</v>
      </c>
      <c r="P15" s="569">
        <v>267.744</v>
      </c>
      <c r="Q15" s="569">
        <v>274.991</v>
      </c>
      <c r="R15" s="569">
        <v>278.966</v>
      </c>
      <c r="S15" s="572">
        <v>294.653</v>
      </c>
      <c r="T15" s="443">
        <f t="shared" si="0"/>
        <v>5.6232659177104125</v>
      </c>
      <c r="U15"/>
    </row>
    <row r="16" spans="1:21" s="13" customFormat="1" ht="12.75" customHeight="1">
      <c r="A16" s="19"/>
      <c r="B16" s="209">
        <v>9</v>
      </c>
      <c r="C16" s="607"/>
      <c r="D16" s="575" t="s">
        <v>34</v>
      </c>
      <c r="E16" s="571" t="s">
        <v>177</v>
      </c>
      <c r="F16" s="570">
        <v>234.45</v>
      </c>
      <c r="G16" s="570">
        <v>241.194</v>
      </c>
      <c r="H16" s="570">
        <v>251.969</v>
      </c>
      <c r="I16" s="570">
        <v>254.411</v>
      </c>
      <c r="J16" s="570">
        <v>258.919</v>
      </c>
      <c r="K16" s="570">
        <v>256.352</v>
      </c>
      <c r="L16" s="570">
        <v>245.369</v>
      </c>
      <c r="M16" s="570">
        <v>233.543</v>
      </c>
      <c r="N16" s="570">
        <v>244.506</v>
      </c>
      <c r="O16" s="570">
        <v>240.391</v>
      </c>
      <c r="P16" s="570">
        <v>244.283</v>
      </c>
      <c r="Q16" s="570">
        <v>254.488</v>
      </c>
      <c r="R16" s="570">
        <v>262.519</v>
      </c>
      <c r="S16" s="571">
        <v>277.094</v>
      </c>
      <c r="T16" s="442">
        <f t="shared" si="0"/>
        <v>5.551979094846459</v>
      </c>
      <c r="U16"/>
    </row>
    <row r="17" spans="1:21" s="13" customFormat="1" ht="12.75" customHeight="1">
      <c r="A17" s="19"/>
      <c r="B17" s="214">
        <v>10</v>
      </c>
      <c r="C17" s="608"/>
      <c r="D17" s="576" t="s">
        <v>37</v>
      </c>
      <c r="E17" s="572" t="s">
        <v>174</v>
      </c>
      <c r="F17" s="569">
        <v>243.404</v>
      </c>
      <c r="G17" s="569">
        <v>266.768</v>
      </c>
      <c r="H17" s="569">
        <v>262.053</v>
      </c>
      <c r="I17" s="569">
        <v>251.384</v>
      </c>
      <c r="J17" s="569">
        <v>250.17</v>
      </c>
      <c r="K17" s="569">
        <v>261.614</v>
      </c>
      <c r="L17" s="569">
        <v>230.877</v>
      </c>
      <c r="M17" s="569">
        <v>240.553</v>
      </c>
      <c r="N17" s="569">
        <v>248.632</v>
      </c>
      <c r="O17" s="569">
        <v>238.316</v>
      </c>
      <c r="P17" s="569">
        <v>240.459</v>
      </c>
      <c r="Q17" s="569">
        <v>247.193</v>
      </c>
      <c r="R17" s="569">
        <v>250.21</v>
      </c>
      <c r="S17" s="572">
        <v>259.225</v>
      </c>
      <c r="T17" s="443">
        <f t="shared" si="0"/>
        <v>3.6029735022581093</v>
      </c>
      <c r="U17"/>
    </row>
    <row r="18" spans="1:21" s="13" customFormat="1" ht="12.75" customHeight="1">
      <c r="A18" s="19"/>
      <c r="B18" s="214">
        <v>11</v>
      </c>
      <c r="C18" s="607"/>
      <c r="D18" s="575" t="s">
        <v>39</v>
      </c>
      <c r="E18" s="571" t="s">
        <v>181</v>
      </c>
      <c r="F18" s="570">
        <v>211.744</v>
      </c>
      <c r="G18" s="570">
        <v>228.114</v>
      </c>
      <c r="H18" s="570">
        <v>230.985</v>
      </c>
      <c r="I18" s="570">
        <v>234.969</v>
      </c>
      <c r="J18" s="570">
        <v>238.467</v>
      </c>
      <c r="K18" s="570">
        <v>234.162</v>
      </c>
      <c r="L18" s="570">
        <v>223.409</v>
      </c>
      <c r="M18" s="570">
        <v>215.483</v>
      </c>
      <c r="N18" s="570">
        <v>228.324</v>
      </c>
      <c r="O18" s="570">
        <v>230.364</v>
      </c>
      <c r="P18" s="570">
        <v>229.691</v>
      </c>
      <c r="Q18" s="570">
        <v>228.038</v>
      </c>
      <c r="R18" s="570">
        <v>231.336</v>
      </c>
      <c r="S18" s="571">
        <v>234.837</v>
      </c>
      <c r="T18" s="442">
        <f t="shared" si="0"/>
        <v>1.5133831310301815</v>
      </c>
      <c r="U18"/>
    </row>
    <row r="19" spans="1:21" s="20" customFormat="1" ht="12.75" customHeight="1">
      <c r="A19" s="19"/>
      <c r="B19" s="214">
        <v>12</v>
      </c>
      <c r="C19" s="608"/>
      <c r="D19" s="576" t="s">
        <v>42</v>
      </c>
      <c r="E19" s="572" t="s">
        <v>188</v>
      </c>
      <c r="F19" s="569">
        <v>220.799</v>
      </c>
      <c r="G19" s="569">
        <v>234.318</v>
      </c>
      <c r="H19" s="569">
        <v>222.191</v>
      </c>
      <c r="I19" s="569">
        <v>214.485</v>
      </c>
      <c r="J19" s="569">
        <v>205.251</v>
      </c>
      <c r="K19" s="569">
        <v>213.689</v>
      </c>
      <c r="L19" s="569">
        <v>186.532</v>
      </c>
      <c r="M19" s="569">
        <v>185.429</v>
      </c>
      <c r="N19" s="569">
        <v>204.273</v>
      </c>
      <c r="O19" s="569">
        <v>201.653</v>
      </c>
      <c r="P19" s="569">
        <v>210.749</v>
      </c>
      <c r="Q19" s="569">
        <v>219.211</v>
      </c>
      <c r="R19" s="569">
        <v>216.947</v>
      </c>
      <c r="S19" s="572">
        <v>224.857</v>
      </c>
      <c r="T19" s="443">
        <f t="shared" si="0"/>
        <v>3.6460518006702074</v>
      </c>
      <c r="U19"/>
    </row>
    <row r="20" spans="1:21" s="20" customFormat="1" ht="12.75" customHeight="1">
      <c r="A20" s="19"/>
      <c r="B20" s="214">
        <v>13</v>
      </c>
      <c r="C20" s="607"/>
      <c r="D20" s="575" t="s">
        <v>36</v>
      </c>
      <c r="E20" s="571" t="s">
        <v>185</v>
      </c>
      <c r="F20" s="570">
        <v>193.567</v>
      </c>
      <c r="G20" s="570">
        <v>220.981</v>
      </c>
      <c r="H20" s="570">
        <v>226.973</v>
      </c>
      <c r="I20" s="570">
        <v>233.475</v>
      </c>
      <c r="J20" s="570">
        <v>251.223</v>
      </c>
      <c r="K20" s="570">
        <v>262.649</v>
      </c>
      <c r="L20" s="570">
        <v>239.759</v>
      </c>
      <c r="M20" s="570">
        <v>242.324</v>
      </c>
      <c r="N20" s="570">
        <v>243.365</v>
      </c>
      <c r="O20" s="570">
        <v>242.286</v>
      </c>
      <c r="P20" s="570">
        <v>228.921</v>
      </c>
      <c r="Q20" s="570">
        <v>228.41</v>
      </c>
      <c r="R20" s="570">
        <v>224.463</v>
      </c>
      <c r="S20" s="571">
        <v>224.333</v>
      </c>
      <c r="T20" s="442">
        <f t="shared" si="0"/>
        <v>-0.057916003973929264</v>
      </c>
      <c r="U20"/>
    </row>
    <row r="21" spans="1:21" s="13" customFormat="1" ht="12.75" customHeight="1">
      <c r="A21" s="19"/>
      <c r="B21" s="214">
        <v>14</v>
      </c>
      <c r="C21" s="608"/>
      <c r="D21" s="576" t="s">
        <v>40</v>
      </c>
      <c r="E21" s="572" t="s">
        <v>179</v>
      </c>
      <c r="F21" s="569">
        <v>173.319</v>
      </c>
      <c r="G21" s="569">
        <v>187.743</v>
      </c>
      <c r="H21" s="569">
        <v>189.049</v>
      </c>
      <c r="I21" s="569">
        <v>208.065</v>
      </c>
      <c r="J21" s="569">
        <v>223.397</v>
      </c>
      <c r="K21" s="569">
        <v>224.355</v>
      </c>
      <c r="L21" s="569">
        <v>210.025</v>
      </c>
      <c r="M21" s="569">
        <v>211.359</v>
      </c>
      <c r="N21" s="569">
        <v>216.626</v>
      </c>
      <c r="O21" s="569">
        <v>212.231</v>
      </c>
      <c r="P21" s="569">
        <v>205.781</v>
      </c>
      <c r="Q21" s="569">
        <v>204.043</v>
      </c>
      <c r="R21" s="569">
        <v>202.833</v>
      </c>
      <c r="S21" s="572">
        <v>209.351</v>
      </c>
      <c r="T21" s="443">
        <f t="shared" si="0"/>
        <v>3.213481041053484</v>
      </c>
      <c r="U21"/>
    </row>
    <row r="22" spans="1:21" s="13" customFormat="1" ht="12.75" customHeight="1">
      <c r="A22" s="19"/>
      <c r="B22" s="214">
        <v>15</v>
      </c>
      <c r="C22" s="607"/>
      <c r="D22" s="575" t="s">
        <v>38</v>
      </c>
      <c r="E22" s="571" t="s">
        <v>178</v>
      </c>
      <c r="F22" s="570">
        <v>231.213</v>
      </c>
      <c r="G22" s="570">
        <v>229.843</v>
      </c>
      <c r="H22" s="570">
        <v>228.74</v>
      </c>
      <c r="I22" s="570">
        <v>231.719</v>
      </c>
      <c r="J22" s="570">
        <v>240.341</v>
      </c>
      <c r="K22" s="570">
        <v>235.647</v>
      </c>
      <c r="L22" s="570">
        <v>211.785</v>
      </c>
      <c r="M22" s="570">
        <v>205.227</v>
      </c>
      <c r="N22" s="570">
        <v>214.22</v>
      </c>
      <c r="O22" s="570">
        <v>205.601</v>
      </c>
      <c r="P22" s="570">
        <v>198.673</v>
      </c>
      <c r="Q22" s="570">
        <v>213.404</v>
      </c>
      <c r="R22" s="570">
        <v>221.055</v>
      </c>
      <c r="S22" s="571">
        <v>205.774</v>
      </c>
      <c r="T22" s="442">
        <f t="shared" si="0"/>
        <v>-6.912759268055467</v>
      </c>
      <c r="U22"/>
    </row>
    <row r="23" spans="1:21" s="13" customFormat="1" ht="12.75" customHeight="1">
      <c r="A23" s="19"/>
      <c r="B23" s="214">
        <v>16</v>
      </c>
      <c r="C23" s="608"/>
      <c r="D23" s="576" t="s">
        <v>325</v>
      </c>
      <c r="E23" s="572" t="s">
        <v>182</v>
      </c>
      <c r="F23" s="569">
        <v>163.268</v>
      </c>
      <c r="G23" s="569">
        <v>164.011</v>
      </c>
      <c r="H23" s="569">
        <v>169.565</v>
      </c>
      <c r="I23" s="569">
        <v>183.375</v>
      </c>
      <c r="J23" s="569">
        <v>200.891</v>
      </c>
      <c r="K23" s="569">
        <v>202.43</v>
      </c>
      <c r="L23" s="569">
        <v>169.914</v>
      </c>
      <c r="M23" s="569">
        <v>156.415</v>
      </c>
      <c r="N23" s="569">
        <v>159.975</v>
      </c>
      <c r="O23" s="569">
        <v>158.636</v>
      </c>
      <c r="P23" s="569">
        <v>161.976</v>
      </c>
      <c r="Q23" s="569">
        <v>172.556</v>
      </c>
      <c r="R23" s="569">
        <v>188.771</v>
      </c>
      <c r="S23" s="572">
        <v>204.499</v>
      </c>
      <c r="T23" s="443">
        <f t="shared" si="0"/>
        <v>8.331788251373368</v>
      </c>
      <c r="U23"/>
    </row>
    <row r="24" spans="1:20" ht="12.75" customHeight="1">
      <c r="A24" s="38"/>
      <c r="B24" s="214">
        <v>17</v>
      </c>
      <c r="C24" s="607"/>
      <c r="D24" s="575" t="s">
        <v>20</v>
      </c>
      <c r="E24" s="571" t="s">
        <v>180</v>
      </c>
      <c r="F24" s="570">
        <v>146.59</v>
      </c>
      <c r="G24" s="570">
        <v>166.062</v>
      </c>
      <c r="H24" s="570">
        <v>170.457</v>
      </c>
      <c r="I24" s="570">
        <v>175.586</v>
      </c>
      <c r="J24" s="570">
        <v>184.605</v>
      </c>
      <c r="K24" s="570">
        <v>182.866</v>
      </c>
      <c r="L24" s="570">
        <v>168.283</v>
      </c>
      <c r="M24" s="570">
        <v>165.156</v>
      </c>
      <c r="N24" s="570">
        <v>172.085</v>
      </c>
      <c r="O24" s="570">
        <v>166.072</v>
      </c>
      <c r="P24" s="570">
        <v>161.729</v>
      </c>
      <c r="Q24" s="570">
        <v>164.643</v>
      </c>
      <c r="R24" s="570">
        <v>169.99</v>
      </c>
      <c r="S24" s="571">
        <v>185.419</v>
      </c>
      <c r="T24" s="442">
        <f t="shared" si="0"/>
        <v>9.07641625977999</v>
      </c>
    </row>
    <row r="25" spans="1:20" ht="12.75" customHeight="1">
      <c r="A25" s="19"/>
      <c r="B25" s="214">
        <v>18</v>
      </c>
      <c r="C25" s="608"/>
      <c r="D25" s="576" t="s">
        <v>41</v>
      </c>
      <c r="E25" s="572" t="s">
        <v>177</v>
      </c>
      <c r="F25" s="569">
        <v>191.515</v>
      </c>
      <c r="G25" s="569">
        <v>208.493</v>
      </c>
      <c r="H25" s="569">
        <v>217.987</v>
      </c>
      <c r="I25" s="569">
        <v>213.027</v>
      </c>
      <c r="J25" s="569">
        <v>206.498</v>
      </c>
      <c r="K25" s="569">
        <v>191.219</v>
      </c>
      <c r="L25" s="569">
        <v>162.124</v>
      </c>
      <c r="M25" s="569">
        <v>148.879</v>
      </c>
      <c r="N25" s="569">
        <v>157.965</v>
      </c>
      <c r="O25" s="569">
        <v>160.473</v>
      </c>
      <c r="P25" s="569">
        <v>161.05</v>
      </c>
      <c r="Q25" s="569">
        <v>162.917</v>
      </c>
      <c r="R25" s="569">
        <v>164.679</v>
      </c>
      <c r="S25" s="572">
        <v>184.645</v>
      </c>
      <c r="T25" s="443">
        <f t="shared" si="0"/>
        <v>12.1241931272354</v>
      </c>
    </row>
    <row r="26" spans="1:21" s="14" customFormat="1" ht="12.75" customHeight="1">
      <c r="A26" s="19"/>
      <c r="B26" s="214">
        <v>19</v>
      </c>
      <c r="C26" s="607"/>
      <c r="D26" s="575" t="s">
        <v>43</v>
      </c>
      <c r="E26" s="571" t="s">
        <v>175</v>
      </c>
      <c r="F26" s="570">
        <v>159.123</v>
      </c>
      <c r="G26" s="570">
        <v>179.988</v>
      </c>
      <c r="H26" s="570">
        <v>170.35</v>
      </c>
      <c r="I26" s="570">
        <v>179.961</v>
      </c>
      <c r="J26" s="570">
        <v>196.71</v>
      </c>
      <c r="K26" s="570">
        <v>188.955</v>
      </c>
      <c r="L26" s="570">
        <v>200.457</v>
      </c>
      <c r="M26" s="570">
        <v>181.569</v>
      </c>
      <c r="N26" s="570">
        <v>161.827</v>
      </c>
      <c r="O26" s="570">
        <v>144.564</v>
      </c>
      <c r="P26" s="570">
        <v>131.641</v>
      </c>
      <c r="Q26" s="570">
        <v>146.719</v>
      </c>
      <c r="R26" s="570">
        <v>167.945</v>
      </c>
      <c r="S26" s="571">
        <v>181.422</v>
      </c>
      <c r="T26" s="442">
        <f t="shared" si="0"/>
        <v>8.02465092738693</v>
      </c>
      <c r="U26"/>
    </row>
    <row r="27" spans="1:21" s="13" customFormat="1" ht="12.75" customHeight="1">
      <c r="A27" s="19"/>
      <c r="B27" s="214">
        <v>20</v>
      </c>
      <c r="C27" s="608"/>
      <c r="D27" s="576" t="s">
        <v>47</v>
      </c>
      <c r="E27" s="572" t="s">
        <v>179</v>
      </c>
      <c r="F27" s="569">
        <v>134.32</v>
      </c>
      <c r="G27" s="569">
        <v>131.727</v>
      </c>
      <c r="H27" s="569">
        <v>137.17</v>
      </c>
      <c r="I27" s="569">
        <v>134.226</v>
      </c>
      <c r="J27" s="569">
        <v>145.32</v>
      </c>
      <c r="K27" s="569">
        <v>154.304</v>
      </c>
      <c r="L27" s="569">
        <v>147.717</v>
      </c>
      <c r="M27" s="569">
        <v>150.485</v>
      </c>
      <c r="N27" s="569">
        <v>161.31</v>
      </c>
      <c r="O27" s="569">
        <v>164.075</v>
      </c>
      <c r="P27" s="569">
        <v>168.5</v>
      </c>
      <c r="Q27" s="569">
        <v>175.725</v>
      </c>
      <c r="R27" s="569">
        <v>177.893</v>
      </c>
      <c r="S27" s="572">
        <v>179.85</v>
      </c>
      <c r="T27" s="443">
        <f t="shared" si="0"/>
        <v>1.1000994980128382</v>
      </c>
      <c r="U27"/>
    </row>
    <row r="28" spans="1:20" ht="12.75" customHeight="1">
      <c r="A28" s="19"/>
      <c r="B28" s="214">
        <v>21</v>
      </c>
      <c r="C28" s="607"/>
      <c r="D28" s="575" t="s">
        <v>158</v>
      </c>
      <c r="E28" s="571" t="s">
        <v>186</v>
      </c>
      <c r="F28" s="570">
        <v>112.675</v>
      </c>
      <c r="G28" s="570">
        <v>121.71</v>
      </c>
      <c r="H28" s="570">
        <v>125.873</v>
      </c>
      <c r="I28" s="570">
        <v>131.893</v>
      </c>
      <c r="J28" s="570">
        <v>141.905</v>
      </c>
      <c r="K28" s="570">
        <v>138.945</v>
      </c>
      <c r="L28" s="570">
        <v>131.61</v>
      </c>
      <c r="M28" s="570">
        <v>136.924</v>
      </c>
      <c r="N28" s="570">
        <v>139.186</v>
      </c>
      <c r="O28" s="570">
        <v>140.704</v>
      </c>
      <c r="P28" s="570">
        <v>142.621</v>
      </c>
      <c r="Q28" s="570">
        <v>152.97</v>
      </c>
      <c r="R28" s="570">
        <v>162.83</v>
      </c>
      <c r="S28" s="571">
        <v>179.142</v>
      </c>
      <c r="T28" s="442">
        <f t="shared" si="0"/>
        <v>10.01780998587482</v>
      </c>
    </row>
    <row r="29" spans="1:21" s="13" customFormat="1" ht="12.75" customHeight="1">
      <c r="A29" s="19"/>
      <c r="B29" s="214">
        <v>22</v>
      </c>
      <c r="C29" s="608"/>
      <c r="D29" s="576" t="s">
        <v>44</v>
      </c>
      <c r="E29" s="572" t="s">
        <v>177</v>
      </c>
      <c r="F29" s="569">
        <v>169.181</v>
      </c>
      <c r="G29" s="569">
        <v>176.768</v>
      </c>
      <c r="H29" s="569">
        <v>178.011</v>
      </c>
      <c r="I29" s="569">
        <v>189.983</v>
      </c>
      <c r="J29" s="569">
        <v>191.52</v>
      </c>
      <c r="K29" s="569">
        <v>177.262</v>
      </c>
      <c r="L29" s="569">
        <v>155.982</v>
      </c>
      <c r="M29" s="569">
        <v>142.987</v>
      </c>
      <c r="N29" s="569">
        <v>136.867</v>
      </c>
      <c r="O29" s="569">
        <v>131.365</v>
      </c>
      <c r="P29" s="569">
        <v>131.895</v>
      </c>
      <c r="Q29" s="569">
        <v>143.099</v>
      </c>
      <c r="R29" s="569">
        <v>154.476</v>
      </c>
      <c r="S29" s="572">
        <v>164.24</v>
      </c>
      <c r="T29" s="443">
        <f t="shared" si="0"/>
        <v>6.320722960200939</v>
      </c>
      <c r="U29"/>
    </row>
    <row r="30" spans="1:21" s="13" customFormat="1" ht="12.75" customHeight="1">
      <c r="A30" s="19"/>
      <c r="B30" s="214">
        <v>23</v>
      </c>
      <c r="C30" s="607"/>
      <c r="D30" s="575" t="s">
        <v>35</v>
      </c>
      <c r="E30" s="571" t="s">
        <v>183</v>
      </c>
      <c r="F30" s="570">
        <v>222.666</v>
      </c>
      <c r="G30" s="570">
        <v>209.501</v>
      </c>
      <c r="H30" s="570">
        <v>222.178</v>
      </c>
      <c r="I30" s="570">
        <v>241.474</v>
      </c>
      <c r="J30" s="570">
        <v>257.81</v>
      </c>
      <c r="K30" s="570">
        <v>208.171</v>
      </c>
      <c r="L30" s="570">
        <v>180.513</v>
      </c>
      <c r="M30" s="570">
        <v>187.764</v>
      </c>
      <c r="N30" s="570">
        <v>183.266</v>
      </c>
      <c r="O30" s="570">
        <v>167.62</v>
      </c>
      <c r="P30" s="570">
        <v>157.919</v>
      </c>
      <c r="Q30" s="570">
        <v>160.027</v>
      </c>
      <c r="R30" s="570">
        <v>154.566</v>
      </c>
      <c r="S30" s="571">
        <v>160.531</v>
      </c>
      <c r="T30" s="442">
        <f t="shared" si="0"/>
        <v>3.859192836717</v>
      </c>
      <c r="U30"/>
    </row>
    <row r="31" spans="1:21" s="13" customFormat="1" ht="12.75" customHeight="1">
      <c r="A31" s="19"/>
      <c r="B31" s="214">
        <v>24</v>
      </c>
      <c r="C31" s="608"/>
      <c r="D31" s="576" t="s">
        <v>45</v>
      </c>
      <c r="E31" s="572" t="s">
        <v>187</v>
      </c>
      <c r="F31" s="569">
        <v>152.847</v>
      </c>
      <c r="G31" s="569">
        <v>163.151</v>
      </c>
      <c r="H31" s="569">
        <v>163.136</v>
      </c>
      <c r="I31" s="569">
        <v>171.135</v>
      </c>
      <c r="J31" s="569">
        <v>174.751</v>
      </c>
      <c r="K31" s="569">
        <v>179.144</v>
      </c>
      <c r="L31" s="569">
        <v>167.664</v>
      </c>
      <c r="M31" s="569">
        <v>169.934</v>
      </c>
      <c r="N31" s="569">
        <v>191.821</v>
      </c>
      <c r="O31" s="569">
        <v>169.78</v>
      </c>
      <c r="P31" s="569">
        <v>165.831</v>
      </c>
      <c r="Q31" s="569">
        <v>164.695</v>
      </c>
      <c r="R31" s="569">
        <v>165.333</v>
      </c>
      <c r="S31" s="572">
        <v>158.062</v>
      </c>
      <c r="T31" s="443">
        <f t="shared" si="0"/>
        <v>-4.397791124578873</v>
      </c>
      <c r="U31"/>
    </row>
    <row r="32" spans="1:21" s="13" customFormat="1" ht="12.75" customHeight="1">
      <c r="A32" s="19"/>
      <c r="B32" s="214">
        <v>25</v>
      </c>
      <c r="C32" s="607"/>
      <c r="D32" s="575" t="s">
        <v>392</v>
      </c>
      <c r="E32" s="571" t="s">
        <v>181</v>
      </c>
      <c r="F32" s="570">
        <v>169.441</v>
      </c>
      <c r="G32" s="570">
        <v>155.028</v>
      </c>
      <c r="H32" s="570">
        <v>158.07</v>
      </c>
      <c r="I32" s="570">
        <v>165.418</v>
      </c>
      <c r="J32" s="570">
        <v>173.691</v>
      </c>
      <c r="K32" s="570">
        <v>166.923</v>
      </c>
      <c r="L32" s="570">
        <v>151.142</v>
      </c>
      <c r="M32" s="570">
        <v>132.057</v>
      </c>
      <c r="N32" s="570">
        <v>140.726</v>
      </c>
      <c r="O32" s="570">
        <v>146.355</v>
      </c>
      <c r="P32" s="570">
        <v>143.009</v>
      </c>
      <c r="Q32" s="570">
        <v>140.561</v>
      </c>
      <c r="R32" s="570">
        <v>139.766</v>
      </c>
      <c r="S32" s="571">
        <v>146.779</v>
      </c>
      <c r="T32" s="442">
        <f t="shared" si="0"/>
        <v>5.017672395289281</v>
      </c>
      <c r="U32"/>
    </row>
    <row r="33" spans="1:21" s="12" customFormat="1" ht="12.75" customHeight="1">
      <c r="A33" s="19"/>
      <c r="B33" s="214">
        <v>26</v>
      </c>
      <c r="C33" s="608"/>
      <c r="D33" s="266" t="s">
        <v>545</v>
      </c>
      <c r="E33" s="572" t="s">
        <v>169</v>
      </c>
      <c r="F33" s="569"/>
      <c r="G33" s="569">
        <v>122.236</v>
      </c>
      <c r="H33" s="569">
        <v>131.119</v>
      </c>
      <c r="I33" s="569">
        <v>142.916</v>
      </c>
      <c r="J33" s="569">
        <v>147.985</v>
      </c>
      <c r="K33" s="569">
        <v>145.883</v>
      </c>
      <c r="L33" s="569">
        <v>130.526</v>
      </c>
      <c r="M33" s="569">
        <v>133.042</v>
      </c>
      <c r="N33" s="569">
        <v>136.458</v>
      </c>
      <c r="O33" s="569">
        <v>134.618</v>
      </c>
      <c r="P33" s="569">
        <v>138.411</v>
      </c>
      <c r="Q33" s="569">
        <v>134.751</v>
      </c>
      <c r="R33" s="569">
        <v>136.39</v>
      </c>
      <c r="S33" s="572">
        <v>146.659</v>
      </c>
      <c r="T33" s="443">
        <f t="shared" si="0"/>
        <v>7.529144365422695</v>
      </c>
      <c r="U33"/>
    </row>
    <row r="34" spans="1:20" ht="12.75" customHeight="1">
      <c r="A34" s="19"/>
      <c r="B34" s="214">
        <v>27</v>
      </c>
      <c r="C34" s="607"/>
      <c r="D34" s="575" t="s">
        <v>327</v>
      </c>
      <c r="E34" s="571" t="s">
        <v>179</v>
      </c>
      <c r="F34" s="570">
        <v>127.135</v>
      </c>
      <c r="G34" s="570">
        <v>130.045</v>
      </c>
      <c r="H34" s="570">
        <v>134.199</v>
      </c>
      <c r="I34" s="570">
        <v>145.868</v>
      </c>
      <c r="J34" s="570">
        <v>151.752</v>
      </c>
      <c r="K34" s="570">
        <v>150.656</v>
      </c>
      <c r="L34" s="570">
        <v>137.775</v>
      </c>
      <c r="M34" s="570">
        <v>138.445</v>
      </c>
      <c r="N34" s="570">
        <v>141.143</v>
      </c>
      <c r="O34" s="570">
        <v>137.705</v>
      </c>
      <c r="P34" s="570">
        <v>129.39</v>
      </c>
      <c r="Q34" s="570">
        <v>139.141</v>
      </c>
      <c r="R34" s="570">
        <v>142.075</v>
      </c>
      <c r="S34" s="571">
        <v>144.301</v>
      </c>
      <c r="T34" s="442">
        <f t="shared" si="0"/>
        <v>1.5667781101530949</v>
      </c>
    </row>
    <row r="35" spans="1:21" s="13" customFormat="1" ht="12.75" customHeight="1">
      <c r="A35" s="19"/>
      <c r="B35" s="214">
        <v>28</v>
      </c>
      <c r="C35" s="608"/>
      <c r="D35" s="576" t="s">
        <v>46</v>
      </c>
      <c r="E35" s="572" t="s">
        <v>163</v>
      </c>
      <c r="F35" s="569">
        <v>105.188</v>
      </c>
      <c r="G35" s="569">
        <v>134.246</v>
      </c>
      <c r="H35" s="569">
        <v>150.21</v>
      </c>
      <c r="I35" s="569">
        <v>155.481</v>
      </c>
      <c r="J35" s="569">
        <v>164.055</v>
      </c>
      <c r="K35" s="569">
        <v>168.83</v>
      </c>
      <c r="L35" s="569">
        <v>155.307</v>
      </c>
      <c r="M35" s="569">
        <v>147.894</v>
      </c>
      <c r="N35" s="569">
        <v>142.6</v>
      </c>
      <c r="O35" s="569">
        <v>124.544</v>
      </c>
      <c r="P35" s="569">
        <v>121.546</v>
      </c>
      <c r="Q35" s="569">
        <v>118.213</v>
      </c>
      <c r="R35" s="569">
        <v>120.073</v>
      </c>
      <c r="S35" s="572">
        <v>128.325</v>
      </c>
      <c r="T35" s="443">
        <f t="shared" si="0"/>
        <v>6.872485904408137</v>
      </c>
      <c r="U35"/>
    </row>
    <row r="36" spans="1:21" s="13" customFormat="1" ht="12.75" customHeight="1">
      <c r="A36" s="19"/>
      <c r="B36" s="214">
        <v>29</v>
      </c>
      <c r="C36" s="607"/>
      <c r="D36" s="575" t="s">
        <v>71</v>
      </c>
      <c r="E36" s="571" t="s">
        <v>179</v>
      </c>
      <c r="F36" s="570">
        <v>131.297</v>
      </c>
      <c r="G36" s="570">
        <v>133.325</v>
      </c>
      <c r="H36" s="570">
        <v>139.938</v>
      </c>
      <c r="I36" s="570">
        <v>138.516</v>
      </c>
      <c r="J36" s="570">
        <v>138.289</v>
      </c>
      <c r="K36" s="570">
        <v>128.241</v>
      </c>
      <c r="L36" s="570">
        <v>120.127</v>
      </c>
      <c r="M36" s="570">
        <v>120.634</v>
      </c>
      <c r="N36" s="570">
        <v>117.575</v>
      </c>
      <c r="O36" s="570">
        <v>112.582</v>
      </c>
      <c r="P36" s="570">
        <v>107</v>
      </c>
      <c r="Q36" s="570">
        <v>109.895</v>
      </c>
      <c r="R36" s="570">
        <v>114.754</v>
      </c>
      <c r="S36" s="571">
        <v>123.589</v>
      </c>
      <c r="T36" s="442">
        <f t="shared" si="0"/>
        <v>7.699078027781155</v>
      </c>
      <c r="U36"/>
    </row>
    <row r="37" spans="1:21" s="13" customFormat="1" ht="12.75" customHeight="1">
      <c r="A37" s="19"/>
      <c r="B37" s="214">
        <v>30</v>
      </c>
      <c r="C37" s="608"/>
      <c r="D37" s="576" t="s">
        <v>52</v>
      </c>
      <c r="E37" s="572" t="s">
        <v>177</v>
      </c>
      <c r="F37" s="569">
        <v>105.178</v>
      </c>
      <c r="G37" s="569">
        <v>111.768</v>
      </c>
      <c r="H37" s="569">
        <v>115.959</v>
      </c>
      <c r="I37" s="569">
        <v>115.844</v>
      </c>
      <c r="J37" s="569">
        <v>115.177</v>
      </c>
      <c r="K37" s="569">
        <v>113.515</v>
      </c>
      <c r="L37" s="569">
        <v>106.444</v>
      </c>
      <c r="M37" s="569">
        <v>100.577</v>
      </c>
      <c r="N37" s="569">
        <v>105.107</v>
      </c>
      <c r="O37" s="569">
        <v>102.874</v>
      </c>
      <c r="P37" s="569">
        <v>103.816</v>
      </c>
      <c r="Q37" s="569">
        <v>101.406</v>
      </c>
      <c r="R37" s="569">
        <v>107.233</v>
      </c>
      <c r="S37" s="572">
        <v>116.289</v>
      </c>
      <c r="T37" s="443">
        <f t="shared" si="0"/>
        <v>8.44516147081589</v>
      </c>
      <c r="U37"/>
    </row>
    <row r="38" spans="1:21" s="13" customFormat="1" ht="12.75" customHeight="1">
      <c r="A38" s="19"/>
      <c r="B38" s="214">
        <v>31</v>
      </c>
      <c r="C38" s="607"/>
      <c r="D38" s="575" t="s">
        <v>51</v>
      </c>
      <c r="E38" s="571" t="s">
        <v>180</v>
      </c>
      <c r="F38" s="570">
        <v>91.125</v>
      </c>
      <c r="G38" s="570">
        <v>102.733</v>
      </c>
      <c r="H38" s="570">
        <v>111.111</v>
      </c>
      <c r="I38" s="570">
        <v>113.169</v>
      </c>
      <c r="J38" s="570">
        <v>115.498</v>
      </c>
      <c r="K38" s="570">
        <v>108.164</v>
      </c>
      <c r="L38" s="570">
        <v>94.725</v>
      </c>
      <c r="M38" s="570">
        <v>97.307</v>
      </c>
      <c r="N38" s="570">
        <v>99.17</v>
      </c>
      <c r="O38" s="570">
        <v>94.198</v>
      </c>
      <c r="P38" s="570">
        <v>94.091</v>
      </c>
      <c r="Q38" s="570">
        <v>98.968</v>
      </c>
      <c r="R38" s="570">
        <v>101.018</v>
      </c>
      <c r="S38" s="571">
        <v>113.072</v>
      </c>
      <c r="T38" s="442">
        <f t="shared" si="0"/>
        <v>11.93252687639827</v>
      </c>
      <c r="U38"/>
    </row>
    <row r="39" spans="1:21" s="13" customFormat="1" ht="12.75" customHeight="1">
      <c r="A39" s="19"/>
      <c r="B39" s="214">
        <v>32</v>
      </c>
      <c r="C39" s="608"/>
      <c r="D39" s="576" t="s">
        <v>49</v>
      </c>
      <c r="E39" s="572" t="s">
        <v>181</v>
      </c>
      <c r="F39" s="569">
        <v>118.885</v>
      </c>
      <c r="G39" s="569">
        <v>125.032</v>
      </c>
      <c r="H39" s="569">
        <v>130.137</v>
      </c>
      <c r="I39" s="569">
        <v>130.87</v>
      </c>
      <c r="J39" s="569">
        <v>132.12</v>
      </c>
      <c r="K39" s="569">
        <v>133.75</v>
      </c>
      <c r="L39" s="569">
        <v>125.606</v>
      </c>
      <c r="M39" s="569">
        <v>115.354</v>
      </c>
      <c r="N39" s="569">
        <v>117.375</v>
      </c>
      <c r="O39" s="569">
        <v>115.973</v>
      </c>
      <c r="P39" s="569">
        <v>112.755</v>
      </c>
      <c r="Q39" s="569">
        <v>104.55</v>
      </c>
      <c r="R39" s="569">
        <v>104.951</v>
      </c>
      <c r="S39" s="572">
        <v>107.058</v>
      </c>
      <c r="T39" s="443">
        <f t="shared" si="0"/>
        <v>2.007603548322564</v>
      </c>
      <c r="U39"/>
    </row>
    <row r="40" spans="1:21" s="13" customFormat="1" ht="12.75" customHeight="1">
      <c r="A40" s="38"/>
      <c r="B40" s="214">
        <v>33</v>
      </c>
      <c r="C40" s="607"/>
      <c r="D40" s="575" t="s">
        <v>48</v>
      </c>
      <c r="E40" s="571" t="s">
        <v>179</v>
      </c>
      <c r="F40" s="570">
        <v>118.524</v>
      </c>
      <c r="G40" s="570">
        <v>131.945</v>
      </c>
      <c r="H40" s="570">
        <v>135.045</v>
      </c>
      <c r="I40" s="570">
        <v>138.477</v>
      </c>
      <c r="J40" s="570">
        <v>139.723</v>
      </c>
      <c r="K40" s="570">
        <v>134.897</v>
      </c>
      <c r="L40" s="570">
        <v>117.104</v>
      </c>
      <c r="M40" s="570">
        <v>111.74</v>
      </c>
      <c r="N40" s="570">
        <v>123.968</v>
      </c>
      <c r="O40" s="570">
        <v>121.632</v>
      </c>
      <c r="P40" s="570">
        <v>117.54</v>
      </c>
      <c r="Q40" s="570">
        <v>100.25</v>
      </c>
      <c r="R40" s="570">
        <v>104.958</v>
      </c>
      <c r="S40" s="571">
        <v>105.092</v>
      </c>
      <c r="T40" s="442">
        <f t="shared" si="0"/>
        <v>0.1276701156653246</v>
      </c>
      <c r="U40"/>
    </row>
    <row r="41" spans="1:21" s="13" customFormat="1" ht="12.75" customHeight="1">
      <c r="A41" s="19"/>
      <c r="B41" s="214">
        <v>34</v>
      </c>
      <c r="C41" s="608"/>
      <c r="D41" s="576" t="s">
        <v>54</v>
      </c>
      <c r="E41" s="572" t="s">
        <v>177</v>
      </c>
      <c r="F41" s="569">
        <v>116.026</v>
      </c>
      <c r="G41" s="569">
        <v>109.202</v>
      </c>
      <c r="H41" s="569">
        <v>112.963</v>
      </c>
      <c r="I41" s="569">
        <v>108.657</v>
      </c>
      <c r="J41" s="569">
        <v>104.48</v>
      </c>
      <c r="K41" s="569">
        <v>102.849</v>
      </c>
      <c r="L41" s="569">
        <v>93.922</v>
      </c>
      <c r="M41" s="569">
        <v>84.784</v>
      </c>
      <c r="N41" s="569">
        <v>83.815</v>
      </c>
      <c r="O41" s="569">
        <v>84.06</v>
      </c>
      <c r="P41" s="569">
        <v>84.852</v>
      </c>
      <c r="Q41" s="569">
        <v>88.986</v>
      </c>
      <c r="R41" s="569">
        <v>89.839</v>
      </c>
      <c r="S41" s="572">
        <v>104.552</v>
      </c>
      <c r="T41" s="443">
        <f t="shared" si="0"/>
        <v>16.377074544462886</v>
      </c>
      <c r="U41"/>
    </row>
    <row r="42" spans="1:21" s="13" customFormat="1" ht="12.75" customHeight="1">
      <c r="A42" s="19"/>
      <c r="B42" s="214">
        <v>35</v>
      </c>
      <c r="C42" s="607"/>
      <c r="D42" s="575" t="s">
        <v>62</v>
      </c>
      <c r="E42" s="571" t="s">
        <v>177</v>
      </c>
      <c r="F42" s="570">
        <v>58.419</v>
      </c>
      <c r="G42" s="570">
        <v>64.242</v>
      </c>
      <c r="H42" s="570">
        <v>75.424</v>
      </c>
      <c r="I42" s="570">
        <v>78.837</v>
      </c>
      <c r="J42" s="570">
        <v>83.318</v>
      </c>
      <c r="K42" s="570">
        <v>85.661</v>
      </c>
      <c r="L42" s="570">
        <v>75.088</v>
      </c>
      <c r="M42" s="570">
        <v>68.569</v>
      </c>
      <c r="N42" s="570">
        <v>72.136</v>
      </c>
      <c r="O42" s="570">
        <v>71.719</v>
      </c>
      <c r="P42" s="570">
        <v>70.881</v>
      </c>
      <c r="Q42" s="570">
        <v>75.613</v>
      </c>
      <c r="R42" s="570">
        <v>87.437</v>
      </c>
      <c r="S42" s="571">
        <v>102.947</v>
      </c>
      <c r="T42" s="442">
        <f t="shared" si="0"/>
        <v>17.73848599563115</v>
      </c>
      <c r="U42"/>
    </row>
    <row r="43" spans="1:21" s="26" customFormat="1" ht="12.75" customHeight="1">
      <c r="A43" s="19"/>
      <c r="B43" s="214">
        <v>36</v>
      </c>
      <c r="C43" s="608"/>
      <c r="D43" s="576" t="s">
        <v>50</v>
      </c>
      <c r="E43" s="572" t="s">
        <v>170</v>
      </c>
      <c r="F43" s="569"/>
      <c r="G43" s="569">
        <v>74.953</v>
      </c>
      <c r="H43" s="569">
        <v>90.157</v>
      </c>
      <c r="I43" s="569">
        <v>101.968</v>
      </c>
      <c r="J43" s="569">
        <v>118.141</v>
      </c>
      <c r="K43" s="569">
        <v>124.448</v>
      </c>
      <c r="L43" s="569">
        <v>124.814</v>
      </c>
      <c r="M43" s="569">
        <v>128.149</v>
      </c>
      <c r="N43" s="569">
        <v>99.51</v>
      </c>
      <c r="O43" s="569">
        <v>84.044</v>
      </c>
      <c r="P43" s="569">
        <v>83.201</v>
      </c>
      <c r="Q43" s="569">
        <v>86.639</v>
      </c>
      <c r="R43" s="569">
        <v>90.815</v>
      </c>
      <c r="S43" s="572">
        <v>101.887</v>
      </c>
      <c r="T43" s="443">
        <f t="shared" si="0"/>
        <v>12.191818532180804</v>
      </c>
      <c r="U43"/>
    </row>
    <row r="44" spans="1:21" s="26" customFormat="1" ht="12.75" customHeight="1">
      <c r="A44" s="19"/>
      <c r="B44" s="214">
        <v>37</v>
      </c>
      <c r="C44" s="607"/>
      <c r="D44" s="575" t="s">
        <v>56</v>
      </c>
      <c r="E44" s="571" t="s">
        <v>180</v>
      </c>
      <c r="F44" s="570">
        <v>83.512</v>
      </c>
      <c r="G44" s="570">
        <v>92.622</v>
      </c>
      <c r="H44" s="570">
        <v>98.408</v>
      </c>
      <c r="I44" s="570">
        <v>100.528</v>
      </c>
      <c r="J44" s="570">
        <v>99.385</v>
      </c>
      <c r="K44" s="570">
        <v>104.305</v>
      </c>
      <c r="L44" s="570">
        <v>91.735</v>
      </c>
      <c r="M44" s="570">
        <v>93.172</v>
      </c>
      <c r="N44" s="570">
        <v>101.612</v>
      </c>
      <c r="O44" s="570">
        <v>90.776</v>
      </c>
      <c r="P44" s="570">
        <v>86.059</v>
      </c>
      <c r="Q44" s="570">
        <v>92.38</v>
      </c>
      <c r="R44" s="570">
        <v>89.9</v>
      </c>
      <c r="S44" s="571">
        <v>101.116</v>
      </c>
      <c r="T44" s="442">
        <f t="shared" si="0"/>
        <v>12.476084538375972</v>
      </c>
      <c r="U44"/>
    </row>
    <row r="45" spans="1:21" s="26" customFormat="1" ht="12.75" customHeight="1">
      <c r="A45" s="19"/>
      <c r="B45" s="214">
        <v>38</v>
      </c>
      <c r="C45" s="608"/>
      <c r="D45" s="576" t="s">
        <v>57</v>
      </c>
      <c r="E45" s="572" t="s">
        <v>183</v>
      </c>
      <c r="F45" s="569">
        <v>92.756</v>
      </c>
      <c r="G45" s="569">
        <v>93.683</v>
      </c>
      <c r="H45" s="569">
        <v>93.066</v>
      </c>
      <c r="I45" s="569">
        <v>97.829</v>
      </c>
      <c r="J45" s="569">
        <v>99.147</v>
      </c>
      <c r="K45" s="569">
        <v>95.621</v>
      </c>
      <c r="L45" s="569">
        <v>92.93</v>
      </c>
      <c r="M45" s="569">
        <v>91.453</v>
      </c>
      <c r="N45" s="569">
        <v>94.056</v>
      </c>
      <c r="O45" s="569">
        <v>95.505</v>
      </c>
      <c r="P45" s="569">
        <v>90.645</v>
      </c>
      <c r="Q45" s="569">
        <v>90.531</v>
      </c>
      <c r="R45" s="569">
        <v>95.891</v>
      </c>
      <c r="S45" s="572">
        <v>97.687</v>
      </c>
      <c r="T45" s="443">
        <f t="shared" si="0"/>
        <v>1.872959923246185</v>
      </c>
      <c r="U45"/>
    </row>
    <row r="46" spans="1:21" s="26" customFormat="1" ht="12.75" customHeight="1">
      <c r="A46" s="19"/>
      <c r="B46" s="214">
        <v>39</v>
      </c>
      <c r="C46" s="607"/>
      <c r="D46" s="575" t="s">
        <v>58</v>
      </c>
      <c r="E46" s="571" t="s">
        <v>181</v>
      </c>
      <c r="F46" s="570">
        <v>84.067</v>
      </c>
      <c r="G46" s="570">
        <v>88.626</v>
      </c>
      <c r="H46" s="570">
        <v>90.337</v>
      </c>
      <c r="I46" s="570">
        <v>92.07</v>
      </c>
      <c r="J46" s="570">
        <v>98.482</v>
      </c>
      <c r="K46" s="570">
        <v>97.953</v>
      </c>
      <c r="L46" s="570">
        <v>97.898</v>
      </c>
      <c r="M46" s="570">
        <v>95.924</v>
      </c>
      <c r="N46" s="570">
        <v>94.809</v>
      </c>
      <c r="O46" s="570">
        <v>100.052</v>
      </c>
      <c r="P46" s="570">
        <v>96.743</v>
      </c>
      <c r="Q46" s="570">
        <v>90.884</v>
      </c>
      <c r="R46" s="570">
        <v>89.777</v>
      </c>
      <c r="S46" s="571">
        <v>89.954</v>
      </c>
      <c r="T46" s="442">
        <f t="shared" si="0"/>
        <v>0.19715517337401423</v>
      </c>
      <c r="U46"/>
    </row>
    <row r="47" spans="1:21" s="13" customFormat="1" ht="12.75" customHeight="1">
      <c r="A47" s="19"/>
      <c r="B47" s="214">
        <v>40</v>
      </c>
      <c r="C47" s="743"/>
      <c r="D47" s="744" t="s">
        <v>53</v>
      </c>
      <c r="E47" s="745" t="s">
        <v>165</v>
      </c>
      <c r="F47" s="746">
        <v>81.282</v>
      </c>
      <c r="G47" s="746">
        <v>103.431</v>
      </c>
      <c r="H47" s="746">
        <v>116.695</v>
      </c>
      <c r="I47" s="746">
        <v>117.325</v>
      </c>
      <c r="J47" s="746">
        <v>114.647</v>
      </c>
      <c r="K47" s="746">
        <v>110.019</v>
      </c>
      <c r="L47" s="746">
        <v>103.513</v>
      </c>
      <c r="M47" s="746">
        <v>99.632</v>
      </c>
      <c r="N47" s="746">
        <v>104.049</v>
      </c>
      <c r="O47" s="746">
        <v>81.786</v>
      </c>
      <c r="P47" s="746">
        <v>77.756</v>
      </c>
      <c r="Q47" s="746">
        <v>80.552</v>
      </c>
      <c r="R47" s="746">
        <v>85.981</v>
      </c>
      <c r="S47" s="745">
        <v>89.322</v>
      </c>
      <c r="T47" s="747">
        <f t="shared" si="0"/>
        <v>3.8857421988578835</v>
      </c>
      <c r="U47"/>
    </row>
    <row r="48" spans="1:21" s="26" customFormat="1" ht="12.75" customHeight="1">
      <c r="A48" s="19"/>
      <c r="B48" s="214">
        <v>41</v>
      </c>
      <c r="C48" s="607"/>
      <c r="D48" s="575" t="s">
        <v>69</v>
      </c>
      <c r="E48" s="571" t="s">
        <v>179</v>
      </c>
      <c r="F48" s="570">
        <v>19.795</v>
      </c>
      <c r="G48" s="570">
        <v>34.299</v>
      </c>
      <c r="H48" s="570">
        <v>46.545</v>
      </c>
      <c r="I48" s="570">
        <v>53.09</v>
      </c>
      <c r="J48" s="570">
        <v>55.114</v>
      </c>
      <c r="K48" s="570">
        <v>57.615</v>
      </c>
      <c r="L48" s="570">
        <v>61.953</v>
      </c>
      <c r="M48" s="570">
        <v>65.469</v>
      </c>
      <c r="N48" s="570">
        <v>65.876</v>
      </c>
      <c r="O48" s="570">
        <v>65.81</v>
      </c>
      <c r="P48" s="570">
        <v>57.892</v>
      </c>
      <c r="Q48" s="570">
        <v>60.041</v>
      </c>
      <c r="R48" s="570">
        <v>67.544</v>
      </c>
      <c r="S48" s="571">
        <v>88.108</v>
      </c>
      <c r="T48" s="442">
        <f t="shared" si="0"/>
        <v>30.445339334359858</v>
      </c>
      <c r="U48"/>
    </row>
    <row r="49" spans="1:21" s="26" customFormat="1" ht="12.75" customHeight="1">
      <c r="A49" s="19"/>
      <c r="B49" s="214">
        <v>42</v>
      </c>
      <c r="C49" s="608"/>
      <c r="D49" s="576" t="s">
        <v>61</v>
      </c>
      <c r="E49" s="572" t="s">
        <v>183</v>
      </c>
      <c r="F49" s="569">
        <v>72.682</v>
      </c>
      <c r="G49" s="569">
        <v>75.33</v>
      </c>
      <c r="H49" s="569">
        <v>73.979</v>
      </c>
      <c r="I49" s="569">
        <v>77.745</v>
      </c>
      <c r="J49" s="569">
        <v>83.561</v>
      </c>
      <c r="K49" s="569">
        <v>75.234</v>
      </c>
      <c r="L49" s="569">
        <v>69.032</v>
      </c>
      <c r="M49" s="569">
        <v>68.652</v>
      </c>
      <c r="N49" s="569">
        <v>78.457</v>
      </c>
      <c r="O49" s="569">
        <v>78.805</v>
      </c>
      <c r="P49" s="569">
        <v>74.138</v>
      </c>
      <c r="Q49" s="569">
        <v>72.254</v>
      </c>
      <c r="R49" s="569">
        <v>75.181</v>
      </c>
      <c r="S49" s="572">
        <v>84.355</v>
      </c>
      <c r="T49" s="443">
        <f t="shared" si="0"/>
        <v>12.202551176494069</v>
      </c>
      <c r="U49"/>
    </row>
    <row r="50" spans="1:21" s="26" customFormat="1" ht="12.75" customHeight="1">
      <c r="A50" s="19"/>
      <c r="B50" s="214">
        <v>43</v>
      </c>
      <c r="C50" s="607"/>
      <c r="D50" s="575" t="s">
        <v>59</v>
      </c>
      <c r="E50" s="571" t="s">
        <v>177</v>
      </c>
      <c r="F50" s="570">
        <v>88.075</v>
      </c>
      <c r="G50" s="570">
        <v>92.146</v>
      </c>
      <c r="H50" s="570">
        <v>96.555</v>
      </c>
      <c r="I50" s="570">
        <v>96.753</v>
      </c>
      <c r="J50" s="570">
        <v>93.654</v>
      </c>
      <c r="K50" s="570">
        <v>86.642</v>
      </c>
      <c r="L50" s="570">
        <v>74.049</v>
      </c>
      <c r="M50" s="570">
        <v>68.869</v>
      </c>
      <c r="N50" s="570">
        <v>69.931</v>
      </c>
      <c r="O50" s="570">
        <v>72.285</v>
      </c>
      <c r="P50" s="570">
        <v>72.502</v>
      </c>
      <c r="Q50" s="570">
        <v>74.034</v>
      </c>
      <c r="R50" s="570">
        <v>80.338</v>
      </c>
      <c r="S50" s="571">
        <v>84.329</v>
      </c>
      <c r="T50" s="442">
        <f t="shared" si="0"/>
        <v>4.967761208892412</v>
      </c>
      <c r="U50"/>
    </row>
    <row r="51" spans="1:21" s="26" customFormat="1" ht="12.75" customHeight="1">
      <c r="A51" s="19"/>
      <c r="B51" s="214">
        <v>44</v>
      </c>
      <c r="C51" s="608"/>
      <c r="D51" s="576" t="s">
        <v>284</v>
      </c>
      <c r="E51" s="572" t="s">
        <v>180</v>
      </c>
      <c r="F51" s="569">
        <v>59.417</v>
      </c>
      <c r="G51" s="569">
        <v>65.172</v>
      </c>
      <c r="H51" s="569">
        <v>70.203</v>
      </c>
      <c r="I51" s="569">
        <v>71.13</v>
      </c>
      <c r="J51" s="569">
        <v>74.408</v>
      </c>
      <c r="K51" s="569">
        <v>76.95</v>
      </c>
      <c r="L51" s="569">
        <v>70.897</v>
      </c>
      <c r="M51" s="569">
        <v>71.985</v>
      </c>
      <c r="N51" s="569">
        <v>73.22</v>
      </c>
      <c r="O51" s="569">
        <v>60.587</v>
      </c>
      <c r="P51" s="569">
        <v>66.301</v>
      </c>
      <c r="Q51" s="569">
        <v>69.476</v>
      </c>
      <c r="R51" s="569">
        <v>72.203</v>
      </c>
      <c r="S51" s="572">
        <v>84.281</v>
      </c>
      <c r="T51" s="443">
        <f t="shared" si="0"/>
        <v>16.72783679348504</v>
      </c>
      <c r="U51"/>
    </row>
    <row r="52" spans="1:21" s="26" customFormat="1" ht="12.75" customHeight="1">
      <c r="A52" s="19"/>
      <c r="B52" s="214">
        <v>45</v>
      </c>
      <c r="C52" s="607"/>
      <c r="D52" s="575" t="s">
        <v>60</v>
      </c>
      <c r="E52" s="571" t="s">
        <v>181</v>
      </c>
      <c r="F52" s="570">
        <v>79.518</v>
      </c>
      <c r="G52" s="570">
        <v>78.239</v>
      </c>
      <c r="H52" s="570">
        <v>80.201</v>
      </c>
      <c r="I52" s="570">
        <v>81.382</v>
      </c>
      <c r="J52" s="570">
        <v>84.51</v>
      </c>
      <c r="K52" s="570">
        <v>84.314</v>
      </c>
      <c r="L52" s="570">
        <v>84.713</v>
      </c>
      <c r="M52" s="570">
        <v>80.417</v>
      </c>
      <c r="N52" s="570">
        <v>85.26</v>
      </c>
      <c r="O52" s="570">
        <v>88.954</v>
      </c>
      <c r="P52" s="570">
        <v>84.317</v>
      </c>
      <c r="Q52" s="570">
        <v>81.592</v>
      </c>
      <c r="R52" s="570">
        <v>81.099</v>
      </c>
      <c r="S52" s="571">
        <v>83.608</v>
      </c>
      <c r="T52" s="442">
        <f t="shared" si="0"/>
        <v>3.093749614668482</v>
      </c>
      <c r="U52"/>
    </row>
    <row r="53" spans="1:21" s="26" customFormat="1" ht="12.75" customHeight="1">
      <c r="A53" s="19"/>
      <c r="B53" s="214">
        <v>46</v>
      </c>
      <c r="C53" s="608"/>
      <c r="D53" s="576" t="s">
        <v>63</v>
      </c>
      <c r="E53" s="572" t="s">
        <v>177</v>
      </c>
      <c r="F53" s="569">
        <v>48.019</v>
      </c>
      <c r="G53" s="569">
        <v>53.199</v>
      </c>
      <c r="H53" s="569">
        <v>60.692</v>
      </c>
      <c r="I53" s="569">
        <v>66.129</v>
      </c>
      <c r="J53" s="569">
        <v>77.274</v>
      </c>
      <c r="K53" s="569">
        <v>84.074</v>
      </c>
      <c r="L53" s="569">
        <v>66.907</v>
      </c>
      <c r="M53" s="569">
        <v>59.919</v>
      </c>
      <c r="N53" s="569">
        <v>59.838</v>
      </c>
      <c r="O53" s="569">
        <v>64.31</v>
      </c>
      <c r="P53" s="569">
        <v>68.118</v>
      </c>
      <c r="Q53" s="569">
        <v>70.133</v>
      </c>
      <c r="R53" s="569">
        <v>79.251</v>
      </c>
      <c r="S53" s="572">
        <v>80.449</v>
      </c>
      <c r="T53" s="443">
        <f t="shared" si="0"/>
        <v>1.5116528498062962</v>
      </c>
      <c r="U53"/>
    </row>
    <row r="54" spans="1:21" s="26" customFormat="1" ht="12.75" customHeight="1">
      <c r="A54" s="19"/>
      <c r="B54" s="214">
        <v>47</v>
      </c>
      <c r="C54" s="607"/>
      <c r="D54" s="575" t="s">
        <v>393</v>
      </c>
      <c r="E54" s="571" t="s">
        <v>183</v>
      </c>
      <c r="F54" s="570">
        <v>44.019</v>
      </c>
      <c r="G54" s="570">
        <v>41.699</v>
      </c>
      <c r="H54" s="570">
        <v>47.806</v>
      </c>
      <c r="I54" s="570">
        <v>51.906</v>
      </c>
      <c r="J54" s="570">
        <v>56.912</v>
      </c>
      <c r="K54" s="570">
        <v>60.001</v>
      </c>
      <c r="L54" s="570">
        <v>62.305</v>
      </c>
      <c r="M54" s="570">
        <v>65.326</v>
      </c>
      <c r="N54" s="570">
        <v>69.291</v>
      </c>
      <c r="O54" s="570">
        <v>72.423</v>
      </c>
      <c r="P54" s="570">
        <v>69.974</v>
      </c>
      <c r="Q54" s="570">
        <v>66.389</v>
      </c>
      <c r="R54" s="570">
        <v>74.303</v>
      </c>
      <c r="S54" s="571">
        <v>78.342</v>
      </c>
      <c r="T54" s="442">
        <f t="shared" si="0"/>
        <v>5.435850504017338</v>
      </c>
      <c r="U54"/>
    </row>
    <row r="55" spans="1:21" s="26" customFormat="1" ht="12.75" customHeight="1">
      <c r="A55" s="19"/>
      <c r="B55" s="214">
        <v>48</v>
      </c>
      <c r="C55" s="608"/>
      <c r="D55" s="576" t="s">
        <v>55</v>
      </c>
      <c r="E55" s="572" t="s">
        <v>177</v>
      </c>
      <c r="F55" s="569">
        <v>76.818</v>
      </c>
      <c r="G55" s="569">
        <v>80.684</v>
      </c>
      <c r="H55" s="569">
        <v>89.48</v>
      </c>
      <c r="I55" s="569">
        <v>97.859</v>
      </c>
      <c r="J55" s="569">
        <v>102.829</v>
      </c>
      <c r="K55" s="569">
        <v>100.168</v>
      </c>
      <c r="L55" s="569">
        <v>94.383</v>
      </c>
      <c r="M55" s="569">
        <v>87.971</v>
      </c>
      <c r="N55" s="569">
        <v>94.796</v>
      </c>
      <c r="O55" s="569">
        <v>98.792</v>
      </c>
      <c r="P55" s="569">
        <v>99.918</v>
      </c>
      <c r="Q55" s="569">
        <v>106.189</v>
      </c>
      <c r="R55" s="569">
        <v>95.722</v>
      </c>
      <c r="S55" s="572">
        <v>77.681</v>
      </c>
      <c r="T55" s="443">
        <f t="shared" si="0"/>
        <v>-18.847286935082835</v>
      </c>
      <c r="U55"/>
    </row>
    <row r="56" spans="1:21" s="26" customFormat="1" ht="12.75" customHeight="1">
      <c r="A56" s="38"/>
      <c r="B56" s="214">
        <v>49</v>
      </c>
      <c r="C56" s="607"/>
      <c r="D56" s="575" t="s">
        <v>70</v>
      </c>
      <c r="E56" s="571" t="s">
        <v>186</v>
      </c>
      <c r="F56" s="570">
        <v>40.657</v>
      </c>
      <c r="G56" s="570">
        <v>42.789</v>
      </c>
      <c r="H56" s="570">
        <v>45.27</v>
      </c>
      <c r="I56" s="570">
        <v>46.201</v>
      </c>
      <c r="J56" s="570">
        <v>51.179</v>
      </c>
      <c r="K56" s="570">
        <v>55.011</v>
      </c>
      <c r="L56" s="570">
        <v>51.593</v>
      </c>
      <c r="M56" s="570">
        <v>54.595</v>
      </c>
      <c r="N56" s="570">
        <v>59.528</v>
      </c>
      <c r="O56" s="570">
        <v>57.013</v>
      </c>
      <c r="P56" s="570">
        <v>57.669</v>
      </c>
      <c r="Q56" s="570">
        <v>61.566</v>
      </c>
      <c r="R56" s="570">
        <v>68.627</v>
      </c>
      <c r="S56" s="571">
        <v>76.647</v>
      </c>
      <c r="T56" s="442">
        <f t="shared" si="0"/>
        <v>11.686362510382224</v>
      </c>
      <c r="U56"/>
    </row>
    <row r="57" spans="1:21" s="26" customFormat="1" ht="12.75" customHeight="1">
      <c r="A57" s="19"/>
      <c r="B57" s="214">
        <v>50</v>
      </c>
      <c r="C57" s="608"/>
      <c r="D57" s="576" t="s">
        <v>64</v>
      </c>
      <c r="E57" s="572" t="s">
        <v>188</v>
      </c>
      <c r="F57" s="569">
        <v>57.466</v>
      </c>
      <c r="G57" s="569">
        <v>63.708</v>
      </c>
      <c r="H57" s="569">
        <v>63.697</v>
      </c>
      <c r="I57" s="569">
        <v>63.432</v>
      </c>
      <c r="J57" s="569">
        <v>62.062</v>
      </c>
      <c r="K57" s="569">
        <v>63.133</v>
      </c>
      <c r="L57" s="569">
        <v>54.948</v>
      </c>
      <c r="M57" s="569">
        <v>59.308</v>
      </c>
      <c r="N57" s="569">
        <v>67.31</v>
      </c>
      <c r="O57" s="569">
        <v>58.902</v>
      </c>
      <c r="P57" s="569">
        <v>57.731</v>
      </c>
      <c r="Q57" s="569">
        <v>58.069</v>
      </c>
      <c r="R57" s="569">
        <v>64.933</v>
      </c>
      <c r="S57" s="572">
        <v>65.464</v>
      </c>
      <c r="T57" s="443">
        <f t="shared" si="0"/>
        <v>0.8177660049589548</v>
      </c>
      <c r="U57"/>
    </row>
    <row r="58" spans="1:20" ht="12" customHeight="1">
      <c r="A58" s="19"/>
      <c r="B58" s="214">
        <v>51</v>
      </c>
      <c r="C58" s="607"/>
      <c r="D58" s="575" t="s">
        <v>65</v>
      </c>
      <c r="E58" s="571" t="s">
        <v>183</v>
      </c>
      <c r="F58" s="570">
        <v>55.312</v>
      </c>
      <c r="G58" s="570">
        <v>43.547</v>
      </c>
      <c r="H58" s="570">
        <v>51.545</v>
      </c>
      <c r="I58" s="570">
        <v>55.624</v>
      </c>
      <c r="J58" s="570">
        <v>59.501</v>
      </c>
      <c r="K58" s="570">
        <v>55.197</v>
      </c>
      <c r="L58" s="570">
        <v>59.081</v>
      </c>
      <c r="M58" s="570">
        <v>63.528</v>
      </c>
      <c r="N58" s="570">
        <v>62.597</v>
      </c>
      <c r="O58" s="570">
        <v>61.942</v>
      </c>
      <c r="P58" s="570">
        <v>60.117</v>
      </c>
      <c r="Q58" s="570">
        <v>57.035</v>
      </c>
      <c r="R58" s="570">
        <v>59.458</v>
      </c>
      <c r="S58" s="571">
        <v>64.421</v>
      </c>
      <c r="T58" s="442">
        <f t="shared" si="0"/>
        <v>8.347068518954572</v>
      </c>
    </row>
    <row r="59" spans="1:21" s="26" customFormat="1" ht="12.75" customHeight="1">
      <c r="A59" s="19"/>
      <c r="B59" s="214">
        <v>52</v>
      </c>
      <c r="C59" s="608"/>
      <c r="D59" s="576" t="s">
        <v>368</v>
      </c>
      <c r="E59" s="572" t="s">
        <v>166</v>
      </c>
      <c r="F59" s="569">
        <v>19.504</v>
      </c>
      <c r="G59" s="569">
        <v>24.148</v>
      </c>
      <c r="H59" s="569">
        <v>31.243</v>
      </c>
      <c r="I59" s="569">
        <v>36.354</v>
      </c>
      <c r="J59" s="569">
        <v>44.17</v>
      </c>
      <c r="K59" s="569">
        <v>54.46</v>
      </c>
      <c r="L59" s="569">
        <v>57.864</v>
      </c>
      <c r="M59" s="569">
        <v>66.606</v>
      </c>
      <c r="N59" s="569">
        <v>70.438</v>
      </c>
      <c r="O59" s="569">
        <v>65.096</v>
      </c>
      <c r="P59" s="569">
        <v>64.015</v>
      </c>
      <c r="Q59" s="569">
        <v>62.004</v>
      </c>
      <c r="R59" s="569">
        <v>63.782</v>
      </c>
      <c r="S59" s="572">
        <v>63.428</v>
      </c>
      <c r="T59" s="443">
        <f t="shared" si="0"/>
        <v>-0.5550155216205184</v>
      </c>
      <c r="U59"/>
    </row>
    <row r="60" spans="1:20" ht="12" customHeight="1">
      <c r="A60" s="19"/>
      <c r="B60" s="214">
        <v>53</v>
      </c>
      <c r="C60" s="607"/>
      <c r="D60" s="575" t="s">
        <v>68</v>
      </c>
      <c r="E60" s="571" t="s">
        <v>180</v>
      </c>
      <c r="F60" s="570">
        <v>54.063</v>
      </c>
      <c r="G60" s="570">
        <v>54.581</v>
      </c>
      <c r="H60" s="570">
        <v>55.797</v>
      </c>
      <c r="I60" s="570">
        <v>56.623</v>
      </c>
      <c r="J60" s="570">
        <v>56.282</v>
      </c>
      <c r="K60" s="570">
        <v>54.104</v>
      </c>
      <c r="L60" s="570">
        <v>45.128</v>
      </c>
      <c r="M60" s="570">
        <v>46.381</v>
      </c>
      <c r="N60" s="570">
        <v>53.204</v>
      </c>
      <c r="O60" s="570">
        <v>51.245</v>
      </c>
      <c r="P60" s="570">
        <v>51.288</v>
      </c>
      <c r="Q60" s="570">
        <v>55.57</v>
      </c>
      <c r="R60" s="570">
        <v>53.852</v>
      </c>
      <c r="S60" s="571">
        <v>61.201</v>
      </c>
      <c r="T60" s="442">
        <f t="shared" si="0"/>
        <v>13.646661219639029</v>
      </c>
    </row>
    <row r="61" spans="1:21" s="26" customFormat="1" ht="12.75" customHeight="1">
      <c r="A61" s="19"/>
      <c r="B61" s="214">
        <v>54</v>
      </c>
      <c r="C61" s="608"/>
      <c r="D61" s="576" t="s">
        <v>66</v>
      </c>
      <c r="E61" s="572" t="s">
        <v>177</v>
      </c>
      <c r="F61" s="569">
        <v>49.547</v>
      </c>
      <c r="G61" s="569">
        <v>54.793</v>
      </c>
      <c r="H61" s="569">
        <v>61.311</v>
      </c>
      <c r="I61" s="569">
        <v>65.825</v>
      </c>
      <c r="J61" s="569">
        <v>58.741</v>
      </c>
      <c r="K61" s="569">
        <v>60.067</v>
      </c>
      <c r="L61" s="569">
        <v>53.796</v>
      </c>
      <c r="M61" s="569">
        <v>53.79</v>
      </c>
      <c r="N61" s="569">
        <v>52.67</v>
      </c>
      <c r="O61" s="569">
        <v>50.652</v>
      </c>
      <c r="P61" s="569">
        <v>53.966</v>
      </c>
      <c r="Q61" s="569">
        <v>52.572</v>
      </c>
      <c r="R61" s="569">
        <v>54.741</v>
      </c>
      <c r="S61" s="572">
        <v>61.087</v>
      </c>
      <c r="T61" s="443">
        <f t="shared" si="0"/>
        <v>11.592773241263416</v>
      </c>
      <c r="U61"/>
    </row>
    <row r="62" spans="1:20" ht="12" customHeight="1">
      <c r="A62" s="19"/>
      <c r="B62" s="748">
        <v>55</v>
      </c>
      <c r="C62" s="609"/>
      <c r="D62" s="741" t="s">
        <v>415</v>
      </c>
      <c r="E62" s="742" t="s">
        <v>180</v>
      </c>
      <c r="F62" s="574">
        <v>35.508</v>
      </c>
      <c r="G62" s="574">
        <v>38.645</v>
      </c>
      <c r="H62" s="574">
        <v>39.796</v>
      </c>
      <c r="I62" s="574">
        <v>44.358</v>
      </c>
      <c r="J62" s="574">
        <v>48.159</v>
      </c>
      <c r="K62" s="574">
        <v>48.512</v>
      </c>
      <c r="L62" s="574">
        <v>45.699</v>
      </c>
      <c r="M62" s="574">
        <v>49.135</v>
      </c>
      <c r="N62" s="574">
        <v>53.632</v>
      </c>
      <c r="O62" s="574">
        <v>50.449</v>
      </c>
      <c r="P62" s="574">
        <v>48.694</v>
      </c>
      <c r="Q62" s="574">
        <v>52.12</v>
      </c>
      <c r="R62" s="574">
        <v>55.905</v>
      </c>
      <c r="S62" s="573">
        <v>60.795</v>
      </c>
      <c r="T62" s="444">
        <f t="shared" si="0"/>
        <v>8.746981486450238</v>
      </c>
    </row>
    <row r="63" spans="1:21" s="26" customFormat="1" ht="12.75" customHeight="1">
      <c r="A63" s="19"/>
      <c r="B63"/>
      <c r="C63"/>
      <c r="D63" s="966" t="s">
        <v>268</v>
      </c>
      <c r="E63" s="966"/>
      <c r="F63" s="966"/>
      <c r="G63" s="966"/>
      <c r="H63" s="966"/>
      <c r="I63" s="966"/>
      <c r="J63" s="966"/>
      <c r="K63" s="966"/>
      <c r="L63" s="966"/>
      <c r="M63" s="966"/>
      <c r="N63" s="966"/>
      <c r="O63" s="966"/>
      <c r="P63" s="966"/>
      <c r="Q63" s="966"/>
      <c r="R63" s="966"/>
      <c r="S63" s="966"/>
      <c r="T63" s="966"/>
      <c r="U63"/>
    </row>
    <row r="64" spans="1:4" ht="12" customHeight="1">
      <c r="A64" s="19"/>
      <c r="B64"/>
      <c r="D64" s="150"/>
    </row>
    <row r="65" spans="1:21" s="26" customFormat="1" ht="12.75" customHeight="1">
      <c r="A65" s="19"/>
      <c r="B65"/>
      <c r="C65"/>
      <c r="D65"/>
      <c r="E65"/>
      <c r="F65"/>
      <c r="G65"/>
      <c r="H65"/>
      <c r="I65"/>
      <c r="J65"/>
      <c r="K65"/>
      <c r="L65"/>
      <c r="M65"/>
      <c r="N65"/>
      <c r="O65"/>
      <c r="P65"/>
      <c r="Q65"/>
      <c r="R65"/>
      <c r="S65"/>
      <c r="T65"/>
      <c r="U65"/>
    </row>
    <row r="66" spans="1:21" s="26" customFormat="1" ht="12.75" customHeight="1">
      <c r="A66" s="19"/>
      <c r="B66"/>
      <c r="C66"/>
      <c r="D66"/>
      <c r="E66"/>
      <c r="F66"/>
      <c r="G66"/>
      <c r="H66"/>
      <c r="I66"/>
      <c r="J66"/>
      <c r="K66"/>
      <c r="L66"/>
      <c r="M66"/>
      <c r="N66"/>
      <c r="O66"/>
      <c r="P66"/>
      <c r="Q66"/>
      <c r="R66"/>
      <c r="S66"/>
      <c r="T66"/>
      <c r="U66"/>
    </row>
    <row r="67" spans="1:5" ht="12" customHeight="1">
      <c r="A67" s="19"/>
      <c r="B67"/>
      <c r="E67"/>
    </row>
    <row r="68" spans="1:5" ht="12.75" customHeight="1">
      <c r="A68" s="19"/>
      <c r="B68"/>
      <c r="E68"/>
    </row>
    <row r="69" spans="1:5" ht="12.75" customHeight="1">
      <c r="A69" s="19"/>
      <c r="B69"/>
      <c r="E69"/>
    </row>
    <row r="70" spans="1:21" s="26" customFormat="1" ht="12" customHeight="1">
      <c r="A70" s="19"/>
      <c r="B70"/>
      <c r="C70"/>
      <c r="D70"/>
      <c r="E70"/>
      <c r="F70"/>
      <c r="G70"/>
      <c r="H70"/>
      <c r="I70"/>
      <c r="J70"/>
      <c r="K70"/>
      <c r="L70"/>
      <c r="M70"/>
      <c r="N70"/>
      <c r="O70"/>
      <c r="P70"/>
      <c r="Q70"/>
      <c r="R70"/>
      <c r="S70"/>
      <c r="T70"/>
      <c r="U70"/>
    </row>
    <row r="71" spans="1:2" ht="12" customHeight="1">
      <c r="A71" s="8"/>
      <c r="B71"/>
    </row>
    <row r="72" spans="1:2" ht="12" customHeight="1">
      <c r="A72" s="8"/>
      <c r="B72"/>
    </row>
    <row r="73" spans="1:5" ht="12.75" customHeight="1">
      <c r="A73" s="19"/>
      <c r="B73"/>
      <c r="E73"/>
    </row>
    <row r="74" spans="1:5" ht="12.75" customHeight="1">
      <c r="A74" s="19"/>
      <c r="B74"/>
      <c r="E74"/>
    </row>
    <row r="75" spans="1:5" ht="12.75" customHeight="1">
      <c r="A75" s="19"/>
      <c r="B75"/>
      <c r="E75"/>
    </row>
    <row r="76" spans="1:5" ht="12.75" customHeight="1">
      <c r="A76" s="19"/>
      <c r="B76"/>
      <c r="E76"/>
    </row>
    <row r="77" spans="1:5" ht="12.75" customHeight="1">
      <c r="A77" s="19"/>
      <c r="B77"/>
      <c r="E77"/>
    </row>
    <row r="78" ht="12.75" customHeight="1">
      <c r="A78" s="19"/>
    </row>
    <row r="79" ht="12.75" customHeight="1">
      <c r="A79" s="19"/>
    </row>
    <row r="80" ht="12.75" customHeight="1">
      <c r="A80" s="19"/>
    </row>
    <row r="81" ht="12.75" customHeight="1">
      <c r="A81" s="19"/>
    </row>
    <row r="82" ht="12.75" customHeight="1">
      <c r="A82" s="19"/>
    </row>
    <row r="83" ht="12.75" customHeight="1"/>
    <row r="84" ht="15" customHeight="1"/>
    <row r="85" ht="12.75" customHeight="1"/>
  </sheetData>
  <sheetProtection/>
  <mergeCells count="5">
    <mergeCell ref="D63:T63"/>
    <mergeCell ref="B5:B7"/>
    <mergeCell ref="C2:T2"/>
    <mergeCell ref="C3:T3"/>
    <mergeCell ref="C4:T4"/>
  </mergeCells>
  <printOptions horizontalCentered="1"/>
  <pageMargins left="0.6692913385826772" right="0.6692913385826772" top="0.17" bottom="0.2755905511811024"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BO41"/>
  <sheetViews>
    <sheetView zoomScale="80" zoomScaleNormal="80" zoomScalePageLayoutView="0" workbookViewId="0" topLeftCell="A1">
      <pane xSplit="1" topLeftCell="AF1" activePane="topRight" state="frozen"/>
      <selection pane="topLeft" activeCell="A1" sqref="A1"/>
      <selection pane="topRight" activeCell="BX21" sqref="BX21"/>
    </sheetView>
  </sheetViews>
  <sheetFormatPr defaultColWidth="9.140625" defaultRowHeight="12.75"/>
  <cols>
    <col min="1" max="1" width="4.00390625" style="0" customWidth="1"/>
    <col min="2" max="3" width="6.7109375" style="0" customWidth="1"/>
    <col min="4" max="4" width="7.57421875" style="0" customWidth="1"/>
    <col min="5" max="5" width="9.8515625" style="0" customWidth="1"/>
    <col min="6" max="6" width="10.00390625" style="0" customWidth="1"/>
    <col min="7" max="9" width="7.28125" style="0" customWidth="1"/>
    <col min="10" max="10" width="9.57421875" style="0" bestFit="1" customWidth="1"/>
    <col min="11" max="14" width="9.57421875" style="0" customWidth="1"/>
    <col min="15" max="18" width="6.7109375" style="0" customWidth="1"/>
    <col min="19" max="19" width="9.7109375" style="0" customWidth="1"/>
    <col min="20" max="21" width="6.7109375" style="0" customWidth="1"/>
    <col min="22" max="22" width="9.7109375" style="0" customWidth="1"/>
    <col min="23" max="27" width="9.8515625" style="0" customWidth="1"/>
    <col min="28" max="29" width="5.7109375" style="0" customWidth="1"/>
    <col min="30" max="31" width="6.7109375" style="0" customWidth="1"/>
    <col min="32" max="32" width="7.8515625" style="0" customWidth="1"/>
    <col min="33" max="40" width="6.7109375" style="0" customWidth="1"/>
    <col min="41" max="42" width="5.7109375" style="0" customWidth="1"/>
    <col min="43" max="44" width="6.7109375" style="0" customWidth="1"/>
    <col min="45" max="45" width="8.7109375" style="0" customWidth="1"/>
    <col min="46" max="53" width="6.7109375" style="0" customWidth="1"/>
    <col min="54" max="55" width="5.7109375" style="0" customWidth="1"/>
    <col min="56" max="66" width="6.7109375" style="0" customWidth="1"/>
    <col min="67" max="67" width="4.7109375" style="0" customWidth="1"/>
    <col min="68" max="68" width="4.00390625" style="0" customWidth="1"/>
  </cols>
  <sheetData>
    <row r="1" spans="1:67" ht="14.25" customHeight="1">
      <c r="A1" s="29"/>
      <c r="B1" s="16"/>
      <c r="C1" s="16"/>
      <c r="D1" s="16"/>
      <c r="E1" s="241"/>
      <c r="F1" s="241"/>
      <c r="G1" s="241"/>
      <c r="H1" s="241"/>
      <c r="I1" s="241"/>
      <c r="J1" s="241"/>
      <c r="K1" s="241"/>
      <c r="L1" s="241"/>
      <c r="M1" s="241"/>
      <c r="N1" s="241"/>
      <c r="O1" s="16"/>
      <c r="P1" s="16"/>
      <c r="Q1" s="16"/>
      <c r="R1" s="16"/>
      <c r="S1" s="229"/>
      <c r="T1" s="16"/>
      <c r="U1" s="16"/>
      <c r="V1" s="16"/>
      <c r="W1" s="16"/>
      <c r="X1" s="16"/>
      <c r="Y1" s="16"/>
      <c r="Z1" s="16"/>
      <c r="AA1" s="16"/>
      <c r="BO1" s="30" t="s">
        <v>401</v>
      </c>
    </row>
    <row r="2" spans="1:67" ht="30" customHeight="1">
      <c r="A2" s="933" t="s">
        <v>159</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P2" s="933"/>
      <c r="AQ2" s="933"/>
      <c r="AR2" s="933"/>
      <c r="AS2" s="933"/>
      <c r="AT2" s="933"/>
      <c r="AU2" s="933"/>
      <c r="AV2" s="933"/>
      <c r="AW2" s="933"/>
      <c r="AX2" s="933"/>
      <c r="AY2" s="933"/>
      <c r="AZ2" s="933"/>
      <c r="BA2" s="933"/>
      <c r="BB2" s="933"/>
      <c r="BC2" s="933"/>
      <c r="BD2" s="933"/>
      <c r="BE2" s="933"/>
      <c r="BF2" s="933"/>
      <c r="BG2" s="933"/>
      <c r="BH2" s="933"/>
      <c r="BI2" s="933"/>
      <c r="BJ2" s="933"/>
      <c r="BK2" s="933"/>
      <c r="BL2" s="933"/>
      <c r="BM2" s="933"/>
      <c r="BN2" s="933"/>
      <c r="BO2" s="933"/>
    </row>
    <row r="3" spans="1:67" ht="12.75" customHeight="1">
      <c r="A3" s="140"/>
      <c r="B3" s="971" t="s">
        <v>311</v>
      </c>
      <c r="C3" s="972"/>
      <c r="D3" s="972"/>
      <c r="E3" s="972"/>
      <c r="F3" s="972"/>
      <c r="G3" s="972"/>
      <c r="H3" s="972"/>
      <c r="I3" s="972"/>
      <c r="J3" s="972"/>
      <c r="K3" s="972"/>
      <c r="L3" s="972"/>
      <c r="M3" s="972"/>
      <c r="N3" s="972"/>
      <c r="O3" s="972"/>
      <c r="P3" s="972"/>
      <c r="Q3" s="972"/>
      <c r="R3" s="972"/>
      <c r="S3" s="972"/>
      <c r="T3" s="972"/>
      <c r="U3" s="972"/>
      <c r="V3" s="972"/>
      <c r="W3" s="972"/>
      <c r="X3" s="972"/>
      <c r="Y3" s="972"/>
      <c r="Z3" s="972"/>
      <c r="AA3" s="687"/>
      <c r="AB3" s="971" t="s">
        <v>312</v>
      </c>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687"/>
      <c r="BB3" s="975" t="s">
        <v>382</v>
      </c>
      <c r="BC3" s="976"/>
      <c r="BD3" s="976"/>
      <c r="BE3" s="976"/>
      <c r="BF3" s="976"/>
      <c r="BG3" s="976"/>
      <c r="BH3" s="976"/>
      <c r="BI3" s="976"/>
      <c r="BJ3" s="976"/>
      <c r="BK3" s="976"/>
      <c r="BL3" s="976"/>
      <c r="BM3" s="976"/>
      <c r="BN3" s="689"/>
      <c r="BO3" s="89"/>
    </row>
    <row r="4" spans="1:67" ht="20.25" customHeight="1">
      <c r="A4" s="140"/>
      <c r="B4" s="973" t="s">
        <v>313</v>
      </c>
      <c r="C4" s="974"/>
      <c r="D4" s="974"/>
      <c r="E4" s="974"/>
      <c r="F4" s="974"/>
      <c r="G4" s="974"/>
      <c r="H4" s="974"/>
      <c r="I4" s="974"/>
      <c r="J4" s="974"/>
      <c r="K4" s="974"/>
      <c r="L4" s="974"/>
      <c r="M4" s="974"/>
      <c r="N4" s="974"/>
      <c r="O4" s="974"/>
      <c r="P4" s="974"/>
      <c r="Q4" s="974"/>
      <c r="R4" s="974"/>
      <c r="S4" s="974"/>
      <c r="T4" s="974"/>
      <c r="U4" s="974"/>
      <c r="V4" s="974"/>
      <c r="W4" s="974"/>
      <c r="X4" s="974"/>
      <c r="Y4" s="974"/>
      <c r="Z4" s="974"/>
      <c r="AA4" s="688"/>
      <c r="AB4" s="973" t="s">
        <v>314</v>
      </c>
      <c r="AC4" s="974"/>
      <c r="AD4" s="974"/>
      <c r="AE4" s="974"/>
      <c r="AF4" s="974"/>
      <c r="AG4" s="974"/>
      <c r="AH4" s="974"/>
      <c r="AI4" s="974"/>
      <c r="AJ4" s="974"/>
      <c r="AK4" s="974"/>
      <c r="AL4" s="974"/>
      <c r="AM4" s="974"/>
      <c r="AN4" s="974"/>
      <c r="AO4" s="974"/>
      <c r="AP4" s="974"/>
      <c r="AQ4" s="974"/>
      <c r="AR4" s="974"/>
      <c r="AS4" s="974"/>
      <c r="AT4" s="974"/>
      <c r="AU4" s="974"/>
      <c r="AV4" s="974"/>
      <c r="AW4" s="974"/>
      <c r="AX4" s="974"/>
      <c r="AY4" s="974"/>
      <c r="AZ4" s="974"/>
      <c r="BA4" s="688"/>
      <c r="BB4" s="977"/>
      <c r="BC4" s="978"/>
      <c r="BD4" s="978"/>
      <c r="BE4" s="978"/>
      <c r="BF4" s="978"/>
      <c r="BG4" s="978"/>
      <c r="BH4" s="978"/>
      <c r="BI4" s="978"/>
      <c r="BJ4" s="978"/>
      <c r="BK4" s="978"/>
      <c r="BL4" s="978"/>
      <c r="BM4" s="978"/>
      <c r="BN4" s="690"/>
      <c r="BO4" s="89"/>
    </row>
    <row r="5" spans="1:67" ht="12.75" customHeight="1">
      <c r="A5" s="140"/>
      <c r="B5" s="982" t="s">
        <v>315</v>
      </c>
      <c r="C5" s="980"/>
      <c r="D5" s="980"/>
      <c r="E5" s="980"/>
      <c r="F5" s="980"/>
      <c r="G5" s="980"/>
      <c r="H5" s="980"/>
      <c r="I5" s="980"/>
      <c r="J5" s="980"/>
      <c r="K5" s="980"/>
      <c r="L5" s="980"/>
      <c r="M5" s="980"/>
      <c r="N5" s="983"/>
      <c r="O5" s="979" t="s">
        <v>316</v>
      </c>
      <c r="P5" s="980"/>
      <c r="Q5" s="980"/>
      <c r="R5" s="980"/>
      <c r="S5" s="980"/>
      <c r="T5" s="980"/>
      <c r="U5" s="980"/>
      <c r="V5" s="980"/>
      <c r="W5" s="980"/>
      <c r="X5" s="980"/>
      <c r="Y5" s="980"/>
      <c r="Z5" s="980"/>
      <c r="AA5" s="981"/>
      <c r="AB5" s="982" t="s">
        <v>315</v>
      </c>
      <c r="AC5" s="980"/>
      <c r="AD5" s="980"/>
      <c r="AE5" s="980"/>
      <c r="AF5" s="980"/>
      <c r="AG5" s="980"/>
      <c r="AH5" s="980"/>
      <c r="AI5" s="980"/>
      <c r="AJ5" s="980"/>
      <c r="AK5" s="980"/>
      <c r="AL5" s="980"/>
      <c r="AM5" s="980"/>
      <c r="AN5" s="983"/>
      <c r="AO5" s="979" t="s">
        <v>316</v>
      </c>
      <c r="AP5" s="980"/>
      <c r="AQ5" s="980"/>
      <c r="AR5" s="980"/>
      <c r="AS5" s="980"/>
      <c r="AT5" s="980"/>
      <c r="AU5" s="980"/>
      <c r="AV5" s="980"/>
      <c r="AW5" s="980"/>
      <c r="AX5" s="980"/>
      <c r="AY5" s="980"/>
      <c r="AZ5" s="980"/>
      <c r="BA5" s="686"/>
      <c r="BB5" s="982" t="s">
        <v>315</v>
      </c>
      <c r="BC5" s="980"/>
      <c r="BD5" s="980"/>
      <c r="BE5" s="980"/>
      <c r="BF5" s="980"/>
      <c r="BG5" s="980"/>
      <c r="BH5" s="980"/>
      <c r="BI5" s="980"/>
      <c r="BJ5" s="980"/>
      <c r="BK5" s="980"/>
      <c r="BL5" s="980"/>
      <c r="BM5" s="980"/>
      <c r="BN5" s="981"/>
      <c r="BO5" s="89"/>
    </row>
    <row r="6" spans="1:67" ht="12.75">
      <c r="A6" s="141"/>
      <c r="B6" s="58">
        <v>2004</v>
      </c>
      <c r="C6" s="75">
        <v>2005</v>
      </c>
      <c r="D6" s="75">
        <v>2006</v>
      </c>
      <c r="E6" s="75">
        <v>2007</v>
      </c>
      <c r="F6" s="75">
        <v>2008</v>
      </c>
      <c r="G6" s="75">
        <v>2009</v>
      </c>
      <c r="H6" s="75">
        <v>2010</v>
      </c>
      <c r="I6" s="75">
        <v>2011</v>
      </c>
      <c r="J6" s="75">
        <v>2012</v>
      </c>
      <c r="K6" s="75">
        <v>2013</v>
      </c>
      <c r="L6" s="75">
        <v>2014</v>
      </c>
      <c r="M6" s="75">
        <v>2015</v>
      </c>
      <c r="N6" s="143">
        <v>2016</v>
      </c>
      <c r="O6" s="75">
        <v>2004</v>
      </c>
      <c r="P6" s="75">
        <v>2005</v>
      </c>
      <c r="Q6" s="75">
        <v>2006</v>
      </c>
      <c r="R6" s="75">
        <v>2007</v>
      </c>
      <c r="S6" s="75">
        <v>2008</v>
      </c>
      <c r="T6" s="75">
        <v>2009</v>
      </c>
      <c r="U6" s="75">
        <v>2010</v>
      </c>
      <c r="V6" s="75">
        <v>2011</v>
      </c>
      <c r="W6" s="75">
        <v>2012</v>
      </c>
      <c r="X6" s="75">
        <v>2013</v>
      </c>
      <c r="Y6" s="75">
        <v>2014</v>
      </c>
      <c r="Z6" s="75">
        <v>2015</v>
      </c>
      <c r="AA6" s="76">
        <v>2016</v>
      </c>
      <c r="AB6" s="58">
        <v>2004</v>
      </c>
      <c r="AC6" s="75">
        <v>2005</v>
      </c>
      <c r="AD6" s="75">
        <v>2006</v>
      </c>
      <c r="AE6" s="75">
        <v>2007</v>
      </c>
      <c r="AF6" s="75">
        <v>2008</v>
      </c>
      <c r="AG6" s="75">
        <v>2009</v>
      </c>
      <c r="AH6" s="75">
        <v>2010</v>
      </c>
      <c r="AI6" s="75">
        <v>2011</v>
      </c>
      <c r="AJ6" s="75">
        <v>2012</v>
      </c>
      <c r="AK6" s="75">
        <v>2013</v>
      </c>
      <c r="AL6" s="75">
        <v>2014</v>
      </c>
      <c r="AM6" s="75">
        <v>2015</v>
      </c>
      <c r="AN6" s="143">
        <v>2016</v>
      </c>
      <c r="AO6" s="75">
        <v>2004</v>
      </c>
      <c r="AP6" s="75">
        <v>2005</v>
      </c>
      <c r="AQ6" s="75">
        <v>2006</v>
      </c>
      <c r="AR6" s="75">
        <v>2007</v>
      </c>
      <c r="AS6" s="75">
        <v>2008</v>
      </c>
      <c r="AT6" s="75">
        <v>2009</v>
      </c>
      <c r="AU6" s="75">
        <v>2010</v>
      </c>
      <c r="AV6" s="75">
        <v>2011</v>
      </c>
      <c r="AW6" s="75">
        <v>2012</v>
      </c>
      <c r="AX6" s="75">
        <v>2013</v>
      </c>
      <c r="AY6" s="75">
        <v>2014</v>
      </c>
      <c r="AZ6" s="75">
        <v>2015</v>
      </c>
      <c r="BA6" s="76">
        <v>2016</v>
      </c>
      <c r="BB6" s="58">
        <v>2004</v>
      </c>
      <c r="BC6" s="75">
        <v>2005</v>
      </c>
      <c r="BD6" s="75">
        <v>2006</v>
      </c>
      <c r="BE6" s="75">
        <v>2007</v>
      </c>
      <c r="BF6" s="75">
        <v>2008</v>
      </c>
      <c r="BG6" s="75">
        <v>2009</v>
      </c>
      <c r="BH6" s="75">
        <v>2010</v>
      </c>
      <c r="BI6" s="75">
        <v>2011</v>
      </c>
      <c r="BJ6" s="75">
        <v>2012</v>
      </c>
      <c r="BK6" s="75">
        <v>2013</v>
      </c>
      <c r="BL6" s="75">
        <v>2014</v>
      </c>
      <c r="BM6" s="75">
        <v>2015</v>
      </c>
      <c r="BN6" s="76">
        <v>2016</v>
      </c>
      <c r="BO6" s="142"/>
    </row>
    <row r="7" spans="1:67" ht="12.75">
      <c r="A7" s="749" t="s">
        <v>501</v>
      </c>
      <c r="B7" s="750"/>
      <c r="C7" s="751"/>
      <c r="D7" s="751"/>
      <c r="E7" s="751"/>
      <c r="F7" s="751">
        <v>216447</v>
      </c>
      <c r="G7" s="751">
        <v>211202</v>
      </c>
      <c r="H7" s="751">
        <v>206834</v>
      </c>
      <c r="I7" s="751">
        <v>200490</v>
      </c>
      <c r="J7" s="751">
        <v>192543</v>
      </c>
      <c r="K7" s="751">
        <v>193550</v>
      </c>
      <c r="L7" s="751">
        <v>191054</v>
      </c>
      <c r="M7" s="751">
        <v>192120</v>
      </c>
      <c r="N7" s="752">
        <v>192243</v>
      </c>
      <c r="O7" s="751"/>
      <c r="P7" s="751"/>
      <c r="Q7" s="751"/>
      <c r="R7" s="751"/>
      <c r="S7" s="751">
        <v>214739</v>
      </c>
      <c r="T7" s="751">
        <v>208068</v>
      </c>
      <c r="U7" s="751">
        <v>206411</v>
      </c>
      <c r="V7" s="751">
        <v>200334</v>
      </c>
      <c r="W7" s="751">
        <v>191944</v>
      </c>
      <c r="X7" s="751">
        <v>193189</v>
      </c>
      <c r="Y7" s="751">
        <v>190715</v>
      </c>
      <c r="Z7" s="751">
        <v>191002</v>
      </c>
      <c r="AA7" s="753">
        <v>191342</v>
      </c>
      <c r="AB7" s="750"/>
      <c r="AC7" s="751"/>
      <c r="AD7" s="751"/>
      <c r="AE7" s="751"/>
      <c r="AF7" s="751"/>
      <c r="AG7" s="751"/>
      <c r="AH7" s="751"/>
      <c r="AI7" s="751">
        <v>5939</v>
      </c>
      <c r="AJ7" s="751">
        <v>6860</v>
      </c>
      <c r="AK7" s="751">
        <v>6485</v>
      </c>
      <c r="AL7" s="751">
        <v>5677</v>
      </c>
      <c r="AM7" s="751">
        <v>6113</v>
      </c>
      <c r="AN7" s="752">
        <v>6479</v>
      </c>
      <c r="AO7" s="751"/>
      <c r="AP7" s="751"/>
      <c r="AQ7" s="751"/>
      <c r="AR7" s="751"/>
      <c r="AS7" s="751"/>
      <c r="AT7" s="751"/>
      <c r="AU7" s="751"/>
      <c r="AV7" s="751">
        <v>6039</v>
      </c>
      <c r="AW7" s="751">
        <v>6858</v>
      </c>
      <c r="AX7" s="751">
        <v>6805</v>
      </c>
      <c r="AY7" s="751">
        <v>5681</v>
      </c>
      <c r="AZ7" s="751">
        <v>6197</v>
      </c>
      <c r="BA7" s="753">
        <v>6438</v>
      </c>
      <c r="BB7" s="754"/>
      <c r="BC7" s="755"/>
      <c r="BD7" s="755"/>
      <c r="BE7" s="755"/>
      <c r="BF7" s="755"/>
      <c r="BG7" s="755"/>
      <c r="BH7" s="755"/>
      <c r="BI7" s="755"/>
      <c r="BJ7" s="755"/>
      <c r="BK7" s="755"/>
      <c r="BL7" s="755"/>
      <c r="BM7" s="755"/>
      <c r="BN7" s="756"/>
      <c r="BO7" s="749" t="s">
        <v>501</v>
      </c>
    </row>
    <row r="8" spans="1:67" ht="12.75">
      <c r="A8" s="97" t="s">
        <v>178</v>
      </c>
      <c r="B8" s="358">
        <v>366</v>
      </c>
      <c r="C8" s="359">
        <v>391</v>
      </c>
      <c r="D8" s="359">
        <v>375</v>
      </c>
      <c r="E8" s="359">
        <v>378</v>
      </c>
      <c r="F8" s="359">
        <v>333</v>
      </c>
      <c r="G8" s="359">
        <v>276</v>
      </c>
      <c r="H8" s="359">
        <v>300</v>
      </c>
      <c r="I8" s="359">
        <v>243</v>
      </c>
      <c r="J8" s="359">
        <v>229</v>
      </c>
      <c r="K8" s="359">
        <v>194</v>
      </c>
      <c r="L8" s="359">
        <v>219</v>
      </c>
      <c r="M8" s="359">
        <v>177</v>
      </c>
      <c r="N8" s="360">
        <v>167</v>
      </c>
      <c r="O8" s="359">
        <v>378</v>
      </c>
      <c r="P8" s="359">
        <v>391</v>
      </c>
      <c r="Q8" s="359">
        <v>374</v>
      </c>
      <c r="R8" s="359">
        <v>381</v>
      </c>
      <c r="S8" s="359">
        <v>339</v>
      </c>
      <c r="T8" s="359">
        <v>290</v>
      </c>
      <c r="U8" s="359">
        <v>310</v>
      </c>
      <c r="V8" s="359">
        <v>254</v>
      </c>
      <c r="W8" s="359">
        <v>237</v>
      </c>
      <c r="X8" s="359">
        <v>197</v>
      </c>
      <c r="Y8" s="359">
        <v>218</v>
      </c>
      <c r="Z8" s="359">
        <v>176</v>
      </c>
      <c r="AA8" s="371">
        <v>169</v>
      </c>
      <c r="AB8" s="358">
        <v>21</v>
      </c>
      <c r="AC8" s="359">
        <v>70</v>
      </c>
      <c r="AD8" s="359">
        <v>70</v>
      </c>
      <c r="AE8" s="359">
        <v>75</v>
      </c>
      <c r="AF8" s="359">
        <v>63</v>
      </c>
      <c r="AG8" s="359">
        <v>94</v>
      </c>
      <c r="AH8" s="359">
        <v>109</v>
      </c>
      <c r="AI8" s="359">
        <v>164</v>
      </c>
      <c r="AJ8" s="359">
        <v>191</v>
      </c>
      <c r="AK8" s="359">
        <v>236</v>
      </c>
      <c r="AL8" s="359">
        <v>190</v>
      </c>
      <c r="AM8" s="359">
        <v>245</v>
      </c>
      <c r="AN8" s="360">
        <v>391</v>
      </c>
      <c r="AO8" s="359">
        <v>22</v>
      </c>
      <c r="AP8" s="359">
        <v>71</v>
      </c>
      <c r="AQ8" s="359">
        <v>71</v>
      </c>
      <c r="AR8" s="359">
        <v>76</v>
      </c>
      <c r="AS8" s="359">
        <v>64</v>
      </c>
      <c r="AT8" s="359">
        <v>91</v>
      </c>
      <c r="AU8" s="359">
        <v>109</v>
      </c>
      <c r="AV8" s="359">
        <v>164</v>
      </c>
      <c r="AW8" s="359">
        <v>193</v>
      </c>
      <c r="AX8" s="359">
        <v>232</v>
      </c>
      <c r="AY8" s="359">
        <v>194</v>
      </c>
      <c r="AZ8" s="359">
        <v>245</v>
      </c>
      <c r="BA8" s="371">
        <v>391</v>
      </c>
      <c r="BB8" s="361"/>
      <c r="BC8" s="362"/>
      <c r="BD8" s="362"/>
      <c r="BE8" s="362"/>
      <c r="BF8" s="362"/>
      <c r="BG8" s="362"/>
      <c r="BH8" s="362"/>
      <c r="BI8" s="362"/>
      <c r="BJ8" s="362"/>
      <c r="BK8" s="362"/>
      <c r="BL8" s="362"/>
      <c r="BM8" s="362"/>
      <c r="BN8" s="363"/>
      <c r="BO8" s="97" t="s">
        <v>178</v>
      </c>
    </row>
    <row r="9" spans="1:67" ht="12.75" customHeight="1">
      <c r="A9" s="96" t="s">
        <v>161</v>
      </c>
      <c r="B9" s="364"/>
      <c r="C9" s="365"/>
      <c r="D9" s="365"/>
      <c r="E9" s="365">
        <v>5</v>
      </c>
      <c r="F9" s="365">
        <v>4</v>
      </c>
      <c r="G9" s="365">
        <v>0</v>
      </c>
      <c r="H9" s="365">
        <v>0</v>
      </c>
      <c r="I9" s="365">
        <v>0</v>
      </c>
      <c r="J9" s="365">
        <v>0</v>
      </c>
      <c r="K9" s="365">
        <v>0</v>
      </c>
      <c r="L9" s="365">
        <v>0</v>
      </c>
      <c r="M9" s="365">
        <v>0</v>
      </c>
      <c r="N9" s="366">
        <v>0</v>
      </c>
      <c r="O9" s="365"/>
      <c r="P9" s="365"/>
      <c r="Q9" s="365"/>
      <c r="R9" s="365">
        <v>5</v>
      </c>
      <c r="S9" s="365">
        <v>4</v>
      </c>
      <c r="T9" s="365">
        <v>0</v>
      </c>
      <c r="U9" s="365">
        <v>0</v>
      </c>
      <c r="V9" s="365">
        <v>0</v>
      </c>
      <c r="W9" s="365">
        <v>1</v>
      </c>
      <c r="X9" s="365">
        <v>1</v>
      </c>
      <c r="Y9" s="365">
        <v>1</v>
      </c>
      <c r="Z9" s="365">
        <v>2</v>
      </c>
      <c r="AA9" s="370">
        <v>3</v>
      </c>
      <c r="AB9" s="364"/>
      <c r="AC9" s="365"/>
      <c r="AD9" s="365"/>
      <c r="AE9" s="365">
        <v>0</v>
      </c>
      <c r="AF9" s="365"/>
      <c r="AG9" s="365">
        <v>0</v>
      </c>
      <c r="AH9" s="365">
        <v>1</v>
      </c>
      <c r="AI9" s="365"/>
      <c r="AJ9" s="365"/>
      <c r="AK9" s="365">
        <v>1</v>
      </c>
      <c r="AL9" s="365">
        <v>0</v>
      </c>
      <c r="AM9" s="365">
        <v>0</v>
      </c>
      <c r="AN9" s="366">
        <v>0</v>
      </c>
      <c r="AO9" s="365"/>
      <c r="AP9" s="365"/>
      <c r="AQ9" s="365"/>
      <c r="AR9" s="365"/>
      <c r="AS9" s="365"/>
      <c r="AT9" s="365"/>
      <c r="AU9" s="365"/>
      <c r="AV9" s="365"/>
      <c r="AW9" s="365"/>
      <c r="AX9" s="365">
        <v>1</v>
      </c>
      <c r="AY9" s="365">
        <v>0</v>
      </c>
      <c r="AZ9" s="365">
        <v>0</v>
      </c>
      <c r="BA9" s="370"/>
      <c r="BB9" s="367"/>
      <c r="BC9" s="368"/>
      <c r="BD9" s="368"/>
      <c r="BE9" s="365">
        <v>19</v>
      </c>
      <c r="BF9" s="365">
        <v>21</v>
      </c>
      <c r="BG9" s="365">
        <v>21</v>
      </c>
      <c r="BH9" s="365">
        <v>11</v>
      </c>
      <c r="BI9" s="368">
        <v>17</v>
      </c>
      <c r="BJ9" s="368">
        <v>23</v>
      </c>
      <c r="BK9" s="368">
        <v>29</v>
      </c>
      <c r="BL9" s="368">
        <v>77</v>
      </c>
      <c r="BM9" s="368">
        <v>18</v>
      </c>
      <c r="BN9" s="369">
        <v>8</v>
      </c>
      <c r="BO9" s="96" t="s">
        <v>161</v>
      </c>
    </row>
    <row r="10" spans="1:67" ht="12.75">
      <c r="A10" s="97" t="s">
        <v>163</v>
      </c>
      <c r="B10" s="434" t="s">
        <v>193</v>
      </c>
      <c r="C10" s="435" t="s">
        <v>193</v>
      </c>
      <c r="D10" s="435" t="s">
        <v>193</v>
      </c>
      <c r="E10" s="435" t="s">
        <v>193</v>
      </c>
      <c r="F10" s="435" t="s">
        <v>193</v>
      </c>
      <c r="G10" s="435" t="s">
        <v>193</v>
      </c>
      <c r="H10" s="435" t="s">
        <v>193</v>
      </c>
      <c r="I10" s="435" t="s">
        <v>193</v>
      </c>
      <c r="J10" s="435" t="s">
        <v>193</v>
      </c>
      <c r="K10" s="435" t="s">
        <v>193</v>
      </c>
      <c r="L10" s="435" t="s">
        <v>193</v>
      </c>
      <c r="M10" s="449" t="s">
        <v>193</v>
      </c>
      <c r="N10" s="445" t="s">
        <v>193</v>
      </c>
      <c r="O10" s="435" t="s">
        <v>193</v>
      </c>
      <c r="P10" s="435" t="s">
        <v>193</v>
      </c>
      <c r="Q10" s="435" t="s">
        <v>193</v>
      </c>
      <c r="R10" s="435" t="s">
        <v>193</v>
      </c>
      <c r="S10" s="435" t="s">
        <v>193</v>
      </c>
      <c r="T10" s="435" t="s">
        <v>193</v>
      </c>
      <c r="U10" s="435" t="s">
        <v>193</v>
      </c>
      <c r="V10" s="435" t="s">
        <v>193</v>
      </c>
      <c r="W10" s="435" t="s">
        <v>193</v>
      </c>
      <c r="X10" s="449" t="s">
        <v>193</v>
      </c>
      <c r="Y10" s="449" t="s">
        <v>193</v>
      </c>
      <c r="Z10" s="449" t="s">
        <v>193</v>
      </c>
      <c r="AA10" s="453" t="s">
        <v>193</v>
      </c>
      <c r="AB10" s="436" t="s">
        <v>193</v>
      </c>
      <c r="AC10" s="435" t="s">
        <v>193</v>
      </c>
      <c r="AD10" s="435" t="s">
        <v>193</v>
      </c>
      <c r="AE10" s="435" t="s">
        <v>193</v>
      </c>
      <c r="AF10" s="435" t="s">
        <v>193</v>
      </c>
      <c r="AG10" s="435" t="s">
        <v>193</v>
      </c>
      <c r="AH10" s="435" t="s">
        <v>193</v>
      </c>
      <c r="AI10" s="435" t="s">
        <v>193</v>
      </c>
      <c r="AJ10" s="435" t="s">
        <v>193</v>
      </c>
      <c r="AK10" s="435" t="s">
        <v>193</v>
      </c>
      <c r="AL10" s="435" t="s">
        <v>193</v>
      </c>
      <c r="AM10" s="449" t="s">
        <v>193</v>
      </c>
      <c r="AN10" s="445" t="s">
        <v>193</v>
      </c>
      <c r="AO10" s="435" t="s">
        <v>193</v>
      </c>
      <c r="AP10" s="435" t="s">
        <v>193</v>
      </c>
      <c r="AQ10" s="435" t="s">
        <v>193</v>
      </c>
      <c r="AR10" s="435" t="s">
        <v>193</v>
      </c>
      <c r="AS10" s="435" t="s">
        <v>193</v>
      </c>
      <c r="AT10" s="435" t="s">
        <v>193</v>
      </c>
      <c r="AU10" s="435" t="s">
        <v>193</v>
      </c>
      <c r="AV10" s="435" t="s">
        <v>193</v>
      </c>
      <c r="AW10" s="435" t="s">
        <v>193</v>
      </c>
      <c r="AX10" s="435" t="s">
        <v>193</v>
      </c>
      <c r="AY10" s="435" t="s">
        <v>193</v>
      </c>
      <c r="AZ10" s="449" t="s">
        <v>193</v>
      </c>
      <c r="BA10" s="453" t="s">
        <v>193</v>
      </c>
      <c r="BB10" s="436" t="s">
        <v>193</v>
      </c>
      <c r="BC10" s="435" t="s">
        <v>193</v>
      </c>
      <c r="BD10" s="435" t="s">
        <v>193</v>
      </c>
      <c r="BE10" s="435" t="s">
        <v>193</v>
      </c>
      <c r="BF10" s="435" t="s">
        <v>193</v>
      </c>
      <c r="BG10" s="435" t="s">
        <v>193</v>
      </c>
      <c r="BH10" s="435" t="s">
        <v>193</v>
      </c>
      <c r="BI10" s="435" t="s">
        <v>193</v>
      </c>
      <c r="BJ10" s="435" t="s">
        <v>193</v>
      </c>
      <c r="BK10" s="435" t="s">
        <v>193</v>
      </c>
      <c r="BL10" s="435" t="s">
        <v>193</v>
      </c>
      <c r="BM10" s="449" t="s">
        <v>193</v>
      </c>
      <c r="BN10" s="453" t="s">
        <v>193</v>
      </c>
      <c r="BO10" s="97" t="s">
        <v>163</v>
      </c>
    </row>
    <row r="11" spans="1:67" ht="12.75">
      <c r="A11" s="96" t="s">
        <v>174</v>
      </c>
      <c r="B11" s="364">
        <v>24194</v>
      </c>
      <c r="C11" s="365">
        <v>23841</v>
      </c>
      <c r="D11" s="365">
        <v>23937</v>
      </c>
      <c r="E11" s="365">
        <v>24057</v>
      </c>
      <c r="F11" s="365">
        <v>23172</v>
      </c>
      <c r="G11" s="365">
        <v>21604</v>
      </c>
      <c r="H11" s="365">
        <v>20851</v>
      </c>
      <c r="I11" s="365">
        <v>20562</v>
      </c>
      <c r="J11" s="365">
        <v>20302</v>
      </c>
      <c r="K11" s="365">
        <v>20459</v>
      </c>
      <c r="L11" s="365">
        <v>20524</v>
      </c>
      <c r="M11" s="365">
        <v>20671</v>
      </c>
      <c r="N11" s="366">
        <v>20622</v>
      </c>
      <c r="O11" s="365">
        <v>24156</v>
      </c>
      <c r="P11" s="365">
        <v>23837</v>
      </c>
      <c r="Q11" s="365">
        <v>23945</v>
      </c>
      <c r="R11" s="365">
        <v>24063</v>
      </c>
      <c r="S11" s="365">
        <v>23170</v>
      </c>
      <c r="T11" s="365">
        <v>21548</v>
      </c>
      <c r="U11" s="365">
        <v>20803</v>
      </c>
      <c r="V11" s="365">
        <v>20530</v>
      </c>
      <c r="W11" s="365">
        <v>20228</v>
      </c>
      <c r="X11" s="365">
        <v>20387</v>
      </c>
      <c r="Y11" s="365">
        <v>20411</v>
      </c>
      <c r="Z11" s="365">
        <v>20609</v>
      </c>
      <c r="AA11" s="370">
        <v>20598</v>
      </c>
      <c r="AB11" s="364">
        <v>104</v>
      </c>
      <c r="AC11" s="365">
        <v>122</v>
      </c>
      <c r="AD11" s="365">
        <v>131</v>
      </c>
      <c r="AE11" s="365">
        <v>144</v>
      </c>
      <c r="AF11" s="365">
        <v>157</v>
      </c>
      <c r="AG11" s="365">
        <v>209</v>
      </c>
      <c r="AH11" s="365">
        <v>338</v>
      </c>
      <c r="AI11" s="365">
        <v>216</v>
      </c>
      <c r="AJ11" s="365">
        <v>216</v>
      </c>
      <c r="AK11" s="365">
        <v>209</v>
      </c>
      <c r="AL11" s="365">
        <v>209</v>
      </c>
      <c r="AM11" s="365">
        <v>183</v>
      </c>
      <c r="AN11" s="366">
        <v>170</v>
      </c>
      <c r="AO11" s="365">
        <v>102</v>
      </c>
      <c r="AP11" s="365">
        <v>124</v>
      </c>
      <c r="AQ11" s="365">
        <v>132</v>
      </c>
      <c r="AR11" s="365">
        <v>145</v>
      </c>
      <c r="AS11" s="365">
        <v>158</v>
      </c>
      <c r="AT11" s="365">
        <v>199</v>
      </c>
      <c r="AU11" s="365"/>
      <c r="AV11" s="365">
        <v>219</v>
      </c>
      <c r="AW11" s="365">
        <v>219</v>
      </c>
      <c r="AX11" s="365">
        <v>211</v>
      </c>
      <c r="AY11" s="365">
        <v>209</v>
      </c>
      <c r="AZ11" s="365">
        <v>184</v>
      </c>
      <c r="BA11" s="370">
        <v>172</v>
      </c>
      <c r="BB11" s="364">
        <v>188</v>
      </c>
      <c r="BC11" s="365">
        <v>228</v>
      </c>
      <c r="BD11" s="365">
        <v>232</v>
      </c>
      <c r="BE11" s="365">
        <v>258</v>
      </c>
      <c r="BF11" s="365">
        <v>294</v>
      </c>
      <c r="BG11" s="365">
        <v>309</v>
      </c>
      <c r="BH11" s="365"/>
      <c r="BI11" s="365">
        <v>438</v>
      </c>
      <c r="BJ11" s="365">
        <v>438</v>
      </c>
      <c r="BK11" s="365">
        <v>562</v>
      </c>
      <c r="BL11" s="365">
        <v>385</v>
      </c>
      <c r="BM11" s="365">
        <v>399</v>
      </c>
      <c r="BN11" s="370">
        <v>500</v>
      </c>
      <c r="BO11" s="96" t="s">
        <v>174</v>
      </c>
    </row>
    <row r="12" spans="1:67" ht="12.75">
      <c r="A12" s="97" t="s">
        <v>179</v>
      </c>
      <c r="B12" s="358">
        <v>14640</v>
      </c>
      <c r="C12" s="359">
        <v>14483</v>
      </c>
      <c r="D12" s="359">
        <v>14309</v>
      </c>
      <c r="E12" s="359">
        <v>14766</v>
      </c>
      <c r="F12" s="359">
        <v>14113</v>
      </c>
      <c r="G12" s="359">
        <v>14296</v>
      </c>
      <c r="H12" s="359">
        <v>13960</v>
      </c>
      <c r="I12" s="359">
        <v>14187</v>
      </c>
      <c r="J12" s="359">
        <v>14250</v>
      </c>
      <c r="K12" s="359">
        <v>14085</v>
      </c>
      <c r="L12" s="359">
        <v>14576</v>
      </c>
      <c r="M12" s="359">
        <v>14321</v>
      </c>
      <c r="N12" s="360">
        <v>14609</v>
      </c>
      <c r="O12" s="359">
        <v>14815</v>
      </c>
      <c r="P12" s="359">
        <v>14622</v>
      </c>
      <c r="Q12" s="359">
        <v>14514</v>
      </c>
      <c r="R12" s="359">
        <v>14951</v>
      </c>
      <c r="S12" s="359">
        <v>14111</v>
      </c>
      <c r="T12" s="359">
        <v>14417</v>
      </c>
      <c r="U12" s="359">
        <v>14095</v>
      </c>
      <c r="V12" s="359">
        <v>14186</v>
      </c>
      <c r="W12" s="359">
        <v>14114</v>
      </c>
      <c r="X12" s="359">
        <v>14497</v>
      </c>
      <c r="Y12" s="359">
        <v>15099</v>
      </c>
      <c r="Z12" s="359">
        <v>14540</v>
      </c>
      <c r="AA12" s="371">
        <v>14638</v>
      </c>
      <c r="AB12" s="358">
        <v>178</v>
      </c>
      <c r="AC12" s="359">
        <v>194</v>
      </c>
      <c r="AD12" s="359">
        <v>219</v>
      </c>
      <c r="AE12" s="359">
        <v>264</v>
      </c>
      <c r="AF12" s="359">
        <v>372</v>
      </c>
      <c r="AG12" s="359">
        <v>454</v>
      </c>
      <c r="AH12" s="359">
        <v>364</v>
      </c>
      <c r="AI12" s="359">
        <v>430</v>
      </c>
      <c r="AJ12" s="359">
        <v>559</v>
      </c>
      <c r="AK12" s="359">
        <v>645</v>
      </c>
      <c r="AL12" s="359">
        <v>558</v>
      </c>
      <c r="AM12" s="359">
        <v>622</v>
      </c>
      <c r="AN12" s="360">
        <v>813</v>
      </c>
      <c r="AO12" s="359">
        <v>182</v>
      </c>
      <c r="AP12" s="359">
        <v>191</v>
      </c>
      <c r="AQ12" s="359">
        <v>213</v>
      </c>
      <c r="AR12" s="359">
        <v>219</v>
      </c>
      <c r="AS12" s="359">
        <v>349</v>
      </c>
      <c r="AT12" s="359">
        <v>407</v>
      </c>
      <c r="AU12" s="359">
        <v>361</v>
      </c>
      <c r="AV12" s="359">
        <v>430</v>
      </c>
      <c r="AW12" s="359">
        <v>558</v>
      </c>
      <c r="AX12" s="359">
        <v>622</v>
      </c>
      <c r="AY12" s="359">
        <v>546</v>
      </c>
      <c r="AZ12" s="359">
        <v>603</v>
      </c>
      <c r="BA12" s="371">
        <v>788</v>
      </c>
      <c r="BB12" s="361"/>
      <c r="BC12" s="362"/>
      <c r="BD12" s="362"/>
      <c r="BE12" s="362"/>
      <c r="BF12" s="362"/>
      <c r="BG12" s="362"/>
      <c r="BH12" s="362"/>
      <c r="BI12" s="362"/>
      <c r="BJ12" s="362"/>
      <c r="BK12" s="362"/>
      <c r="BL12" s="362"/>
      <c r="BM12" s="362"/>
      <c r="BN12" s="363"/>
      <c r="BO12" s="97" t="s">
        <v>179</v>
      </c>
    </row>
    <row r="13" spans="1:67" ht="12.75">
      <c r="A13" s="96" t="s">
        <v>164</v>
      </c>
      <c r="B13" s="364">
        <v>3231</v>
      </c>
      <c r="C13" s="365">
        <v>4330</v>
      </c>
      <c r="D13" s="365">
        <v>4287</v>
      </c>
      <c r="E13" s="365">
        <v>4323</v>
      </c>
      <c r="F13" s="365">
        <v>4585</v>
      </c>
      <c r="G13" s="365">
        <v>4556</v>
      </c>
      <c r="H13" s="365">
        <v>5569</v>
      </c>
      <c r="I13" s="365">
        <v>5905</v>
      </c>
      <c r="J13" s="365">
        <v>6285</v>
      </c>
      <c r="K13" s="365">
        <v>6541</v>
      </c>
      <c r="L13" s="365">
        <v>6791</v>
      </c>
      <c r="M13" s="365">
        <v>7056</v>
      </c>
      <c r="N13" s="366">
        <v>7129</v>
      </c>
      <c r="O13" s="365">
        <v>3221</v>
      </c>
      <c r="P13" s="365">
        <v>4308</v>
      </c>
      <c r="Q13" s="365">
        <v>4259</v>
      </c>
      <c r="R13" s="365">
        <v>4342</v>
      </c>
      <c r="S13" s="365">
        <v>4605</v>
      </c>
      <c r="T13" s="365">
        <v>4584</v>
      </c>
      <c r="U13" s="365">
        <v>5616</v>
      </c>
      <c r="V13" s="365">
        <v>5935</v>
      </c>
      <c r="W13" s="365">
        <v>6352</v>
      </c>
      <c r="X13" s="365">
        <v>6588</v>
      </c>
      <c r="Y13" s="365">
        <v>6847</v>
      </c>
      <c r="Z13" s="365">
        <v>7097</v>
      </c>
      <c r="AA13" s="370">
        <v>7192</v>
      </c>
      <c r="AB13" s="364"/>
      <c r="AC13" s="365"/>
      <c r="AD13" s="365"/>
      <c r="AE13" s="365"/>
      <c r="AF13" s="365"/>
      <c r="AG13" s="365"/>
      <c r="AH13" s="365"/>
      <c r="AI13" s="365">
        <v>3</v>
      </c>
      <c r="AJ13" s="365">
        <v>8</v>
      </c>
      <c r="AK13" s="365">
        <v>8</v>
      </c>
      <c r="AL13" s="365">
        <v>8</v>
      </c>
      <c r="AM13" s="365">
        <v>6</v>
      </c>
      <c r="AN13" s="366">
        <v>6</v>
      </c>
      <c r="AO13" s="365"/>
      <c r="AP13" s="365"/>
      <c r="AQ13" s="365"/>
      <c r="AR13" s="365"/>
      <c r="AS13" s="365"/>
      <c r="AT13" s="365"/>
      <c r="AU13" s="365"/>
      <c r="AV13" s="365">
        <v>4</v>
      </c>
      <c r="AW13" s="365">
        <v>8</v>
      </c>
      <c r="AX13" s="365">
        <v>8</v>
      </c>
      <c r="AY13" s="365">
        <v>8</v>
      </c>
      <c r="AZ13" s="365">
        <v>6</v>
      </c>
      <c r="BA13" s="370">
        <v>6</v>
      </c>
      <c r="BB13" s="364">
        <v>284</v>
      </c>
      <c r="BC13" s="365">
        <v>307</v>
      </c>
      <c r="BD13" s="365">
        <v>313</v>
      </c>
      <c r="BE13" s="365">
        <v>294</v>
      </c>
      <c r="BF13" s="365">
        <v>378</v>
      </c>
      <c r="BG13" s="365">
        <v>417</v>
      </c>
      <c r="BH13" s="365">
        <v>392</v>
      </c>
      <c r="BI13" s="365">
        <v>436</v>
      </c>
      <c r="BJ13" s="365">
        <v>425</v>
      </c>
      <c r="BK13" s="365">
        <v>509</v>
      </c>
      <c r="BL13" s="365">
        <v>470</v>
      </c>
      <c r="BM13" s="365">
        <v>493</v>
      </c>
      <c r="BN13" s="370">
        <v>497</v>
      </c>
      <c r="BO13" s="96" t="s">
        <v>164</v>
      </c>
    </row>
    <row r="14" spans="1:67" ht="12.75">
      <c r="A14" s="97" t="s">
        <v>182</v>
      </c>
      <c r="B14" s="358">
        <v>1776</v>
      </c>
      <c r="C14" s="359">
        <v>1637</v>
      </c>
      <c r="D14" s="359">
        <v>1572</v>
      </c>
      <c r="E14" s="359">
        <v>1578</v>
      </c>
      <c r="F14" s="359">
        <v>1492</v>
      </c>
      <c r="G14" s="359">
        <v>1439</v>
      </c>
      <c r="H14" s="359">
        <v>1544</v>
      </c>
      <c r="I14" s="359">
        <v>1443</v>
      </c>
      <c r="J14" s="359">
        <v>1383</v>
      </c>
      <c r="K14" s="359">
        <v>1361</v>
      </c>
      <c r="L14" s="359">
        <v>1372</v>
      </c>
      <c r="M14" s="359">
        <v>1358</v>
      </c>
      <c r="N14" s="360">
        <v>1360</v>
      </c>
      <c r="O14" s="359">
        <v>1774</v>
      </c>
      <c r="P14" s="359">
        <v>1609</v>
      </c>
      <c r="Q14" s="359">
        <v>1542</v>
      </c>
      <c r="R14" s="359">
        <v>1542</v>
      </c>
      <c r="S14" s="359">
        <v>1470</v>
      </c>
      <c r="T14" s="359">
        <v>1436</v>
      </c>
      <c r="U14" s="359">
        <v>1535</v>
      </c>
      <c r="V14" s="359">
        <v>1458</v>
      </c>
      <c r="W14" s="359">
        <v>1374</v>
      </c>
      <c r="X14" s="359">
        <v>1383</v>
      </c>
      <c r="Y14" s="359">
        <v>1381</v>
      </c>
      <c r="Z14" s="359">
        <v>1392</v>
      </c>
      <c r="AA14" s="371">
        <v>1352</v>
      </c>
      <c r="AB14" s="358">
        <v>0</v>
      </c>
      <c r="AC14" s="359">
        <v>30</v>
      </c>
      <c r="AD14" s="359">
        <v>93</v>
      </c>
      <c r="AE14" s="359">
        <v>104</v>
      </c>
      <c r="AF14" s="359">
        <v>146</v>
      </c>
      <c r="AG14" s="359">
        <v>2</v>
      </c>
      <c r="AH14" s="359">
        <v>5</v>
      </c>
      <c r="AI14" s="359">
        <v>3</v>
      </c>
      <c r="AJ14" s="359">
        <v>0</v>
      </c>
      <c r="AK14" s="359">
        <v>1</v>
      </c>
      <c r="AL14" s="359">
        <v>1</v>
      </c>
      <c r="AM14" s="359">
        <v>1</v>
      </c>
      <c r="AN14" s="360">
        <v>3</v>
      </c>
      <c r="AO14" s="359">
        <v>0</v>
      </c>
      <c r="AP14" s="359"/>
      <c r="AQ14" s="359"/>
      <c r="AR14" s="359"/>
      <c r="AS14" s="359"/>
      <c r="AT14" s="359">
        <v>1</v>
      </c>
      <c r="AU14" s="359">
        <v>4</v>
      </c>
      <c r="AV14" s="359">
        <v>2</v>
      </c>
      <c r="AW14" s="359">
        <v>0</v>
      </c>
      <c r="AX14" s="359">
        <v>1</v>
      </c>
      <c r="AY14" s="359">
        <v>1</v>
      </c>
      <c r="AZ14" s="359">
        <v>1</v>
      </c>
      <c r="BA14" s="371">
        <v>3</v>
      </c>
      <c r="BB14" s="358">
        <v>46</v>
      </c>
      <c r="BC14" s="359">
        <v>52</v>
      </c>
      <c r="BD14" s="359"/>
      <c r="BE14" s="359">
        <v>37</v>
      </c>
      <c r="BF14" s="359"/>
      <c r="BG14" s="359">
        <v>106</v>
      </c>
      <c r="BH14" s="359">
        <v>172</v>
      </c>
      <c r="BI14" s="359">
        <v>203</v>
      </c>
      <c r="BJ14" s="359">
        <v>162</v>
      </c>
      <c r="BK14" s="359">
        <v>208</v>
      </c>
      <c r="BL14" s="359">
        <v>203</v>
      </c>
      <c r="BM14" s="359">
        <v>242</v>
      </c>
      <c r="BN14" s="371">
        <v>220</v>
      </c>
      <c r="BO14" s="97" t="s">
        <v>182</v>
      </c>
    </row>
    <row r="15" spans="1:67" ht="12.75">
      <c r="A15" s="96" t="s">
        <v>175</v>
      </c>
      <c r="B15" s="364">
        <v>48270</v>
      </c>
      <c r="C15" s="365">
        <v>42758</v>
      </c>
      <c r="D15" s="365">
        <v>45075</v>
      </c>
      <c r="E15" s="365">
        <v>45987</v>
      </c>
      <c r="F15" s="365">
        <v>45255</v>
      </c>
      <c r="G15" s="365">
        <v>43907</v>
      </c>
      <c r="H15" s="365">
        <v>42021</v>
      </c>
      <c r="I15" s="365">
        <v>39307</v>
      </c>
      <c r="J15" s="365">
        <v>36250</v>
      </c>
      <c r="K15" s="365">
        <v>36254</v>
      </c>
      <c r="L15" s="365">
        <v>33100</v>
      </c>
      <c r="M15" s="365">
        <v>32654</v>
      </c>
      <c r="N15" s="366">
        <v>32394</v>
      </c>
      <c r="O15" s="365">
        <v>48146</v>
      </c>
      <c r="P15" s="365">
        <v>42634</v>
      </c>
      <c r="Q15" s="365">
        <v>44897</v>
      </c>
      <c r="R15" s="365">
        <v>45908</v>
      </c>
      <c r="S15" s="365">
        <v>45186</v>
      </c>
      <c r="T15" s="365">
        <v>43832</v>
      </c>
      <c r="U15" s="365">
        <v>41972</v>
      </c>
      <c r="V15" s="365">
        <v>39269</v>
      </c>
      <c r="W15" s="365">
        <v>36218</v>
      </c>
      <c r="X15" s="365">
        <v>36218</v>
      </c>
      <c r="Y15" s="365">
        <v>33057</v>
      </c>
      <c r="Z15" s="365">
        <v>32640</v>
      </c>
      <c r="AA15" s="370">
        <v>32392</v>
      </c>
      <c r="AB15" s="364">
        <v>215</v>
      </c>
      <c r="AC15" s="365">
        <v>157</v>
      </c>
      <c r="AD15" s="365">
        <v>216</v>
      </c>
      <c r="AE15" s="365">
        <v>263</v>
      </c>
      <c r="AF15" s="365">
        <v>334</v>
      </c>
      <c r="AG15" s="365">
        <v>303</v>
      </c>
      <c r="AH15" s="365">
        <v>1393</v>
      </c>
      <c r="AI15" s="365">
        <v>258</v>
      </c>
      <c r="AJ15" s="365">
        <v>211</v>
      </c>
      <c r="AK15" s="365">
        <v>234</v>
      </c>
      <c r="AL15" s="365">
        <v>195</v>
      </c>
      <c r="AM15" s="365">
        <v>197</v>
      </c>
      <c r="AN15" s="366">
        <v>236</v>
      </c>
      <c r="AO15" s="365">
        <v>113</v>
      </c>
      <c r="AP15" s="365">
        <v>518</v>
      </c>
      <c r="AQ15" s="365">
        <v>214</v>
      </c>
      <c r="AR15" s="365">
        <v>265</v>
      </c>
      <c r="AS15" s="365">
        <v>326</v>
      </c>
      <c r="AT15" s="365">
        <v>308</v>
      </c>
      <c r="AU15" s="365">
        <v>803</v>
      </c>
      <c r="AV15" s="365">
        <v>349</v>
      </c>
      <c r="AW15" s="365">
        <v>220</v>
      </c>
      <c r="AX15" s="365">
        <v>212</v>
      </c>
      <c r="AY15" s="365">
        <v>182</v>
      </c>
      <c r="AZ15" s="365">
        <v>188</v>
      </c>
      <c r="BA15" s="370">
        <v>227</v>
      </c>
      <c r="BB15" s="367"/>
      <c r="BC15" s="368"/>
      <c r="BD15" s="368"/>
      <c r="BE15" s="368"/>
      <c r="BF15" s="368"/>
      <c r="BG15" s="368"/>
      <c r="BH15" s="368"/>
      <c r="BI15" s="368"/>
      <c r="BJ15" s="368"/>
      <c r="BK15" s="368"/>
      <c r="BL15" s="368"/>
      <c r="BM15" s="368"/>
      <c r="BN15" s="369"/>
      <c r="BO15" s="96" t="s">
        <v>175</v>
      </c>
    </row>
    <row r="16" spans="1:67" ht="12.75">
      <c r="A16" s="97" t="s">
        <v>180</v>
      </c>
      <c r="B16" s="358">
        <v>10681</v>
      </c>
      <c r="C16" s="359">
        <v>9621</v>
      </c>
      <c r="D16" s="359">
        <v>10190</v>
      </c>
      <c r="E16" s="359">
        <v>10669</v>
      </c>
      <c r="F16" s="359">
        <v>10265</v>
      </c>
      <c r="G16" s="359">
        <v>9706</v>
      </c>
      <c r="H16" s="359">
        <v>9561</v>
      </c>
      <c r="I16" s="359">
        <v>9571</v>
      </c>
      <c r="J16" s="359">
        <v>9547</v>
      </c>
      <c r="K16" s="359">
        <v>10315</v>
      </c>
      <c r="L16" s="359">
        <v>10625</v>
      </c>
      <c r="M16" s="359">
        <v>11113</v>
      </c>
      <c r="N16" s="360">
        <v>11732</v>
      </c>
      <c r="O16" s="359">
        <v>10017</v>
      </c>
      <c r="P16" s="359">
        <v>9715</v>
      </c>
      <c r="Q16" s="359">
        <v>10227</v>
      </c>
      <c r="R16" s="359">
        <v>10654</v>
      </c>
      <c r="S16" s="359">
        <v>10173</v>
      </c>
      <c r="T16" s="359">
        <v>9642</v>
      </c>
      <c r="U16" s="359">
        <v>9550</v>
      </c>
      <c r="V16" s="359">
        <v>9616</v>
      </c>
      <c r="W16" s="359">
        <v>9618</v>
      </c>
      <c r="X16" s="359">
        <v>10214</v>
      </c>
      <c r="Y16" s="359">
        <v>10589</v>
      </c>
      <c r="Z16" s="359">
        <v>11050</v>
      </c>
      <c r="AA16" s="371">
        <v>11766</v>
      </c>
      <c r="AB16" s="358">
        <v>615</v>
      </c>
      <c r="AC16" s="359">
        <v>1227</v>
      </c>
      <c r="AD16" s="359">
        <v>1228</v>
      </c>
      <c r="AE16" s="359">
        <v>907</v>
      </c>
      <c r="AF16" s="359">
        <v>1027</v>
      </c>
      <c r="AG16" s="359">
        <v>1088</v>
      </c>
      <c r="AH16" s="359">
        <v>1204</v>
      </c>
      <c r="AI16" s="359">
        <v>1348</v>
      </c>
      <c r="AJ16" s="359">
        <v>1252</v>
      </c>
      <c r="AK16" s="359">
        <v>1174</v>
      </c>
      <c r="AL16" s="359">
        <v>1161</v>
      </c>
      <c r="AM16" s="359">
        <v>1187</v>
      </c>
      <c r="AN16" s="360">
        <v>1417</v>
      </c>
      <c r="AO16" s="359">
        <v>52</v>
      </c>
      <c r="AP16" s="359">
        <v>412</v>
      </c>
      <c r="AQ16" s="359">
        <v>521</v>
      </c>
      <c r="AR16" s="359">
        <v>903</v>
      </c>
      <c r="AS16" s="359">
        <v>1014</v>
      </c>
      <c r="AT16" s="359">
        <v>1022</v>
      </c>
      <c r="AU16" s="359">
        <v>1203</v>
      </c>
      <c r="AV16" s="359">
        <v>1333</v>
      </c>
      <c r="AW16" s="359">
        <v>1211</v>
      </c>
      <c r="AX16" s="359">
        <v>1167</v>
      </c>
      <c r="AY16" s="359">
        <v>1111</v>
      </c>
      <c r="AZ16" s="359">
        <v>1172</v>
      </c>
      <c r="BA16" s="371">
        <v>1409</v>
      </c>
      <c r="BB16" s="358">
        <v>598</v>
      </c>
      <c r="BC16" s="359">
        <v>1867</v>
      </c>
      <c r="BD16" s="359">
        <v>1761</v>
      </c>
      <c r="BE16" s="359">
        <v>2910</v>
      </c>
      <c r="BF16" s="359">
        <v>3369</v>
      </c>
      <c r="BG16" s="359">
        <v>3597</v>
      </c>
      <c r="BH16" s="359">
        <v>4214</v>
      </c>
      <c r="BI16" s="359">
        <v>4760</v>
      </c>
      <c r="BJ16" s="359">
        <v>4424</v>
      </c>
      <c r="BK16" s="359">
        <v>4540</v>
      </c>
      <c r="BL16" s="359">
        <v>4655</v>
      </c>
      <c r="BM16" s="359">
        <v>5669</v>
      </c>
      <c r="BN16" s="371">
        <v>5401</v>
      </c>
      <c r="BO16" s="97" t="s">
        <v>180</v>
      </c>
    </row>
    <row r="17" spans="1:67" ht="12.75">
      <c r="A17" s="96" t="s">
        <v>181</v>
      </c>
      <c r="B17" s="364">
        <v>13376</v>
      </c>
      <c r="C17" s="365">
        <v>12722</v>
      </c>
      <c r="D17" s="365">
        <v>13094</v>
      </c>
      <c r="E17" s="365">
        <v>13306</v>
      </c>
      <c r="F17" s="365">
        <v>13323</v>
      </c>
      <c r="G17" s="365">
        <v>12413</v>
      </c>
      <c r="H17" s="365">
        <v>13362</v>
      </c>
      <c r="I17" s="365">
        <v>12539</v>
      </c>
      <c r="J17" s="365">
        <v>11991</v>
      </c>
      <c r="K17" s="365">
        <v>12493</v>
      </c>
      <c r="L17" s="365">
        <v>12934</v>
      </c>
      <c r="M17" s="365">
        <v>12646</v>
      </c>
      <c r="N17" s="366">
        <v>11953</v>
      </c>
      <c r="O17" s="365">
        <v>13460</v>
      </c>
      <c r="P17" s="365">
        <v>12829</v>
      </c>
      <c r="Q17" s="365">
        <v>12999</v>
      </c>
      <c r="R17" s="365">
        <v>13280</v>
      </c>
      <c r="S17" s="365">
        <v>13187</v>
      </c>
      <c r="T17" s="365">
        <v>12321</v>
      </c>
      <c r="U17" s="365">
        <v>13381</v>
      </c>
      <c r="V17" s="365">
        <v>12535</v>
      </c>
      <c r="W17" s="365">
        <v>12022</v>
      </c>
      <c r="X17" s="365">
        <v>12357</v>
      </c>
      <c r="Y17" s="365">
        <v>12816</v>
      </c>
      <c r="Z17" s="365">
        <v>12557</v>
      </c>
      <c r="AA17" s="370">
        <v>11823</v>
      </c>
      <c r="AB17" s="364">
        <v>118</v>
      </c>
      <c r="AC17" s="365">
        <v>127</v>
      </c>
      <c r="AD17" s="365">
        <v>154</v>
      </c>
      <c r="AE17" s="365">
        <v>231</v>
      </c>
      <c r="AF17" s="365">
        <v>156</v>
      </c>
      <c r="AG17" s="365">
        <v>172</v>
      </c>
      <c r="AH17" s="365">
        <v>246</v>
      </c>
      <c r="AI17" s="365">
        <v>240</v>
      </c>
      <c r="AJ17" s="365">
        <v>390</v>
      </c>
      <c r="AK17" s="365">
        <v>390</v>
      </c>
      <c r="AL17" s="365">
        <v>444</v>
      </c>
      <c r="AM17" s="365">
        <v>467</v>
      </c>
      <c r="AN17" s="366">
        <v>372</v>
      </c>
      <c r="AO17" s="365">
        <v>114</v>
      </c>
      <c r="AP17" s="365">
        <v>125</v>
      </c>
      <c r="AQ17" s="365">
        <v>155</v>
      </c>
      <c r="AR17" s="365">
        <v>231</v>
      </c>
      <c r="AS17" s="365">
        <v>147</v>
      </c>
      <c r="AT17" s="365">
        <v>160</v>
      </c>
      <c r="AU17" s="365">
        <v>228</v>
      </c>
      <c r="AV17" s="365">
        <v>238</v>
      </c>
      <c r="AW17" s="365">
        <v>413</v>
      </c>
      <c r="AX17" s="365">
        <v>393</v>
      </c>
      <c r="AY17" s="365">
        <v>444</v>
      </c>
      <c r="AZ17" s="365">
        <v>463</v>
      </c>
      <c r="BA17" s="370">
        <v>367</v>
      </c>
      <c r="BB17" s="364">
        <v>1063</v>
      </c>
      <c r="BC17" s="365">
        <v>1080</v>
      </c>
      <c r="BD17" s="365">
        <v>1190</v>
      </c>
      <c r="BE17" s="365">
        <v>1246</v>
      </c>
      <c r="BF17" s="365">
        <v>1064</v>
      </c>
      <c r="BG17" s="365">
        <v>1398</v>
      </c>
      <c r="BH17" s="365">
        <v>1766</v>
      </c>
      <c r="BI17" s="365">
        <v>1630</v>
      </c>
      <c r="BJ17" s="365">
        <v>2031</v>
      </c>
      <c r="BK17" s="365">
        <v>2263</v>
      </c>
      <c r="BL17" s="365">
        <v>2561</v>
      </c>
      <c r="BM17" s="365">
        <v>2780</v>
      </c>
      <c r="BN17" s="370">
        <v>3319</v>
      </c>
      <c r="BO17" s="96" t="s">
        <v>181</v>
      </c>
    </row>
    <row r="18" spans="1:67" ht="12.75">
      <c r="A18" s="97" t="s">
        <v>202</v>
      </c>
      <c r="B18" s="372">
        <v>10706</v>
      </c>
      <c r="C18" s="373">
        <v>11023</v>
      </c>
      <c r="D18" s="373">
        <v>11490</v>
      </c>
      <c r="E18" s="373">
        <v>12265</v>
      </c>
      <c r="F18" s="373">
        <v>12983</v>
      </c>
      <c r="G18" s="373">
        <v>13019</v>
      </c>
      <c r="H18" s="373">
        <v>12554</v>
      </c>
      <c r="I18" s="373">
        <v>13395</v>
      </c>
      <c r="J18" s="373">
        <v>13358</v>
      </c>
      <c r="K18" s="373">
        <v>13659</v>
      </c>
      <c r="L18" s="373">
        <v>11903</v>
      </c>
      <c r="M18" s="373">
        <v>13948</v>
      </c>
      <c r="N18" s="374">
        <v>15041</v>
      </c>
      <c r="O18" s="373">
        <v>10654</v>
      </c>
      <c r="P18" s="373">
        <v>11035</v>
      </c>
      <c r="Q18" s="373">
        <v>11523</v>
      </c>
      <c r="R18" s="373">
        <v>12272</v>
      </c>
      <c r="S18" s="373">
        <v>13037</v>
      </c>
      <c r="T18" s="373">
        <v>13001</v>
      </c>
      <c r="U18" s="373">
        <v>12554</v>
      </c>
      <c r="V18" s="373">
        <v>13540</v>
      </c>
      <c r="W18" s="373">
        <v>13333</v>
      </c>
      <c r="X18" s="373">
        <v>13681</v>
      </c>
      <c r="Y18" s="373">
        <v>11611</v>
      </c>
      <c r="Z18" s="373">
        <v>13271</v>
      </c>
      <c r="AA18" s="375">
        <v>14549</v>
      </c>
      <c r="AB18" s="372">
        <v>78</v>
      </c>
      <c r="AC18" s="373">
        <v>60</v>
      </c>
      <c r="AD18" s="373">
        <v>26</v>
      </c>
      <c r="AE18" s="373">
        <v>33</v>
      </c>
      <c r="AF18" s="373">
        <v>11</v>
      </c>
      <c r="AG18" s="373">
        <v>7</v>
      </c>
      <c r="AH18" s="373">
        <v>7</v>
      </c>
      <c r="AI18" s="373">
        <v>6</v>
      </c>
      <c r="AJ18" s="373">
        <v>6</v>
      </c>
      <c r="AK18" s="373">
        <v>7</v>
      </c>
      <c r="AL18" s="373">
        <v>4</v>
      </c>
      <c r="AM18" s="373">
        <v>26</v>
      </c>
      <c r="AN18" s="374">
        <v>35</v>
      </c>
      <c r="AO18" s="373">
        <v>82</v>
      </c>
      <c r="AP18" s="373">
        <v>64</v>
      </c>
      <c r="AQ18" s="373">
        <v>22</v>
      </c>
      <c r="AR18" s="373">
        <v>41</v>
      </c>
      <c r="AS18" s="373">
        <v>12</v>
      </c>
      <c r="AT18" s="373">
        <v>10</v>
      </c>
      <c r="AU18" s="373">
        <v>7</v>
      </c>
      <c r="AV18" s="373">
        <v>6</v>
      </c>
      <c r="AW18" s="373">
        <v>8</v>
      </c>
      <c r="AX18" s="373">
        <v>8</v>
      </c>
      <c r="AY18" s="373">
        <v>5</v>
      </c>
      <c r="AZ18" s="373">
        <v>26</v>
      </c>
      <c r="BA18" s="375">
        <v>35</v>
      </c>
      <c r="BB18" s="372">
        <v>546</v>
      </c>
      <c r="BC18" s="373">
        <v>628</v>
      </c>
      <c r="BD18" s="373">
        <v>734</v>
      </c>
      <c r="BE18" s="373">
        <v>872</v>
      </c>
      <c r="BF18" s="373">
        <v>1122</v>
      </c>
      <c r="BG18" s="373">
        <v>1142</v>
      </c>
      <c r="BH18" s="373">
        <v>1231</v>
      </c>
      <c r="BI18" s="373">
        <v>1345</v>
      </c>
      <c r="BJ18" s="373">
        <v>1390</v>
      </c>
      <c r="BK18" s="373">
        <v>1436</v>
      </c>
      <c r="BL18" s="373">
        <v>1188</v>
      </c>
      <c r="BM18" s="373">
        <v>1242</v>
      </c>
      <c r="BN18" s="375">
        <v>1323</v>
      </c>
      <c r="BO18" s="97" t="s">
        <v>202</v>
      </c>
    </row>
    <row r="19" spans="1:67" ht="12.75">
      <c r="A19" s="289" t="s">
        <v>183</v>
      </c>
      <c r="B19" s="376">
        <v>40923</v>
      </c>
      <c r="C19" s="377">
        <v>38537</v>
      </c>
      <c r="D19" s="377">
        <v>42875</v>
      </c>
      <c r="E19" s="377">
        <v>42285</v>
      </c>
      <c r="F19" s="377">
        <v>44761</v>
      </c>
      <c r="G19" s="377">
        <v>45496</v>
      </c>
      <c r="H19" s="377">
        <v>41960</v>
      </c>
      <c r="I19" s="377">
        <v>38566</v>
      </c>
      <c r="J19" s="377">
        <v>35485</v>
      </c>
      <c r="K19" s="377">
        <v>34107</v>
      </c>
      <c r="L19" s="377">
        <v>34227</v>
      </c>
      <c r="M19" s="377">
        <v>33159</v>
      </c>
      <c r="N19" s="378">
        <v>31828</v>
      </c>
      <c r="O19" s="377">
        <v>40820</v>
      </c>
      <c r="P19" s="377">
        <v>38393</v>
      </c>
      <c r="Q19" s="377">
        <v>42934</v>
      </c>
      <c r="R19" s="377">
        <v>42317</v>
      </c>
      <c r="S19" s="377">
        <v>43643</v>
      </c>
      <c r="T19" s="377">
        <v>42834</v>
      </c>
      <c r="U19" s="377">
        <v>42016</v>
      </c>
      <c r="V19" s="377">
        <v>38808</v>
      </c>
      <c r="W19" s="377">
        <v>35413</v>
      </c>
      <c r="X19" s="377">
        <v>33830</v>
      </c>
      <c r="Y19" s="377">
        <v>34176</v>
      </c>
      <c r="Z19" s="377">
        <v>32971</v>
      </c>
      <c r="AA19" s="379">
        <v>31754</v>
      </c>
      <c r="AB19" s="376">
        <v>793</v>
      </c>
      <c r="AC19" s="377">
        <v>939</v>
      </c>
      <c r="AD19" s="377">
        <v>93</v>
      </c>
      <c r="AE19" s="377">
        <v>1189</v>
      </c>
      <c r="AF19" s="377">
        <v>882</v>
      </c>
      <c r="AG19" s="377">
        <v>2130</v>
      </c>
      <c r="AH19" s="377">
        <v>1903</v>
      </c>
      <c r="AI19" s="377">
        <v>2239</v>
      </c>
      <c r="AJ19" s="377">
        <v>2934</v>
      </c>
      <c r="AK19" s="377">
        <v>2458</v>
      </c>
      <c r="AL19" s="377">
        <v>1879</v>
      </c>
      <c r="AM19" s="377">
        <v>1986</v>
      </c>
      <c r="AN19" s="378">
        <v>1849</v>
      </c>
      <c r="AO19" s="377">
        <v>780</v>
      </c>
      <c r="AP19" s="377">
        <v>884</v>
      </c>
      <c r="AQ19" s="377">
        <v>81</v>
      </c>
      <c r="AR19" s="377">
        <v>1179</v>
      </c>
      <c r="AS19" s="377">
        <v>871</v>
      </c>
      <c r="AT19" s="377">
        <v>2248</v>
      </c>
      <c r="AU19" s="377">
        <v>1779</v>
      </c>
      <c r="AV19" s="377">
        <v>2282</v>
      </c>
      <c r="AW19" s="377">
        <v>2903</v>
      </c>
      <c r="AX19" s="377">
        <v>2842</v>
      </c>
      <c r="AY19" s="377">
        <v>1943</v>
      </c>
      <c r="AZ19" s="377">
        <v>2152</v>
      </c>
      <c r="BA19" s="379">
        <v>1841</v>
      </c>
      <c r="BB19" s="376">
        <v>2200</v>
      </c>
      <c r="BC19" s="377">
        <v>2178</v>
      </c>
      <c r="BD19" s="377">
        <v>3112</v>
      </c>
      <c r="BE19" s="377">
        <v>3181</v>
      </c>
      <c r="BF19" s="377">
        <v>1870</v>
      </c>
      <c r="BG19" s="377">
        <v>1444</v>
      </c>
      <c r="BH19" s="377">
        <v>1890</v>
      </c>
      <c r="BI19" s="377">
        <v>2509</v>
      </c>
      <c r="BJ19" s="377">
        <v>3993</v>
      </c>
      <c r="BK19" s="377">
        <v>4869</v>
      </c>
      <c r="BL19" s="377">
        <v>3960</v>
      </c>
      <c r="BM19" s="377">
        <v>4649</v>
      </c>
      <c r="BN19" s="379">
        <v>3598</v>
      </c>
      <c r="BO19" s="289" t="s">
        <v>183</v>
      </c>
    </row>
    <row r="20" spans="1:67" ht="12.75">
      <c r="A20" s="97" t="s">
        <v>162</v>
      </c>
      <c r="B20" s="372"/>
      <c r="C20" s="373"/>
      <c r="D20" s="373">
        <v>24</v>
      </c>
      <c r="E20" s="373">
        <v>1</v>
      </c>
      <c r="F20" s="373">
        <v>1</v>
      </c>
      <c r="G20" s="373">
        <v>1</v>
      </c>
      <c r="H20" s="373">
        <v>1</v>
      </c>
      <c r="I20" s="373">
        <v>0</v>
      </c>
      <c r="J20" s="373">
        <v>1</v>
      </c>
      <c r="K20" s="373">
        <v>2</v>
      </c>
      <c r="L20" s="373">
        <v>1</v>
      </c>
      <c r="M20" s="373">
        <v>1</v>
      </c>
      <c r="N20" s="374">
        <v>1</v>
      </c>
      <c r="O20" s="373"/>
      <c r="P20" s="373"/>
      <c r="Q20" s="373"/>
      <c r="R20" s="373"/>
      <c r="S20" s="373">
        <v>1</v>
      </c>
      <c r="T20" s="373"/>
      <c r="U20" s="373"/>
      <c r="V20" s="373"/>
      <c r="W20" s="373"/>
      <c r="X20" s="373"/>
      <c r="Y20" s="373"/>
      <c r="Z20" s="373"/>
      <c r="AA20" s="375"/>
      <c r="AB20" s="372">
        <v>124</v>
      </c>
      <c r="AC20" s="373">
        <v>97</v>
      </c>
      <c r="AD20" s="373">
        <v>118</v>
      </c>
      <c r="AE20" s="373">
        <v>86</v>
      </c>
      <c r="AF20" s="373">
        <v>73</v>
      </c>
      <c r="AG20" s="373">
        <v>48</v>
      </c>
      <c r="AH20" s="373">
        <v>53</v>
      </c>
      <c r="AI20" s="373">
        <v>46</v>
      </c>
      <c r="AJ20" s="373">
        <v>44</v>
      </c>
      <c r="AK20" s="373">
        <v>49</v>
      </c>
      <c r="AL20" s="373">
        <v>36</v>
      </c>
      <c r="AM20" s="373">
        <v>34</v>
      </c>
      <c r="AN20" s="374">
        <v>28</v>
      </c>
      <c r="AO20" s="373">
        <v>123</v>
      </c>
      <c r="AP20" s="373">
        <v>97</v>
      </c>
      <c r="AQ20" s="373">
        <v>86</v>
      </c>
      <c r="AR20" s="373">
        <v>87</v>
      </c>
      <c r="AS20" s="373">
        <v>74</v>
      </c>
      <c r="AT20" s="373">
        <v>48</v>
      </c>
      <c r="AU20" s="373">
        <v>54</v>
      </c>
      <c r="AV20" s="373">
        <v>46</v>
      </c>
      <c r="AW20" s="373">
        <v>46</v>
      </c>
      <c r="AX20" s="373">
        <v>49</v>
      </c>
      <c r="AY20" s="373">
        <v>39</v>
      </c>
      <c r="AZ20" s="373">
        <v>33</v>
      </c>
      <c r="BA20" s="375">
        <v>30</v>
      </c>
      <c r="BB20" s="372">
        <v>130</v>
      </c>
      <c r="BC20" s="373">
        <v>2</v>
      </c>
      <c r="BD20" s="373">
        <v>223</v>
      </c>
      <c r="BE20" s="373">
        <v>253</v>
      </c>
      <c r="BF20" s="373">
        <v>227</v>
      </c>
      <c r="BG20" s="373">
        <v>225</v>
      </c>
      <c r="BH20" s="373">
        <v>272</v>
      </c>
      <c r="BI20" s="373">
        <v>211</v>
      </c>
      <c r="BJ20" s="373">
        <v>157</v>
      </c>
      <c r="BK20" s="373">
        <v>169</v>
      </c>
      <c r="BL20" s="373">
        <v>103</v>
      </c>
      <c r="BM20" s="373">
        <v>103</v>
      </c>
      <c r="BN20" s="375">
        <v>80</v>
      </c>
      <c r="BO20" s="97" t="s">
        <v>162</v>
      </c>
    </row>
    <row r="21" spans="1:67" ht="12.75">
      <c r="A21" s="289" t="s">
        <v>166</v>
      </c>
      <c r="B21" s="376">
        <v>72</v>
      </c>
      <c r="C21" s="377">
        <v>79</v>
      </c>
      <c r="D21" s="377">
        <v>131</v>
      </c>
      <c r="E21" s="377">
        <v>203</v>
      </c>
      <c r="F21" s="377">
        <v>232</v>
      </c>
      <c r="G21" s="377">
        <v>303</v>
      </c>
      <c r="H21" s="377">
        <v>352</v>
      </c>
      <c r="I21" s="377">
        <v>414</v>
      </c>
      <c r="J21" s="377">
        <v>434</v>
      </c>
      <c r="K21" s="377">
        <v>458</v>
      </c>
      <c r="L21" s="377">
        <v>420</v>
      </c>
      <c r="M21" s="377">
        <v>317</v>
      </c>
      <c r="N21" s="378">
        <v>346</v>
      </c>
      <c r="O21" s="377">
        <v>76</v>
      </c>
      <c r="P21" s="377">
        <v>89</v>
      </c>
      <c r="Q21" s="377">
        <v>147</v>
      </c>
      <c r="R21" s="377">
        <v>212</v>
      </c>
      <c r="S21" s="377">
        <v>247</v>
      </c>
      <c r="T21" s="377">
        <v>318</v>
      </c>
      <c r="U21" s="377">
        <v>368</v>
      </c>
      <c r="V21" s="377">
        <v>430</v>
      </c>
      <c r="W21" s="377">
        <v>451</v>
      </c>
      <c r="X21" s="377">
        <v>474</v>
      </c>
      <c r="Y21" s="377">
        <v>442</v>
      </c>
      <c r="Z21" s="377">
        <v>344</v>
      </c>
      <c r="AA21" s="379">
        <v>377</v>
      </c>
      <c r="AB21" s="376"/>
      <c r="AC21" s="377"/>
      <c r="AD21" s="377"/>
      <c r="AE21" s="377"/>
      <c r="AF21" s="377"/>
      <c r="AG21" s="377"/>
      <c r="AH21" s="377"/>
      <c r="AI21" s="377"/>
      <c r="AJ21" s="377"/>
      <c r="AK21" s="377"/>
      <c r="AL21" s="377"/>
      <c r="AM21" s="377"/>
      <c r="AN21" s="378"/>
      <c r="AO21" s="377"/>
      <c r="AP21" s="377"/>
      <c r="AQ21" s="377"/>
      <c r="AR21" s="377"/>
      <c r="AS21" s="377"/>
      <c r="AT21" s="377"/>
      <c r="AU21" s="377"/>
      <c r="AV21" s="377"/>
      <c r="AW21" s="377"/>
      <c r="AX21" s="377"/>
      <c r="AY21" s="377"/>
      <c r="AZ21" s="377"/>
      <c r="BA21" s="379"/>
      <c r="BB21" s="376">
        <v>63</v>
      </c>
      <c r="BC21" s="377">
        <v>49</v>
      </c>
      <c r="BD21" s="377">
        <v>41</v>
      </c>
      <c r="BE21" s="377">
        <v>65</v>
      </c>
      <c r="BF21" s="377">
        <v>51</v>
      </c>
      <c r="BG21" s="377">
        <v>69</v>
      </c>
      <c r="BH21" s="377">
        <v>59</v>
      </c>
      <c r="BI21" s="377">
        <v>64</v>
      </c>
      <c r="BJ21" s="377">
        <v>84</v>
      </c>
      <c r="BK21" s="377">
        <v>68</v>
      </c>
      <c r="BL21" s="377">
        <v>62</v>
      </c>
      <c r="BM21" s="377">
        <v>69</v>
      </c>
      <c r="BN21" s="379">
        <v>72</v>
      </c>
      <c r="BO21" s="289" t="s">
        <v>166</v>
      </c>
    </row>
    <row r="22" spans="1:67" ht="12.75">
      <c r="A22" s="97" t="s">
        <v>167</v>
      </c>
      <c r="B22" s="372">
        <v>73</v>
      </c>
      <c r="C22" s="373">
        <v>82</v>
      </c>
      <c r="D22" s="373">
        <v>92</v>
      </c>
      <c r="E22" s="373">
        <v>104</v>
      </c>
      <c r="F22" s="373">
        <v>103</v>
      </c>
      <c r="G22" s="373">
        <v>99</v>
      </c>
      <c r="H22" s="373">
        <v>121</v>
      </c>
      <c r="I22" s="373">
        <v>137</v>
      </c>
      <c r="J22" s="373">
        <v>142</v>
      </c>
      <c r="K22" s="373">
        <v>138</v>
      </c>
      <c r="L22" s="373">
        <v>136</v>
      </c>
      <c r="M22" s="373">
        <v>136</v>
      </c>
      <c r="N22" s="374">
        <v>144</v>
      </c>
      <c r="O22" s="373">
        <v>74</v>
      </c>
      <c r="P22" s="373">
        <v>85</v>
      </c>
      <c r="Q22" s="373">
        <v>98</v>
      </c>
      <c r="R22" s="373">
        <v>108</v>
      </c>
      <c r="S22" s="373">
        <v>109</v>
      </c>
      <c r="T22" s="373">
        <v>106</v>
      </c>
      <c r="U22" s="373">
        <v>130</v>
      </c>
      <c r="V22" s="373">
        <v>144</v>
      </c>
      <c r="W22" s="373">
        <v>145</v>
      </c>
      <c r="X22" s="373">
        <v>142</v>
      </c>
      <c r="Y22" s="373">
        <v>144</v>
      </c>
      <c r="Z22" s="373">
        <v>150</v>
      </c>
      <c r="AA22" s="375">
        <v>159</v>
      </c>
      <c r="AB22" s="372"/>
      <c r="AC22" s="373"/>
      <c r="AD22" s="373"/>
      <c r="AE22" s="373"/>
      <c r="AF22" s="373"/>
      <c r="AG22" s="373"/>
      <c r="AH22" s="373"/>
      <c r="AI22" s="373"/>
      <c r="AJ22" s="373"/>
      <c r="AK22" s="373"/>
      <c r="AL22" s="373"/>
      <c r="AM22" s="373"/>
      <c r="AN22" s="374"/>
      <c r="AO22" s="373"/>
      <c r="AP22" s="373"/>
      <c r="AQ22" s="373"/>
      <c r="AR22" s="373"/>
      <c r="AS22" s="373"/>
      <c r="AT22" s="373"/>
      <c r="AU22" s="373"/>
      <c r="AV22" s="373"/>
      <c r="AW22" s="373"/>
      <c r="AX22" s="373"/>
      <c r="AY22" s="373"/>
      <c r="AZ22" s="373"/>
      <c r="BA22" s="375"/>
      <c r="BB22" s="372">
        <v>14</v>
      </c>
      <c r="BC22" s="373">
        <v>24</v>
      </c>
      <c r="BD22" s="373">
        <v>25</v>
      </c>
      <c r="BE22" s="373">
        <v>37</v>
      </c>
      <c r="BF22" s="373">
        <v>32</v>
      </c>
      <c r="BG22" s="373">
        <v>34</v>
      </c>
      <c r="BH22" s="373">
        <v>35</v>
      </c>
      <c r="BI22" s="373">
        <v>21</v>
      </c>
      <c r="BJ22" s="373">
        <v>27</v>
      </c>
      <c r="BK22" s="373">
        <v>33</v>
      </c>
      <c r="BL22" s="373">
        <v>58</v>
      </c>
      <c r="BM22" s="373">
        <v>60</v>
      </c>
      <c r="BN22" s="375">
        <v>64</v>
      </c>
      <c r="BO22" s="97" t="s">
        <v>167</v>
      </c>
    </row>
    <row r="23" spans="1:67" ht="12.75">
      <c r="A23" s="289" t="s">
        <v>184</v>
      </c>
      <c r="B23" s="437" t="s">
        <v>193</v>
      </c>
      <c r="C23" s="438" t="s">
        <v>193</v>
      </c>
      <c r="D23" s="438" t="s">
        <v>193</v>
      </c>
      <c r="E23" s="438" t="s">
        <v>193</v>
      </c>
      <c r="F23" s="438" t="s">
        <v>193</v>
      </c>
      <c r="G23" s="438" t="s">
        <v>193</v>
      </c>
      <c r="H23" s="438" t="s">
        <v>193</v>
      </c>
      <c r="I23" s="438" t="s">
        <v>193</v>
      </c>
      <c r="J23" s="438" t="s">
        <v>193</v>
      </c>
      <c r="K23" s="438" t="s">
        <v>193</v>
      </c>
      <c r="L23" s="438" t="s">
        <v>193</v>
      </c>
      <c r="M23" s="450" t="s">
        <v>193</v>
      </c>
      <c r="N23" s="446" t="s">
        <v>193</v>
      </c>
      <c r="O23" s="438" t="s">
        <v>193</v>
      </c>
      <c r="P23" s="438" t="s">
        <v>193</v>
      </c>
      <c r="Q23" s="438" t="s">
        <v>193</v>
      </c>
      <c r="R23" s="438" t="s">
        <v>193</v>
      </c>
      <c r="S23" s="438" t="s">
        <v>193</v>
      </c>
      <c r="T23" s="438" t="s">
        <v>193</v>
      </c>
      <c r="U23" s="438" t="s">
        <v>193</v>
      </c>
      <c r="V23" s="438" t="s">
        <v>193</v>
      </c>
      <c r="W23" s="438" t="s">
        <v>193</v>
      </c>
      <c r="X23" s="450" t="s">
        <v>193</v>
      </c>
      <c r="Y23" s="450" t="s">
        <v>193</v>
      </c>
      <c r="Z23" s="450" t="s">
        <v>193</v>
      </c>
      <c r="AA23" s="454" t="s">
        <v>193</v>
      </c>
      <c r="AB23" s="437" t="s">
        <v>193</v>
      </c>
      <c r="AC23" s="438" t="s">
        <v>193</v>
      </c>
      <c r="AD23" s="438" t="s">
        <v>193</v>
      </c>
      <c r="AE23" s="438" t="s">
        <v>193</v>
      </c>
      <c r="AF23" s="438" t="s">
        <v>193</v>
      </c>
      <c r="AG23" s="438" t="s">
        <v>193</v>
      </c>
      <c r="AH23" s="438" t="s">
        <v>193</v>
      </c>
      <c r="AI23" s="438" t="s">
        <v>193</v>
      </c>
      <c r="AJ23" s="438" t="s">
        <v>193</v>
      </c>
      <c r="AK23" s="438" t="s">
        <v>193</v>
      </c>
      <c r="AL23" s="438" t="s">
        <v>193</v>
      </c>
      <c r="AM23" s="450" t="s">
        <v>193</v>
      </c>
      <c r="AN23" s="446" t="s">
        <v>193</v>
      </c>
      <c r="AO23" s="438" t="s">
        <v>193</v>
      </c>
      <c r="AP23" s="438" t="s">
        <v>193</v>
      </c>
      <c r="AQ23" s="438" t="s">
        <v>193</v>
      </c>
      <c r="AR23" s="438" t="s">
        <v>193</v>
      </c>
      <c r="AS23" s="438" t="s">
        <v>193</v>
      </c>
      <c r="AT23" s="438" t="s">
        <v>193</v>
      </c>
      <c r="AU23" s="438" t="s">
        <v>193</v>
      </c>
      <c r="AV23" s="438" t="s">
        <v>193</v>
      </c>
      <c r="AW23" s="438" t="s">
        <v>193</v>
      </c>
      <c r="AX23" s="438" t="s">
        <v>193</v>
      </c>
      <c r="AY23" s="438" t="s">
        <v>193</v>
      </c>
      <c r="AZ23" s="450" t="s">
        <v>193</v>
      </c>
      <c r="BA23" s="454" t="s">
        <v>193</v>
      </c>
      <c r="BB23" s="437" t="s">
        <v>193</v>
      </c>
      <c r="BC23" s="438" t="s">
        <v>193</v>
      </c>
      <c r="BD23" s="438" t="s">
        <v>193</v>
      </c>
      <c r="BE23" s="438" t="s">
        <v>193</v>
      </c>
      <c r="BF23" s="438" t="s">
        <v>193</v>
      </c>
      <c r="BG23" s="438" t="s">
        <v>193</v>
      </c>
      <c r="BH23" s="438" t="s">
        <v>193</v>
      </c>
      <c r="BI23" s="438" t="s">
        <v>193</v>
      </c>
      <c r="BJ23" s="438" t="s">
        <v>193</v>
      </c>
      <c r="BK23" s="438" t="s">
        <v>193</v>
      </c>
      <c r="BL23" s="438" t="s">
        <v>193</v>
      </c>
      <c r="BM23" s="450" t="s">
        <v>193</v>
      </c>
      <c r="BN23" s="454" t="s">
        <v>193</v>
      </c>
      <c r="BO23" s="289" t="s">
        <v>184</v>
      </c>
    </row>
    <row r="24" spans="1:67" ht="12.75">
      <c r="A24" s="97" t="s">
        <v>165</v>
      </c>
      <c r="B24" s="439" t="s">
        <v>193</v>
      </c>
      <c r="C24" s="440" t="s">
        <v>193</v>
      </c>
      <c r="D24" s="440" t="s">
        <v>193</v>
      </c>
      <c r="E24" s="440" t="s">
        <v>193</v>
      </c>
      <c r="F24" s="440" t="s">
        <v>193</v>
      </c>
      <c r="G24" s="440" t="s">
        <v>193</v>
      </c>
      <c r="H24" s="440" t="s">
        <v>193</v>
      </c>
      <c r="I24" s="440" t="s">
        <v>193</v>
      </c>
      <c r="J24" s="440" t="s">
        <v>193</v>
      </c>
      <c r="K24" s="440" t="s">
        <v>193</v>
      </c>
      <c r="L24" s="440" t="s">
        <v>193</v>
      </c>
      <c r="M24" s="451" t="s">
        <v>193</v>
      </c>
      <c r="N24" s="447" t="s">
        <v>193</v>
      </c>
      <c r="O24" s="440" t="s">
        <v>193</v>
      </c>
      <c r="P24" s="440" t="s">
        <v>193</v>
      </c>
      <c r="Q24" s="440" t="s">
        <v>193</v>
      </c>
      <c r="R24" s="440" t="s">
        <v>193</v>
      </c>
      <c r="S24" s="440" t="s">
        <v>193</v>
      </c>
      <c r="T24" s="440" t="s">
        <v>193</v>
      </c>
      <c r="U24" s="440" t="s">
        <v>193</v>
      </c>
      <c r="V24" s="440" t="s">
        <v>193</v>
      </c>
      <c r="W24" s="440" t="s">
        <v>193</v>
      </c>
      <c r="X24" s="451" t="s">
        <v>193</v>
      </c>
      <c r="Y24" s="451" t="s">
        <v>193</v>
      </c>
      <c r="Z24" s="451" t="s">
        <v>193</v>
      </c>
      <c r="AA24" s="455" t="s">
        <v>193</v>
      </c>
      <c r="AB24" s="439" t="s">
        <v>193</v>
      </c>
      <c r="AC24" s="440" t="s">
        <v>193</v>
      </c>
      <c r="AD24" s="440" t="s">
        <v>193</v>
      </c>
      <c r="AE24" s="440" t="s">
        <v>193</v>
      </c>
      <c r="AF24" s="440" t="s">
        <v>193</v>
      </c>
      <c r="AG24" s="440" t="s">
        <v>193</v>
      </c>
      <c r="AH24" s="440" t="s">
        <v>193</v>
      </c>
      <c r="AI24" s="440" t="s">
        <v>193</v>
      </c>
      <c r="AJ24" s="440" t="s">
        <v>193</v>
      </c>
      <c r="AK24" s="440" t="s">
        <v>193</v>
      </c>
      <c r="AL24" s="440" t="s">
        <v>193</v>
      </c>
      <c r="AM24" s="451" t="s">
        <v>193</v>
      </c>
      <c r="AN24" s="447" t="s">
        <v>193</v>
      </c>
      <c r="AO24" s="440" t="s">
        <v>193</v>
      </c>
      <c r="AP24" s="440" t="s">
        <v>193</v>
      </c>
      <c r="AQ24" s="440" t="s">
        <v>193</v>
      </c>
      <c r="AR24" s="440" t="s">
        <v>193</v>
      </c>
      <c r="AS24" s="440" t="s">
        <v>193</v>
      </c>
      <c r="AT24" s="440" t="s">
        <v>193</v>
      </c>
      <c r="AU24" s="440" t="s">
        <v>193</v>
      </c>
      <c r="AV24" s="440" t="s">
        <v>193</v>
      </c>
      <c r="AW24" s="440" t="s">
        <v>193</v>
      </c>
      <c r="AX24" s="440" t="s">
        <v>193</v>
      </c>
      <c r="AY24" s="440" t="s">
        <v>193</v>
      </c>
      <c r="AZ24" s="451" t="s">
        <v>193</v>
      </c>
      <c r="BA24" s="455" t="s">
        <v>193</v>
      </c>
      <c r="BB24" s="439" t="s">
        <v>193</v>
      </c>
      <c r="BC24" s="440" t="s">
        <v>193</v>
      </c>
      <c r="BD24" s="440" t="s">
        <v>193</v>
      </c>
      <c r="BE24" s="440" t="s">
        <v>193</v>
      </c>
      <c r="BF24" s="440" t="s">
        <v>193</v>
      </c>
      <c r="BG24" s="440" t="s">
        <v>193</v>
      </c>
      <c r="BH24" s="440" t="s">
        <v>193</v>
      </c>
      <c r="BI24" s="440" t="s">
        <v>193</v>
      </c>
      <c r="BJ24" s="440" t="s">
        <v>193</v>
      </c>
      <c r="BK24" s="440" t="s">
        <v>193</v>
      </c>
      <c r="BL24" s="440" t="s">
        <v>193</v>
      </c>
      <c r="BM24" s="451" t="s">
        <v>193</v>
      </c>
      <c r="BN24" s="455" t="s">
        <v>193</v>
      </c>
      <c r="BO24" s="97" t="s">
        <v>165</v>
      </c>
    </row>
    <row r="25" spans="1:67" ht="12.75">
      <c r="A25" s="289" t="s">
        <v>168</v>
      </c>
      <c r="B25" s="376">
        <v>3605</v>
      </c>
      <c r="C25" s="377">
        <v>3545</v>
      </c>
      <c r="D25" s="377">
        <v>3652</v>
      </c>
      <c r="E25" s="377">
        <v>3893</v>
      </c>
      <c r="F25" s="377">
        <v>4148</v>
      </c>
      <c r="G25" s="377">
        <v>3886</v>
      </c>
      <c r="H25" s="377">
        <v>4136</v>
      </c>
      <c r="I25" s="377">
        <v>4263</v>
      </c>
      <c r="J25" s="377">
        <v>4224</v>
      </c>
      <c r="K25" s="377">
        <v>4537</v>
      </c>
      <c r="L25" s="377">
        <v>4791</v>
      </c>
      <c r="M25" s="377">
        <v>4886</v>
      </c>
      <c r="N25" s="378">
        <v>5290</v>
      </c>
      <c r="O25" s="377">
        <v>3605</v>
      </c>
      <c r="P25" s="377">
        <v>3545</v>
      </c>
      <c r="Q25" s="377">
        <v>3652</v>
      </c>
      <c r="R25" s="377">
        <v>3891</v>
      </c>
      <c r="S25" s="377">
        <v>3955</v>
      </c>
      <c r="T25" s="377">
        <v>3885</v>
      </c>
      <c r="U25" s="377">
        <v>4134</v>
      </c>
      <c r="V25" s="377">
        <v>4246</v>
      </c>
      <c r="W25" s="377">
        <v>4219</v>
      </c>
      <c r="X25" s="377">
        <v>4532</v>
      </c>
      <c r="Y25" s="377">
        <v>4785</v>
      </c>
      <c r="Z25" s="377">
        <v>4884</v>
      </c>
      <c r="AA25" s="379">
        <v>5286</v>
      </c>
      <c r="AB25" s="376">
        <v>20</v>
      </c>
      <c r="AC25" s="377">
        <v>7</v>
      </c>
      <c r="AD25" s="377">
        <v>12</v>
      </c>
      <c r="AE25" s="377">
        <v>9</v>
      </c>
      <c r="AF25" s="377">
        <v>14</v>
      </c>
      <c r="AG25" s="377">
        <v>14</v>
      </c>
      <c r="AH25" s="377">
        <v>15</v>
      </c>
      <c r="AI25" s="377">
        <v>56</v>
      </c>
      <c r="AJ25" s="377">
        <v>46</v>
      </c>
      <c r="AK25" s="377">
        <v>51</v>
      </c>
      <c r="AL25" s="377">
        <v>46</v>
      </c>
      <c r="AM25" s="377">
        <v>70</v>
      </c>
      <c r="AN25" s="378">
        <v>58</v>
      </c>
      <c r="AO25" s="377">
        <v>20</v>
      </c>
      <c r="AP25" s="377">
        <v>6</v>
      </c>
      <c r="AQ25" s="377">
        <v>11</v>
      </c>
      <c r="AR25" s="377">
        <v>9</v>
      </c>
      <c r="AS25" s="377">
        <v>14</v>
      </c>
      <c r="AT25" s="377">
        <v>14</v>
      </c>
      <c r="AU25" s="377">
        <v>15</v>
      </c>
      <c r="AV25" s="377">
        <v>56</v>
      </c>
      <c r="AW25" s="377">
        <v>46</v>
      </c>
      <c r="AX25" s="377">
        <v>51</v>
      </c>
      <c r="AY25" s="377">
        <v>47</v>
      </c>
      <c r="AZ25" s="377">
        <v>70</v>
      </c>
      <c r="BA25" s="379">
        <v>56</v>
      </c>
      <c r="BB25" s="376">
        <v>251</v>
      </c>
      <c r="BC25" s="377">
        <v>307</v>
      </c>
      <c r="BD25" s="377">
        <v>385</v>
      </c>
      <c r="BE25" s="377">
        <v>472</v>
      </c>
      <c r="BF25" s="377">
        <v>528</v>
      </c>
      <c r="BG25" s="377">
        <v>414</v>
      </c>
      <c r="BH25" s="377">
        <v>464</v>
      </c>
      <c r="BI25" s="377">
        <v>446</v>
      </c>
      <c r="BJ25" s="377">
        <v>519</v>
      </c>
      <c r="BK25" s="377">
        <v>382</v>
      </c>
      <c r="BL25" s="377">
        <v>426</v>
      </c>
      <c r="BM25" s="377">
        <v>538</v>
      </c>
      <c r="BN25" s="379">
        <v>575</v>
      </c>
      <c r="BO25" s="289" t="s">
        <v>168</v>
      </c>
    </row>
    <row r="26" spans="1:67" ht="12.75">
      <c r="A26" s="288" t="s">
        <v>176</v>
      </c>
      <c r="B26" s="372">
        <v>1006</v>
      </c>
      <c r="C26" s="373">
        <v>1058</v>
      </c>
      <c r="D26" s="373">
        <v>1053</v>
      </c>
      <c r="E26" s="373">
        <v>945</v>
      </c>
      <c r="F26" s="373">
        <v>977</v>
      </c>
      <c r="G26" s="373">
        <v>827</v>
      </c>
      <c r="H26" s="373">
        <v>1005</v>
      </c>
      <c r="I26" s="373">
        <v>924</v>
      </c>
      <c r="J26" s="373">
        <v>863</v>
      </c>
      <c r="K26" s="373">
        <v>889</v>
      </c>
      <c r="L26" s="373">
        <v>911</v>
      </c>
      <c r="M26" s="373">
        <v>941</v>
      </c>
      <c r="N26" s="374">
        <v>997</v>
      </c>
      <c r="O26" s="373">
        <v>1006</v>
      </c>
      <c r="P26" s="373">
        <v>1057</v>
      </c>
      <c r="Q26" s="373">
        <v>1074</v>
      </c>
      <c r="R26" s="373">
        <v>925</v>
      </c>
      <c r="S26" s="373">
        <v>982</v>
      </c>
      <c r="T26" s="373">
        <v>805</v>
      </c>
      <c r="U26" s="373">
        <v>989</v>
      </c>
      <c r="V26" s="373">
        <v>846</v>
      </c>
      <c r="W26" s="373">
        <v>843</v>
      </c>
      <c r="X26" s="373">
        <v>849</v>
      </c>
      <c r="Y26" s="373">
        <v>908</v>
      </c>
      <c r="Z26" s="373">
        <v>969</v>
      </c>
      <c r="AA26" s="375">
        <v>908</v>
      </c>
      <c r="AB26" s="372"/>
      <c r="AC26" s="373"/>
      <c r="AD26" s="373"/>
      <c r="AE26" s="373"/>
      <c r="AF26" s="373"/>
      <c r="AG26" s="373"/>
      <c r="AH26" s="373"/>
      <c r="AI26" s="373"/>
      <c r="AJ26" s="373"/>
      <c r="AK26" s="373"/>
      <c r="AL26" s="373"/>
      <c r="AM26" s="373"/>
      <c r="AN26" s="374"/>
      <c r="AO26" s="373"/>
      <c r="AP26" s="373"/>
      <c r="AQ26" s="373"/>
      <c r="AR26" s="373"/>
      <c r="AS26" s="373"/>
      <c r="AT26" s="373"/>
      <c r="AU26" s="373"/>
      <c r="AV26" s="373"/>
      <c r="AW26" s="373"/>
      <c r="AX26" s="373"/>
      <c r="AY26" s="373"/>
      <c r="AZ26" s="373"/>
      <c r="BA26" s="375"/>
      <c r="BB26" s="383"/>
      <c r="BC26" s="384"/>
      <c r="BD26" s="384"/>
      <c r="BE26" s="384"/>
      <c r="BF26" s="384"/>
      <c r="BG26" s="384"/>
      <c r="BH26" s="384"/>
      <c r="BI26" s="384"/>
      <c r="BJ26" s="384"/>
      <c r="BK26" s="384"/>
      <c r="BL26" s="384"/>
      <c r="BM26" s="384"/>
      <c r="BN26" s="385"/>
      <c r="BO26" s="288" t="s">
        <v>176</v>
      </c>
    </row>
    <row r="27" spans="1:67" ht="12.75">
      <c r="A27" s="289" t="s">
        <v>185</v>
      </c>
      <c r="B27" s="437" t="s">
        <v>193</v>
      </c>
      <c r="C27" s="438" t="s">
        <v>193</v>
      </c>
      <c r="D27" s="438" t="s">
        <v>193</v>
      </c>
      <c r="E27" s="438" t="s">
        <v>193</v>
      </c>
      <c r="F27" s="438" t="s">
        <v>193</v>
      </c>
      <c r="G27" s="438" t="s">
        <v>193</v>
      </c>
      <c r="H27" s="438" t="s">
        <v>193</v>
      </c>
      <c r="I27" s="438" t="s">
        <v>193</v>
      </c>
      <c r="J27" s="438" t="s">
        <v>193</v>
      </c>
      <c r="K27" s="438" t="s">
        <v>193</v>
      </c>
      <c r="L27" s="438" t="s">
        <v>193</v>
      </c>
      <c r="M27" s="450" t="s">
        <v>193</v>
      </c>
      <c r="N27" s="446" t="s">
        <v>193</v>
      </c>
      <c r="O27" s="438" t="s">
        <v>193</v>
      </c>
      <c r="P27" s="438" t="s">
        <v>193</v>
      </c>
      <c r="Q27" s="438" t="s">
        <v>193</v>
      </c>
      <c r="R27" s="438" t="s">
        <v>193</v>
      </c>
      <c r="S27" s="438" t="s">
        <v>193</v>
      </c>
      <c r="T27" s="438" t="s">
        <v>193</v>
      </c>
      <c r="U27" s="438" t="s">
        <v>193</v>
      </c>
      <c r="V27" s="438" t="s">
        <v>193</v>
      </c>
      <c r="W27" s="438" t="s">
        <v>193</v>
      </c>
      <c r="X27" s="450" t="s">
        <v>193</v>
      </c>
      <c r="Y27" s="450" t="s">
        <v>193</v>
      </c>
      <c r="Z27" s="450" t="s">
        <v>193</v>
      </c>
      <c r="AA27" s="450" t="s">
        <v>193</v>
      </c>
      <c r="AB27" s="437" t="s">
        <v>193</v>
      </c>
      <c r="AC27" s="438" t="s">
        <v>193</v>
      </c>
      <c r="AD27" s="438" t="s">
        <v>193</v>
      </c>
      <c r="AE27" s="438" t="s">
        <v>193</v>
      </c>
      <c r="AF27" s="438" t="s">
        <v>193</v>
      </c>
      <c r="AG27" s="438" t="s">
        <v>193</v>
      </c>
      <c r="AH27" s="438" t="s">
        <v>193</v>
      </c>
      <c r="AI27" s="438" t="s">
        <v>193</v>
      </c>
      <c r="AJ27" s="438" t="s">
        <v>193</v>
      </c>
      <c r="AK27" s="438" t="s">
        <v>193</v>
      </c>
      <c r="AL27" s="438" t="s">
        <v>193</v>
      </c>
      <c r="AM27" s="450" t="s">
        <v>193</v>
      </c>
      <c r="AN27" s="446" t="s">
        <v>193</v>
      </c>
      <c r="AO27" s="438" t="s">
        <v>193</v>
      </c>
      <c r="AP27" s="438" t="s">
        <v>193</v>
      </c>
      <c r="AQ27" s="438" t="s">
        <v>193</v>
      </c>
      <c r="AR27" s="438" t="s">
        <v>193</v>
      </c>
      <c r="AS27" s="438" t="s">
        <v>193</v>
      </c>
      <c r="AT27" s="438" t="s">
        <v>193</v>
      </c>
      <c r="AU27" s="438" t="s">
        <v>193</v>
      </c>
      <c r="AV27" s="438" t="s">
        <v>193</v>
      </c>
      <c r="AW27" s="438" t="s">
        <v>193</v>
      </c>
      <c r="AX27" s="438" t="s">
        <v>193</v>
      </c>
      <c r="AY27" s="438" t="s">
        <v>193</v>
      </c>
      <c r="AZ27" s="450" t="s">
        <v>193</v>
      </c>
      <c r="BA27" s="454" t="s">
        <v>193</v>
      </c>
      <c r="BB27" s="437" t="s">
        <v>193</v>
      </c>
      <c r="BC27" s="438" t="s">
        <v>193</v>
      </c>
      <c r="BD27" s="438" t="s">
        <v>193</v>
      </c>
      <c r="BE27" s="438" t="s">
        <v>193</v>
      </c>
      <c r="BF27" s="438" t="s">
        <v>193</v>
      </c>
      <c r="BG27" s="438" t="s">
        <v>193</v>
      </c>
      <c r="BH27" s="438" t="s">
        <v>193</v>
      </c>
      <c r="BI27" s="438" t="s">
        <v>193</v>
      </c>
      <c r="BJ27" s="438" t="s">
        <v>193</v>
      </c>
      <c r="BK27" s="438" t="s">
        <v>193</v>
      </c>
      <c r="BL27" s="438" t="s">
        <v>193</v>
      </c>
      <c r="BM27" s="450" t="s">
        <v>193</v>
      </c>
      <c r="BN27" s="454" t="s">
        <v>193</v>
      </c>
      <c r="BO27" s="289" t="s">
        <v>185</v>
      </c>
    </row>
    <row r="28" spans="1:67" ht="12.75">
      <c r="A28" s="97" t="s">
        <v>169</v>
      </c>
      <c r="B28" s="372">
        <v>1030</v>
      </c>
      <c r="C28" s="373">
        <v>812</v>
      </c>
      <c r="D28" s="373">
        <v>875</v>
      </c>
      <c r="E28" s="373">
        <v>1218</v>
      </c>
      <c r="F28" s="373">
        <v>1325</v>
      </c>
      <c r="G28" s="373">
        <v>1238</v>
      </c>
      <c r="H28" s="373">
        <v>1291</v>
      </c>
      <c r="I28" s="373">
        <v>1252</v>
      </c>
      <c r="J28" s="373">
        <v>1176</v>
      </c>
      <c r="K28" s="373">
        <v>1089</v>
      </c>
      <c r="L28" s="373">
        <v>1111</v>
      </c>
      <c r="M28" s="373">
        <v>1205</v>
      </c>
      <c r="N28" s="374">
        <v>1297</v>
      </c>
      <c r="O28" s="373">
        <v>1001</v>
      </c>
      <c r="P28" s="373">
        <v>828</v>
      </c>
      <c r="Q28" s="373">
        <v>861</v>
      </c>
      <c r="R28" s="373">
        <v>1238</v>
      </c>
      <c r="S28" s="373">
        <v>1322</v>
      </c>
      <c r="T28" s="373">
        <v>1243</v>
      </c>
      <c r="U28" s="373">
        <v>1310</v>
      </c>
      <c r="V28" s="373">
        <v>1274</v>
      </c>
      <c r="W28" s="373">
        <v>1183</v>
      </c>
      <c r="X28" s="373">
        <v>1112</v>
      </c>
      <c r="Y28" s="373">
        <v>1113</v>
      </c>
      <c r="Z28" s="373">
        <v>1217</v>
      </c>
      <c r="AA28" s="373">
        <v>1305</v>
      </c>
      <c r="AB28" s="372">
        <v>0</v>
      </c>
      <c r="AC28" s="373">
        <v>0</v>
      </c>
      <c r="AD28" s="373">
        <v>0</v>
      </c>
      <c r="AE28" s="373">
        <v>0</v>
      </c>
      <c r="AF28" s="373">
        <v>0</v>
      </c>
      <c r="AG28" s="373">
        <v>0</v>
      </c>
      <c r="AH28" s="373">
        <v>0</v>
      </c>
      <c r="AI28" s="373">
        <v>1</v>
      </c>
      <c r="AJ28" s="373">
        <v>0</v>
      </c>
      <c r="AK28" s="373">
        <v>0</v>
      </c>
      <c r="AL28" s="373">
        <v>0</v>
      </c>
      <c r="AM28" s="373">
        <v>0</v>
      </c>
      <c r="AN28" s="374">
        <v>0</v>
      </c>
      <c r="AO28" s="373">
        <v>0</v>
      </c>
      <c r="AP28" s="373">
        <v>0</v>
      </c>
      <c r="AQ28" s="373">
        <v>0</v>
      </c>
      <c r="AR28" s="373">
        <v>0</v>
      </c>
      <c r="AS28" s="373">
        <v>0</v>
      </c>
      <c r="AT28" s="373">
        <v>0</v>
      </c>
      <c r="AU28" s="373">
        <v>0</v>
      </c>
      <c r="AV28" s="373">
        <v>1</v>
      </c>
      <c r="AW28" s="373">
        <v>0</v>
      </c>
      <c r="AX28" s="373">
        <v>0</v>
      </c>
      <c r="AY28" s="373">
        <v>0</v>
      </c>
      <c r="AZ28" s="373">
        <v>0</v>
      </c>
      <c r="BA28" s="375">
        <v>0</v>
      </c>
      <c r="BB28" s="383"/>
      <c r="BC28" s="384"/>
      <c r="BD28" s="384"/>
      <c r="BE28" s="384"/>
      <c r="BF28" s="384"/>
      <c r="BG28" s="384"/>
      <c r="BH28" s="384"/>
      <c r="BI28" s="384"/>
      <c r="BJ28" s="384"/>
      <c r="BK28" s="384"/>
      <c r="BL28" s="384"/>
      <c r="BM28" s="384"/>
      <c r="BN28" s="385"/>
      <c r="BO28" s="97" t="s">
        <v>169</v>
      </c>
    </row>
    <row r="29" spans="1:67" ht="12.75">
      <c r="A29" s="289" t="s">
        <v>186</v>
      </c>
      <c r="B29" s="376">
        <v>325</v>
      </c>
      <c r="C29" s="377">
        <v>332</v>
      </c>
      <c r="D29" s="377">
        <v>343</v>
      </c>
      <c r="E29" s="377">
        <v>368</v>
      </c>
      <c r="F29" s="377">
        <v>382</v>
      </c>
      <c r="G29" s="377">
        <v>416</v>
      </c>
      <c r="H29" s="377">
        <v>351</v>
      </c>
      <c r="I29" s="377">
        <v>305</v>
      </c>
      <c r="J29" s="377">
        <v>254</v>
      </c>
      <c r="K29" s="377">
        <v>249</v>
      </c>
      <c r="L29" s="377">
        <v>252</v>
      </c>
      <c r="M29" s="377">
        <v>268</v>
      </c>
      <c r="N29" s="378">
        <v>314</v>
      </c>
      <c r="O29" s="377">
        <v>325</v>
      </c>
      <c r="P29" s="377">
        <v>330</v>
      </c>
      <c r="Q29" s="377">
        <v>343</v>
      </c>
      <c r="R29" s="377">
        <v>367</v>
      </c>
      <c r="S29" s="377">
        <v>380</v>
      </c>
      <c r="T29" s="377">
        <v>417</v>
      </c>
      <c r="U29" s="377">
        <v>350</v>
      </c>
      <c r="V29" s="377">
        <v>305</v>
      </c>
      <c r="W29" s="377">
        <v>254</v>
      </c>
      <c r="X29" s="377">
        <v>249</v>
      </c>
      <c r="Y29" s="377">
        <v>252</v>
      </c>
      <c r="Z29" s="377">
        <v>268</v>
      </c>
      <c r="AA29" s="377">
        <v>314</v>
      </c>
      <c r="AB29" s="376"/>
      <c r="AC29" s="377"/>
      <c r="AD29" s="377"/>
      <c r="AE29" s="377"/>
      <c r="AF29" s="377"/>
      <c r="AG29" s="377"/>
      <c r="AH29" s="377"/>
      <c r="AI29" s="377">
        <v>33</v>
      </c>
      <c r="AJ29" s="377">
        <v>28</v>
      </c>
      <c r="AK29" s="377">
        <v>30</v>
      </c>
      <c r="AL29" s="377">
        <v>23</v>
      </c>
      <c r="AM29" s="377">
        <v>24</v>
      </c>
      <c r="AN29" s="378">
        <v>26</v>
      </c>
      <c r="AO29" s="377"/>
      <c r="AP29" s="377"/>
      <c r="AQ29" s="377"/>
      <c r="AR29" s="377"/>
      <c r="AS29" s="377"/>
      <c r="AT29" s="377"/>
      <c r="AU29" s="377"/>
      <c r="AV29" s="377">
        <v>34</v>
      </c>
      <c r="AW29" s="377">
        <v>29</v>
      </c>
      <c r="AX29" s="377">
        <v>28</v>
      </c>
      <c r="AY29" s="377">
        <v>24</v>
      </c>
      <c r="AZ29" s="377">
        <v>23</v>
      </c>
      <c r="BA29" s="379">
        <v>25</v>
      </c>
      <c r="BB29" s="380"/>
      <c r="BC29" s="381"/>
      <c r="BD29" s="381"/>
      <c r="BE29" s="381"/>
      <c r="BF29" s="381"/>
      <c r="BG29" s="381"/>
      <c r="BH29" s="381"/>
      <c r="BI29" s="381"/>
      <c r="BJ29" s="381"/>
      <c r="BK29" s="381">
        <v>472</v>
      </c>
      <c r="BL29" s="381">
        <v>537</v>
      </c>
      <c r="BM29" s="381">
        <v>654</v>
      </c>
      <c r="BN29" s="382">
        <v>591</v>
      </c>
      <c r="BO29" s="289" t="s">
        <v>186</v>
      </c>
    </row>
    <row r="30" spans="1:67" ht="12.75">
      <c r="A30" s="97" t="s">
        <v>170</v>
      </c>
      <c r="B30" s="372"/>
      <c r="C30" s="373"/>
      <c r="D30" s="373"/>
      <c r="E30" s="373"/>
      <c r="F30" s="373"/>
      <c r="G30" s="373"/>
      <c r="H30" s="373"/>
      <c r="I30" s="373"/>
      <c r="J30" s="373"/>
      <c r="K30" s="373"/>
      <c r="L30" s="373"/>
      <c r="M30" s="373"/>
      <c r="N30" s="374"/>
      <c r="O30" s="373"/>
      <c r="P30" s="373"/>
      <c r="Q30" s="373"/>
      <c r="R30" s="373"/>
      <c r="S30" s="373"/>
      <c r="T30" s="373"/>
      <c r="U30" s="373"/>
      <c r="V30" s="373"/>
      <c r="W30" s="373"/>
      <c r="X30" s="373"/>
      <c r="Y30" s="373"/>
      <c r="Z30" s="373"/>
      <c r="AA30" s="373"/>
      <c r="AB30" s="372"/>
      <c r="AC30" s="373"/>
      <c r="AD30" s="373"/>
      <c r="AE30" s="373">
        <v>0</v>
      </c>
      <c r="AF30" s="373">
        <v>0</v>
      </c>
      <c r="AG30" s="373">
        <v>0</v>
      </c>
      <c r="AH30" s="373">
        <v>0</v>
      </c>
      <c r="AI30" s="373">
        <v>0</v>
      </c>
      <c r="AJ30" s="373">
        <v>0</v>
      </c>
      <c r="AK30" s="373">
        <v>0</v>
      </c>
      <c r="AL30" s="373">
        <v>0</v>
      </c>
      <c r="AM30" s="373">
        <v>0</v>
      </c>
      <c r="AN30" s="374">
        <v>0</v>
      </c>
      <c r="AO30" s="373"/>
      <c r="AP30" s="373"/>
      <c r="AQ30" s="373"/>
      <c r="AR30" s="373">
        <v>0</v>
      </c>
      <c r="AS30" s="373">
        <v>0</v>
      </c>
      <c r="AT30" s="373">
        <v>0</v>
      </c>
      <c r="AU30" s="373">
        <v>0</v>
      </c>
      <c r="AV30" s="373">
        <v>0</v>
      </c>
      <c r="AW30" s="373">
        <v>0</v>
      </c>
      <c r="AX30" s="373">
        <v>0</v>
      </c>
      <c r="AY30" s="373">
        <v>0</v>
      </c>
      <c r="AZ30" s="373">
        <v>0</v>
      </c>
      <c r="BA30" s="375">
        <v>0</v>
      </c>
      <c r="BB30" s="383"/>
      <c r="BC30" s="384"/>
      <c r="BD30" s="384"/>
      <c r="BE30" s="373">
        <v>12</v>
      </c>
      <c r="BF30" s="373">
        <v>38</v>
      </c>
      <c r="BG30" s="373">
        <v>13</v>
      </c>
      <c r="BH30" s="373">
        <v>23</v>
      </c>
      <c r="BI30" s="384">
        <v>27</v>
      </c>
      <c r="BJ30" s="384">
        <v>30</v>
      </c>
      <c r="BK30" s="384">
        <v>49</v>
      </c>
      <c r="BL30" s="384">
        <v>62</v>
      </c>
      <c r="BM30" s="384">
        <v>31</v>
      </c>
      <c r="BN30" s="385">
        <v>7</v>
      </c>
      <c r="BO30" s="97" t="s">
        <v>170</v>
      </c>
    </row>
    <row r="31" spans="1:67" ht="12.75">
      <c r="A31" s="289" t="s">
        <v>172</v>
      </c>
      <c r="B31" s="376"/>
      <c r="C31" s="377"/>
      <c r="D31" s="377"/>
      <c r="E31" s="377"/>
      <c r="F31" s="377">
        <v>15</v>
      </c>
      <c r="G31" s="377">
        <v>25</v>
      </c>
      <c r="H31" s="377">
        <v>16</v>
      </c>
      <c r="I31" s="377">
        <v>14</v>
      </c>
      <c r="J31" s="377">
        <v>16</v>
      </c>
      <c r="K31" s="377">
        <v>14</v>
      </c>
      <c r="L31" s="377">
        <v>13</v>
      </c>
      <c r="M31" s="377">
        <v>17</v>
      </c>
      <c r="N31" s="378">
        <v>14</v>
      </c>
      <c r="O31" s="377"/>
      <c r="P31" s="377"/>
      <c r="Q31" s="377"/>
      <c r="R31" s="377"/>
      <c r="S31" s="377">
        <v>16</v>
      </c>
      <c r="T31" s="377">
        <v>24</v>
      </c>
      <c r="U31" s="377">
        <v>17</v>
      </c>
      <c r="V31" s="377">
        <v>17</v>
      </c>
      <c r="W31" s="377">
        <v>18</v>
      </c>
      <c r="X31" s="377">
        <v>14</v>
      </c>
      <c r="Y31" s="377">
        <v>14</v>
      </c>
      <c r="Z31" s="377">
        <v>17</v>
      </c>
      <c r="AA31" s="377">
        <v>14</v>
      </c>
      <c r="AB31" s="376"/>
      <c r="AC31" s="377"/>
      <c r="AD31" s="377"/>
      <c r="AE31" s="377"/>
      <c r="AF31" s="377">
        <v>11</v>
      </c>
      <c r="AG31" s="377">
        <v>4</v>
      </c>
      <c r="AH31" s="377">
        <v>3</v>
      </c>
      <c r="AI31" s="377">
        <v>2</v>
      </c>
      <c r="AJ31" s="377"/>
      <c r="AK31" s="377"/>
      <c r="AL31" s="377"/>
      <c r="AM31" s="377"/>
      <c r="AN31" s="378"/>
      <c r="AO31" s="377"/>
      <c r="AP31" s="377"/>
      <c r="AQ31" s="377"/>
      <c r="AR31" s="377"/>
      <c r="AS31" s="377">
        <v>7</v>
      </c>
      <c r="AT31" s="377">
        <v>4</v>
      </c>
      <c r="AU31" s="377">
        <v>3</v>
      </c>
      <c r="AV31" s="377">
        <v>3</v>
      </c>
      <c r="AW31" s="377"/>
      <c r="AX31" s="377"/>
      <c r="AY31" s="377"/>
      <c r="AZ31" s="377"/>
      <c r="BA31" s="379"/>
      <c r="BB31" s="380"/>
      <c r="BC31" s="381"/>
      <c r="BD31" s="381"/>
      <c r="BE31" s="381"/>
      <c r="BF31" s="381"/>
      <c r="BG31" s="377">
        <v>21</v>
      </c>
      <c r="BH31" s="377">
        <v>32</v>
      </c>
      <c r="BI31" s="381">
        <v>98</v>
      </c>
      <c r="BJ31" s="381">
        <v>65</v>
      </c>
      <c r="BK31" s="381">
        <v>68</v>
      </c>
      <c r="BL31" s="381">
        <v>60</v>
      </c>
      <c r="BM31" s="381">
        <v>61</v>
      </c>
      <c r="BN31" s="382">
        <v>81</v>
      </c>
      <c r="BO31" s="289" t="s">
        <v>172</v>
      </c>
    </row>
    <row r="32" spans="1:67" ht="12.75">
      <c r="A32" s="97" t="s">
        <v>171</v>
      </c>
      <c r="B32" s="439" t="s">
        <v>193</v>
      </c>
      <c r="C32" s="440" t="s">
        <v>193</v>
      </c>
      <c r="D32" s="440" t="s">
        <v>193</v>
      </c>
      <c r="E32" s="440" t="s">
        <v>193</v>
      </c>
      <c r="F32" s="440" t="s">
        <v>193</v>
      </c>
      <c r="G32" s="440" t="s">
        <v>193</v>
      </c>
      <c r="H32" s="440" t="s">
        <v>193</v>
      </c>
      <c r="I32" s="440" t="s">
        <v>193</v>
      </c>
      <c r="J32" s="440" t="s">
        <v>193</v>
      </c>
      <c r="K32" s="440" t="s">
        <v>193</v>
      </c>
      <c r="L32" s="440" t="s">
        <v>193</v>
      </c>
      <c r="M32" s="451" t="s">
        <v>193</v>
      </c>
      <c r="N32" s="447" t="s">
        <v>193</v>
      </c>
      <c r="O32" s="440" t="s">
        <v>193</v>
      </c>
      <c r="P32" s="440" t="s">
        <v>193</v>
      </c>
      <c r="Q32" s="440" t="s">
        <v>193</v>
      </c>
      <c r="R32" s="440" t="s">
        <v>193</v>
      </c>
      <c r="S32" s="440" t="s">
        <v>193</v>
      </c>
      <c r="T32" s="440" t="s">
        <v>193</v>
      </c>
      <c r="U32" s="440" t="s">
        <v>193</v>
      </c>
      <c r="V32" s="440" t="s">
        <v>193</v>
      </c>
      <c r="W32" s="440" t="s">
        <v>193</v>
      </c>
      <c r="X32" s="451" t="s">
        <v>193</v>
      </c>
      <c r="Y32" s="451" t="s">
        <v>193</v>
      </c>
      <c r="Z32" s="451" t="s">
        <v>193</v>
      </c>
      <c r="AA32" s="451" t="s">
        <v>193</v>
      </c>
      <c r="AB32" s="439" t="s">
        <v>193</v>
      </c>
      <c r="AC32" s="440" t="s">
        <v>193</v>
      </c>
      <c r="AD32" s="440" t="s">
        <v>193</v>
      </c>
      <c r="AE32" s="440" t="s">
        <v>193</v>
      </c>
      <c r="AF32" s="440" t="s">
        <v>193</v>
      </c>
      <c r="AG32" s="440" t="s">
        <v>193</v>
      </c>
      <c r="AH32" s="440" t="s">
        <v>193</v>
      </c>
      <c r="AI32" s="440" t="s">
        <v>193</v>
      </c>
      <c r="AJ32" s="440" t="s">
        <v>193</v>
      </c>
      <c r="AK32" s="440" t="s">
        <v>193</v>
      </c>
      <c r="AL32" s="440" t="s">
        <v>193</v>
      </c>
      <c r="AM32" s="451" t="s">
        <v>193</v>
      </c>
      <c r="AN32" s="447" t="s">
        <v>193</v>
      </c>
      <c r="AO32" s="440" t="s">
        <v>193</v>
      </c>
      <c r="AP32" s="440" t="s">
        <v>193</v>
      </c>
      <c r="AQ32" s="440" t="s">
        <v>193</v>
      </c>
      <c r="AR32" s="440" t="s">
        <v>193</v>
      </c>
      <c r="AS32" s="440" t="s">
        <v>193</v>
      </c>
      <c r="AT32" s="440" t="s">
        <v>193</v>
      </c>
      <c r="AU32" s="440" t="s">
        <v>193</v>
      </c>
      <c r="AV32" s="440" t="s">
        <v>193</v>
      </c>
      <c r="AW32" s="440" t="s">
        <v>193</v>
      </c>
      <c r="AX32" s="440" t="s">
        <v>193</v>
      </c>
      <c r="AY32" s="440" t="s">
        <v>193</v>
      </c>
      <c r="AZ32" s="451" t="s">
        <v>193</v>
      </c>
      <c r="BA32" s="455" t="s">
        <v>193</v>
      </c>
      <c r="BB32" s="439" t="s">
        <v>193</v>
      </c>
      <c r="BC32" s="440" t="s">
        <v>193</v>
      </c>
      <c r="BD32" s="440" t="s">
        <v>193</v>
      </c>
      <c r="BE32" s="440" t="s">
        <v>193</v>
      </c>
      <c r="BF32" s="440" t="s">
        <v>193</v>
      </c>
      <c r="BG32" s="440" t="s">
        <v>193</v>
      </c>
      <c r="BH32" s="440" t="s">
        <v>193</v>
      </c>
      <c r="BI32" s="440" t="s">
        <v>193</v>
      </c>
      <c r="BJ32" s="440" t="s">
        <v>193</v>
      </c>
      <c r="BK32" s="440" t="s">
        <v>193</v>
      </c>
      <c r="BL32" s="440" t="s">
        <v>193</v>
      </c>
      <c r="BM32" s="451" t="s">
        <v>193</v>
      </c>
      <c r="BN32" s="455" t="s">
        <v>193</v>
      </c>
      <c r="BO32" s="97" t="s">
        <v>171</v>
      </c>
    </row>
    <row r="33" spans="1:67" ht="12.75">
      <c r="A33" s="289" t="s">
        <v>187</v>
      </c>
      <c r="B33" s="376">
        <v>8431</v>
      </c>
      <c r="C33" s="377">
        <v>8575</v>
      </c>
      <c r="D33" s="377">
        <v>8391</v>
      </c>
      <c r="E33" s="377">
        <v>8244</v>
      </c>
      <c r="F33" s="377">
        <v>8497</v>
      </c>
      <c r="G33" s="377">
        <v>8624</v>
      </c>
      <c r="H33" s="377">
        <v>8969</v>
      </c>
      <c r="I33" s="377">
        <v>9079</v>
      </c>
      <c r="J33" s="377">
        <v>9202</v>
      </c>
      <c r="K33" s="377">
        <v>9309</v>
      </c>
      <c r="L33" s="377">
        <v>9271</v>
      </c>
      <c r="M33" s="377">
        <v>9480</v>
      </c>
      <c r="N33" s="378">
        <v>9657</v>
      </c>
      <c r="O33" s="377">
        <v>8374</v>
      </c>
      <c r="P33" s="377">
        <v>8524</v>
      </c>
      <c r="Q33" s="377">
        <v>8348</v>
      </c>
      <c r="R33" s="377">
        <v>8192</v>
      </c>
      <c r="S33" s="377">
        <v>8438</v>
      </c>
      <c r="T33" s="377">
        <v>8559</v>
      </c>
      <c r="U33" s="377">
        <v>8856</v>
      </c>
      <c r="V33" s="377">
        <v>8965</v>
      </c>
      <c r="W33" s="377">
        <v>9059</v>
      </c>
      <c r="X33" s="377">
        <v>9211</v>
      </c>
      <c r="Y33" s="377">
        <v>9200</v>
      </c>
      <c r="Z33" s="377">
        <v>9404</v>
      </c>
      <c r="AA33" s="377">
        <v>9565</v>
      </c>
      <c r="AB33" s="376">
        <v>0</v>
      </c>
      <c r="AC33" s="377">
        <v>6</v>
      </c>
      <c r="AD33" s="377"/>
      <c r="AE33" s="377">
        <v>7</v>
      </c>
      <c r="AF33" s="377">
        <v>20</v>
      </c>
      <c r="AG33" s="377">
        <v>21</v>
      </c>
      <c r="AH33" s="377">
        <v>20</v>
      </c>
      <c r="AI33" s="377">
        <v>15</v>
      </c>
      <c r="AJ33" s="377">
        <v>1</v>
      </c>
      <c r="AK33" s="377">
        <v>2</v>
      </c>
      <c r="AL33" s="377"/>
      <c r="AM33" s="377"/>
      <c r="AN33" s="378"/>
      <c r="AO33" s="377">
        <v>0</v>
      </c>
      <c r="AP33" s="377">
        <v>6</v>
      </c>
      <c r="AQ33" s="377"/>
      <c r="AR33" s="377">
        <v>7</v>
      </c>
      <c r="AS33" s="377">
        <v>20</v>
      </c>
      <c r="AT33" s="377">
        <v>22</v>
      </c>
      <c r="AU33" s="377">
        <v>21</v>
      </c>
      <c r="AV33" s="377">
        <v>15</v>
      </c>
      <c r="AW33" s="377">
        <v>2</v>
      </c>
      <c r="AX33" s="377">
        <v>2</v>
      </c>
      <c r="AY33" s="377"/>
      <c r="AZ33" s="377"/>
      <c r="BA33" s="379"/>
      <c r="BB33" s="376">
        <v>193</v>
      </c>
      <c r="BC33" s="377">
        <v>235</v>
      </c>
      <c r="BD33" s="377">
        <v>268</v>
      </c>
      <c r="BE33" s="377">
        <v>255</v>
      </c>
      <c r="BF33" s="377">
        <v>344</v>
      </c>
      <c r="BG33" s="377">
        <v>344</v>
      </c>
      <c r="BH33" s="377">
        <v>323</v>
      </c>
      <c r="BI33" s="377">
        <v>364</v>
      </c>
      <c r="BJ33" s="377">
        <v>368</v>
      </c>
      <c r="BK33" s="377">
        <v>425</v>
      </c>
      <c r="BL33" s="377">
        <v>420</v>
      </c>
      <c r="BM33" s="377">
        <v>440</v>
      </c>
      <c r="BN33" s="379">
        <v>408</v>
      </c>
      <c r="BO33" s="289" t="s">
        <v>187</v>
      </c>
    </row>
    <row r="34" spans="1:67" ht="12.75">
      <c r="A34" s="97" t="s">
        <v>188</v>
      </c>
      <c r="B34" s="372">
        <v>16881</v>
      </c>
      <c r="C34" s="373">
        <v>16365</v>
      </c>
      <c r="D34" s="373">
        <v>16385</v>
      </c>
      <c r="E34" s="373">
        <v>16572</v>
      </c>
      <c r="F34" s="373">
        <v>16529</v>
      </c>
      <c r="G34" s="373">
        <v>15696</v>
      </c>
      <c r="H34" s="373">
        <v>15310</v>
      </c>
      <c r="I34" s="373">
        <v>15255</v>
      </c>
      <c r="J34" s="373">
        <v>14892</v>
      </c>
      <c r="K34" s="373">
        <v>14701</v>
      </c>
      <c r="L34" s="373">
        <v>14791</v>
      </c>
      <c r="M34" s="373">
        <v>14890</v>
      </c>
      <c r="N34" s="374">
        <v>15027</v>
      </c>
      <c r="O34" s="373">
        <v>16424</v>
      </c>
      <c r="P34" s="373">
        <v>16225</v>
      </c>
      <c r="Q34" s="373">
        <v>15927</v>
      </c>
      <c r="R34" s="373">
        <v>16075</v>
      </c>
      <c r="S34" s="373">
        <v>16176</v>
      </c>
      <c r="T34" s="373">
        <v>15304</v>
      </c>
      <c r="U34" s="373">
        <v>14809</v>
      </c>
      <c r="V34" s="373">
        <v>14779</v>
      </c>
      <c r="W34" s="373">
        <v>14483</v>
      </c>
      <c r="X34" s="373">
        <v>14382</v>
      </c>
      <c r="Y34" s="373">
        <v>14379</v>
      </c>
      <c r="Z34" s="373">
        <v>14467</v>
      </c>
      <c r="AA34" s="373">
        <v>14656</v>
      </c>
      <c r="AB34" s="372">
        <v>11</v>
      </c>
      <c r="AC34" s="373">
        <v>14</v>
      </c>
      <c r="AD34" s="373">
        <v>14</v>
      </c>
      <c r="AE34" s="373">
        <v>9</v>
      </c>
      <c r="AF34" s="373">
        <v>22</v>
      </c>
      <c r="AG34" s="373">
        <v>52</v>
      </c>
      <c r="AH34" s="373">
        <v>36</v>
      </c>
      <c r="AI34" s="373">
        <v>44</v>
      </c>
      <c r="AJ34" s="373">
        <v>48</v>
      </c>
      <c r="AK34" s="373">
        <v>42</v>
      </c>
      <c r="AL34" s="373">
        <v>44</v>
      </c>
      <c r="AM34" s="373">
        <v>95</v>
      </c>
      <c r="AN34" s="374">
        <v>66</v>
      </c>
      <c r="AO34" s="373">
        <v>2</v>
      </c>
      <c r="AP34" s="373">
        <v>12</v>
      </c>
      <c r="AQ34" s="373">
        <v>8</v>
      </c>
      <c r="AR34" s="373">
        <v>6</v>
      </c>
      <c r="AS34" s="373">
        <v>17</v>
      </c>
      <c r="AT34" s="373">
        <v>14</v>
      </c>
      <c r="AU34" s="373">
        <v>30</v>
      </c>
      <c r="AV34" s="373">
        <v>15</v>
      </c>
      <c r="AW34" s="373">
        <v>49</v>
      </c>
      <c r="AX34" s="373">
        <v>21</v>
      </c>
      <c r="AY34" s="373">
        <v>31</v>
      </c>
      <c r="AZ34" s="373">
        <v>49</v>
      </c>
      <c r="BA34" s="375">
        <v>53</v>
      </c>
      <c r="BB34" s="372">
        <v>235</v>
      </c>
      <c r="BC34" s="373">
        <v>344</v>
      </c>
      <c r="BD34" s="373">
        <v>357</v>
      </c>
      <c r="BE34" s="373">
        <v>402</v>
      </c>
      <c r="BF34" s="373">
        <v>430</v>
      </c>
      <c r="BG34" s="373">
        <v>497</v>
      </c>
      <c r="BH34" s="373">
        <v>471</v>
      </c>
      <c r="BI34" s="373">
        <v>499</v>
      </c>
      <c r="BJ34" s="373">
        <v>524</v>
      </c>
      <c r="BK34" s="373">
        <v>527</v>
      </c>
      <c r="BL34" s="373">
        <v>586</v>
      </c>
      <c r="BM34" s="373">
        <v>559</v>
      </c>
      <c r="BN34" s="375">
        <v>468</v>
      </c>
      <c r="BO34" s="97" t="s">
        <v>188</v>
      </c>
    </row>
    <row r="35" spans="1:67" ht="12.75">
      <c r="A35" s="290" t="s">
        <v>177</v>
      </c>
      <c r="B35" s="386">
        <v>15994</v>
      </c>
      <c r="C35" s="387">
        <v>14575</v>
      </c>
      <c r="D35" s="387">
        <v>14359</v>
      </c>
      <c r="E35" s="387">
        <v>14594</v>
      </c>
      <c r="F35" s="387">
        <v>13953</v>
      </c>
      <c r="G35" s="387">
        <v>13377</v>
      </c>
      <c r="H35" s="387">
        <v>13599</v>
      </c>
      <c r="I35" s="387">
        <v>13129</v>
      </c>
      <c r="J35" s="387">
        <v>12259</v>
      </c>
      <c r="K35" s="387">
        <v>12696</v>
      </c>
      <c r="L35" s="387">
        <v>13086</v>
      </c>
      <c r="M35" s="387">
        <v>12876</v>
      </c>
      <c r="N35" s="388">
        <v>12321</v>
      </c>
      <c r="O35" s="387">
        <v>16037</v>
      </c>
      <c r="P35" s="387">
        <v>14646</v>
      </c>
      <c r="Q35" s="387">
        <v>14507</v>
      </c>
      <c r="R35" s="387">
        <v>14739</v>
      </c>
      <c r="S35" s="387">
        <v>14188</v>
      </c>
      <c r="T35" s="387">
        <v>13502</v>
      </c>
      <c r="U35" s="387">
        <v>13614</v>
      </c>
      <c r="V35" s="387">
        <v>13198</v>
      </c>
      <c r="W35" s="387">
        <v>12382</v>
      </c>
      <c r="X35" s="387">
        <v>12870</v>
      </c>
      <c r="Y35" s="387">
        <v>13273</v>
      </c>
      <c r="Z35" s="387">
        <v>12978</v>
      </c>
      <c r="AA35" s="387">
        <v>12522</v>
      </c>
      <c r="AB35" s="386">
        <v>401</v>
      </c>
      <c r="AC35" s="387">
        <v>487</v>
      </c>
      <c r="AD35" s="387">
        <v>534</v>
      </c>
      <c r="AE35" s="387">
        <v>562</v>
      </c>
      <c r="AF35" s="387">
        <v>705</v>
      </c>
      <c r="AG35" s="387">
        <v>691</v>
      </c>
      <c r="AH35" s="387">
        <v>796</v>
      </c>
      <c r="AI35" s="387">
        <v>834</v>
      </c>
      <c r="AJ35" s="387">
        <v>925</v>
      </c>
      <c r="AK35" s="387">
        <v>948</v>
      </c>
      <c r="AL35" s="387">
        <v>878</v>
      </c>
      <c r="AM35" s="387">
        <v>969</v>
      </c>
      <c r="AN35" s="388">
        <v>1009</v>
      </c>
      <c r="AO35" s="387">
        <v>405</v>
      </c>
      <c r="AP35" s="387">
        <v>499</v>
      </c>
      <c r="AQ35" s="387">
        <v>530</v>
      </c>
      <c r="AR35" s="387">
        <v>569</v>
      </c>
      <c r="AS35" s="387">
        <v>709</v>
      </c>
      <c r="AT35" s="387">
        <v>710</v>
      </c>
      <c r="AU35" s="387">
        <v>816</v>
      </c>
      <c r="AV35" s="387">
        <v>841</v>
      </c>
      <c r="AW35" s="387">
        <v>951</v>
      </c>
      <c r="AX35" s="387">
        <v>958</v>
      </c>
      <c r="AY35" s="387">
        <v>898</v>
      </c>
      <c r="AZ35" s="387">
        <v>982</v>
      </c>
      <c r="BA35" s="452">
        <v>1035</v>
      </c>
      <c r="BB35" s="389"/>
      <c r="BC35" s="390"/>
      <c r="BD35" s="390"/>
      <c r="BE35" s="390"/>
      <c r="BF35" s="390"/>
      <c r="BG35" s="390"/>
      <c r="BH35" s="390"/>
      <c r="BI35" s="390"/>
      <c r="BJ35" s="390"/>
      <c r="BK35" s="390"/>
      <c r="BL35" s="390"/>
      <c r="BM35" s="390"/>
      <c r="BN35" s="391"/>
      <c r="BO35" s="290" t="s">
        <v>177</v>
      </c>
    </row>
    <row r="36" spans="1:67" ht="12.75">
      <c r="A36" s="97" t="s">
        <v>160</v>
      </c>
      <c r="B36" s="372"/>
      <c r="C36" s="373"/>
      <c r="D36" s="373"/>
      <c r="E36" s="373"/>
      <c r="F36" s="373"/>
      <c r="G36" s="373"/>
      <c r="H36" s="373"/>
      <c r="I36" s="373"/>
      <c r="J36" s="373"/>
      <c r="K36" s="373"/>
      <c r="L36" s="373"/>
      <c r="M36" s="373">
        <v>369</v>
      </c>
      <c r="N36" s="374">
        <v>274</v>
      </c>
      <c r="O36" s="373"/>
      <c r="P36" s="373"/>
      <c r="Q36" s="373"/>
      <c r="R36" s="373"/>
      <c r="S36" s="373"/>
      <c r="T36" s="373"/>
      <c r="U36" s="373"/>
      <c r="V36" s="373"/>
      <c r="W36" s="373"/>
      <c r="X36" s="373"/>
      <c r="Y36" s="373"/>
      <c r="Z36" s="373">
        <v>368</v>
      </c>
      <c r="AA36" s="373">
        <v>271</v>
      </c>
      <c r="AB36" s="372"/>
      <c r="AC36" s="373"/>
      <c r="AD36" s="373"/>
      <c r="AE36" s="373"/>
      <c r="AF36" s="373"/>
      <c r="AG36" s="373"/>
      <c r="AH36" s="373"/>
      <c r="AI36" s="373"/>
      <c r="AJ36" s="373"/>
      <c r="AK36" s="373"/>
      <c r="AL36" s="373"/>
      <c r="AM36" s="373"/>
      <c r="AN36" s="374"/>
      <c r="AO36" s="373"/>
      <c r="AP36" s="373"/>
      <c r="AQ36" s="373"/>
      <c r="AR36" s="373"/>
      <c r="AS36" s="373"/>
      <c r="AT36" s="373"/>
      <c r="AU36" s="373"/>
      <c r="AV36" s="373"/>
      <c r="AW36" s="373"/>
      <c r="AX36" s="373"/>
      <c r="AY36" s="373"/>
      <c r="AZ36" s="373"/>
      <c r="BA36" s="375"/>
      <c r="BB36" s="372"/>
      <c r="BC36" s="373"/>
      <c r="BD36" s="373"/>
      <c r="BE36" s="373"/>
      <c r="BF36" s="373"/>
      <c r="BG36" s="373"/>
      <c r="BH36" s="373"/>
      <c r="BI36" s="373"/>
      <c r="BJ36" s="373"/>
      <c r="BK36" s="373"/>
      <c r="BL36" s="373"/>
      <c r="BM36" s="373">
        <v>262</v>
      </c>
      <c r="BN36" s="375">
        <v>242</v>
      </c>
      <c r="BO36" s="97" t="s">
        <v>160</v>
      </c>
    </row>
    <row r="37" spans="1:67" ht="15" customHeight="1">
      <c r="A37" s="164" t="s">
        <v>189</v>
      </c>
      <c r="B37" s="386">
        <v>2716</v>
      </c>
      <c r="C37" s="387">
        <v>3029</v>
      </c>
      <c r="D37" s="387">
        <v>2941</v>
      </c>
      <c r="E37" s="387">
        <v>2938</v>
      </c>
      <c r="F37" s="387">
        <v>2820</v>
      </c>
      <c r="G37" s="387">
        <v>2680</v>
      </c>
      <c r="H37" s="387">
        <v>2705</v>
      </c>
      <c r="I37" s="387">
        <v>2691</v>
      </c>
      <c r="J37" s="387">
        <v>2736</v>
      </c>
      <c r="K37" s="387">
        <v>2760</v>
      </c>
      <c r="L37" s="387">
        <v>2919</v>
      </c>
      <c r="M37" s="387">
        <v>3420</v>
      </c>
      <c r="N37" s="388">
        <v>2936</v>
      </c>
      <c r="O37" s="387">
        <v>3061</v>
      </c>
      <c r="P37" s="387">
        <v>3431</v>
      </c>
      <c r="Q37" s="387">
        <v>3292</v>
      </c>
      <c r="R37" s="387">
        <v>3334</v>
      </c>
      <c r="S37" s="387">
        <v>3313</v>
      </c>
      <c r="T37" s="387">
        <v>2953</v>
      </c>
      <c r="U37" s="387">
        <v>3019</v>
      </c>
      <c r="V37" s="387">
        <v>3085</v>
      </c>
      <c r="W37" s="387">
        <v>3027</v>
      </c>
      <c r="X37" s="387">
        <v>2974</v>
      </c>
      <c r="Y37" s="387">
        <v>3062</v>
      </c>
      <c r="Z37" s="387">
        <v>3214</v>
      </c>
      <c r="AA37" s="387">
        <v>3224</v>
      </c>
      <c r="AB37" s="386">
        <v>6</v>
      </c>
      <c r="AC37" s="387">
        <v>117</v>
      </c>
      <c r="AD37" s="387">
        <v>39</v>
      </c>
      <c r="AE37" s="387">
        <v>91</v>
      </c>
      <c r="AF37" s="387">
        <v>62</v>
      </c>
      <c r="AG37" s="387">
        <v>76</v>
      </c>
      <c r="AH37" s="387">
        <v>130</v>
      </c>
      <c r="AI37" s="387">
        <v>203</v>
      </c>
      <c r="AJ37" s="387">
        <v>208</v>
      </c>
      <c r="AK37" s="387">
        <v>103</v>
      </c>
      <c r="AL37" s="387">
        <v>112</v>
      </c>
      <c r="AM37" s="387">
        <v>74</v>
      </c>
      <c r="AN37" s="388">
        <v>94</v>
      </c>
      <c r="AO37" s="387">
        <v>4</v>
      </c>
      <c r="AP37" s="387">
        <v>87</v>
      </c>
      <c r="AQ37" s="387">
        <v>8</v>
      </c>
      <c r="AR37" s="387">
        <v>84</v>
      </c>
      <c r="AS37" s="387">
        <v>13</v>
      </c>
      <c r="AT37" s="387">
        <v>19</v>
      </c>
      <c r="AU37" s="387">
        <v>21</v>
      </c>
      <c r="AV37" s="387">
        <v>151</v>
      </c>
      <c r="AW37" s="387">
        <v>32</v>
      </c>
      <c r="AX37" s="387">
        <v>4</v>
      </c>
      <c r="AY37" s="387">
        <v>10</v>
      </c>
      <c r="AZ37" s="387">
        <v>5</v>
      </c>
      <c r="BA37" s="392">
        <v>12</v>
      </c>
      <c r="BB37" s="386">
        <v>438</v>
      </c>
      <c r="BC37" s="387">
        <v>528</v>
      </c>
      <c r="BD37" s="387">
        <v>607</v>
      </c>
      <c r="BE37" s="387">
        <v>569</v>
      </c>
      <c r="BF37" s="387">
        <v>770</v>
      </c>
      <c r="BG37" s="387">
        <v>877</v>
      </c>
      <c r="BH37" s="387">
        <v>800</v>
      </c>
      <c r="BI37" s="387">
        <v>814</v>
      </c>
      <c r="BJ37" s="387">
        <v>986</v>
      </c>
      <c r="BK37" s="387">
        <v>639</v>
      </c>
      <c r="BL37" s="387">
        <v>612</v>
      </c>
      <c r="BM37" s="387">
        <v>538</v>
      </c>
      <c r="BN37" s="392">
        <v>498</v>
      </c>
      <c r="BO37" s="164" t="s">
        <v>189</v>
      </c>
    </row>
    <row r="38" spans="1:67" ht="15" customHeight="1">
      <c r="A38" s="618" t="s">
        <v>548</v>
      </c>
      <c r="B38" s="619"/>
      <c r="C38" s="619"/>
      <c r="D38" s="619"/>
      <c r="E38" s="619"/>
      <c r="F38" s="619"/>
      <c r="G38" s="619"/>
      <c r="H38" s="619"/>
      <c r="I38" s="619"/>
      <c r="J38" s="619">
        <v>173</v>
      </c>
      <c r="K38" s="619">
        <v>107</v>
      </c>
      <c r="L38" s="619">
        <v>52</v>
      </c>
      <c r="M38" s="619">
        <v>48</v>
      </c>
      <c r="N38" s="621">
        <v>58</v>
      </c>
      <c r="O38" s="619"/>
      <c r="P38" s="619"/>
      <c r="Q38" s="619"/>
      <c r="R38" s="619"/>
      <c r="S38" s="619"/>
      <c r="T38" s="619"/>
      <c r="U38" s="619"/>
      <c r="V38" s="619"/>
      <c r="W38" s="619">
        <v>146</v>
      </c>
      <c r="X38" s="619">
        <v>77</v>
      </c>
      <c r="Y38" s="619">
        <v>56</v>
      </c>
      <c r="Z38" s="619">
        <v>51</v>
      </c>
      <c r="AA38" s="619">
        <v>52</v>
      </c>
      <c r="AB38" s="620"/>
      <c r="AC38" s="619"/>
      <c r="AD38" s="619"/>
      <c r="AE38" s="619"/>
      <c r="AF38" s="619"/>
      <c r="AG38" s="619"/>
      <c r="AH38" s="619"/>
      <c r="AI38" s="619"/>
      <c r="AJ38" s="619"/>
      <c r="AK38" s="619"/>
      <c r="AL38" s="619"/>
      <c r="AM38" s="619"/>
      <c r="AN38" s="621"/>
      <c r="AO38" s="619"/>
      <c r="AP38" s="619"/>
      <c r="AQ38" s="619"/>
      <c r="AR38" s="619"/>
      <c r="AS38" s="619"/>
      <c r="AT38" s="619"/>
      <c r="AU38" s="619"/>
      <c r="AV38" s="619"/>
      <c r="AW38" s="619"/>
      <c r="AX38" s="619"/>
      <c r="AY38" s="619"/>
      <c r="AZ38" s="619"/>
      <c r="BA38" s="622"/>
      <c r="BB38" s="620"/>
      <c r="BC38" s="619"/>
      <c r="BD38" s="619"/>
      <c r="BE38" s="619"/>
      <c r="BF38" s="619"/>
      <c r="BG38" s="619"/>
      <c r="BH38" s="619"/>
      <c r="BI38" s="619"/>
      <c r="BJ38" s="619"/>
      <c r="BK38" s="619"/>
      <c r="BL38" s="619"/>
      <c r="BM38" s="619"/>
      <c r="BN38" s="622"/>
      <c r="BO38" s="618" t="s">
        <v>548</v>
      </c>
    </row>
    <row r="39" spans="1:67" ht="15" customHeight="1">
      <c r="A39" s="290" t="s">
        <v>173</v>
      </c>
      <c r="B39" s="387"/>
      <c r="C39" s="387"/>
      <c r="D39" s="387"/>
      <c r="E39" s="387"/>
      <c r="F39" s="387">
        <v>645</v>
      </c>
      <c r="G39" s="387">
        <v>599</v>
      </c>
      <c r="H39" s="387">
        <v>689</v>
      </c>
      <c r="I39" s="387">
        <v>749</v>
      </c>
      <c r="J39" s="387">
        <v>726</v>
      </c>
      <c r="K39" s="387">
        <v>789</v>
      </c>
      <c r="L39" s="387">
        <v>859</v>
      </c>
      <c r="M39" s="387">
        <v>897</v>
      </c>
      <c r="N39" s="388">
        <v>550</v>
      </c>
      <c r="O39" s="387"/>
      <c r="P39" s="387"/>
      <c r="Q39" s="387"/>
      <c r="R39" s="387"/>
      <c r="S39" s="387">
        <v>656</v>
      </c>
      <c r="T39" s="387">
        <v>650</v>
      </c>
      <c r="U39" s="387">
        <v>611</v>
      </c>
      <c r="V39" s="387">
        <v>697</v>
      </c>
      <c r="W39" s="387">
        <v>726</v>
      </c>
      <c r="X39" s="387">
        <v>790</v>
      </c>
      <c r="Y39" s="387">
        <v>821</v>
      </c>
      <c r="Z39" s="387">
        <v>809</v>
      </c>
      <c r="AA39" s="387">
        <v>551</v>
      </c>
      <c r="AB39" s="386"/>
      <c r="AC39" s="387"/>
      <c r="AD39" s="387"/>
      <c r="AE39" s="387"/>
      <c r="AF39" s="387">
        <v>79</v>
      </c>
      <c r="AG39" s="387">
        <v>61</v>
      </c>
      <c r="AH39" s="387">
        <v>126</v>
      </c>
      <c r="AI39" s="387">
        <v>194</v>
      </c>
      <c r="AJ39" s="387">
        <v>184</v>
      </c>
      <c r="AK39" s="387">
        <v>230</v>
      </c>
      <c r="AL39" s="387">
        <v>228</v>
      </c>
      <c r="AM39" s="387">
        <v>254</v>
      </c>
      <c r="AN39" s="388">
        <v>73</v>
      </c>
      <c r="AO39" s="387"/>
      <c r="AP39" s="387"/>
      <c r="AQ39" s="387"/>
      <c r="AR39" s="387"/>
      <c r="AS39" s="387">
        <v>118</v>
      </c>
      <c r="AT39" s="387">
        <v>76</v>
      </c>
      <c r="AU39" s="387">
        <v>151</v>
      </c>
      <c r="AV39" s="387">
        <v>202</v>
      </c>
      <c r="AW39" s="387">
        <v>193</v>
      </c>
      <c r="AX39" s="387">
        <v>248</v>
      </c>
      <c r="AY39" s="387">
        <v>242</v>
      </c>
      <c r="AZ39" s="387">
        <v>272</v>
      </c>
      <c r="BA39" s="452">
        <v>77</v>
      </c>
      <c r="BB39" s="386"/>
      <c r="BC39" s="387"/>
      <c r="BD39" s="387"/>
      <c r="BE39" s="387"/>
      <c r="BF39" s="387"/>
      <c r="BG39" s="387"/>
      <c r="BH39" s="387"/>
      <c r="BI39" s="387"/>
      <c r="BJ39" s="387"/>
      <c r="BK39" s="387"/>
      <c r="BL39" s="387"/>
      <c r="BM39" s="387"/>
      <c r="BN39" s="452"/>
      <c r="BO39" s="290" t="s">
        <v>173</v>
      </c>
    </row>
    <row r="40" spans="1:53" ht="12.75" customHeight="1">
      <c r="A40" s="4" t="s">
        <v>317</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row>
    <row r="41" spans="1:12" ht="12.75">
      <c r="A41" s="4"/>
      <c r="D41" s="167"/>
      <c r="J41" s="448"/>
      <c r="K41" s="448"/>
      <c r="L41" s="448"/>
    </row>
  </sheetData>
  <sheetProtection/>
  <mergeCells count="11">
    <mergeCell ref="AO5:AZ5"/>
    <mergeCell ref="O5:AA5"/>
    <mergeCell ref="B5:N5"/>
    <mergeCell ref="AB5:AN5"/>
    <mergeCell ref="BB5:BN5"/>
    <mergeCell ref="A2:BO2"/>
    <mergeCell ref="B3:Z3"/>
    <mergeCell ref="B4:Z4"/>
    <mergeCell ref="AB3:AZ3"/>
    <mergeCell ref="AB4:AZ4"/>
    <mergeCell ref="BB3:BM4"/>
  </mergeCells>
  <printOptions horizontalCentered="1"/>
  <pageMargins left="0.6692913385826772" right="0.2755905511811024" top="0.5118110236220472" bottom="0.2755905511811024"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2017-07-12T16:09:36Z</cp:lastPrinted>
  <dcterms:created xsi:type="dcterms:W3CDTF">2003-09-05T14:33:05Z</dcterms:created>
  <dcterms:modified xsi:type="dcterms:W3CDTF">2018-09-18T10:02:51Z</dcterms:modified>
  <cp:category/>
  <cp:version/>
  <cp:contentType/>
  <cp:contentStatus/>
</cp:coreProperties>
</file>